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cbbbah.sharepoint.com/sites/StatisticalUnit/Shared Documents/General/Statistical Returns/MSB/"/>
    </mc:Choice>
  </mc:AlternateContent>
  <xr:revisionPtr revIDLastSave="564" documentId="8_{04E62C5A-396B-4B06-954D-519D20FAC78A}" xr6:coauthVersionLast="47" xr6:coauthVersionMax="47" xr10:uidLastSave="{F169D57C-049E-400D-A399-7CD86AEC1257}"/>
  <bookViews>
    <workbookView xWindow="-110" yWindow="-110" windowWidth="19420" windowHeight="10300" tabRatio="913" firstSheet="27" activeTab="43" xr2:uid="{00000000-000D-0000-FFFF-FFFF00000000}"/>
  </bookViews>
  <sheets>
    <sheet name="Index" sheetId="3" r:id="rId1"/>
    <sheet name="Metadata" sheetId="118" r:id="rId2"/>
    <sheet name="Indicators" sheetId="63" r:id="rId3"/>
    <sheet name="1" sheetId="4" r:id="rId4"/>
    <sheet name="2" sheetId="5" r:id="rId5"/>
    <sheet name="3" sheetId="6" r:id="rId6"/>
    <sheet name="4" sheetId="7" r:id="rId7"/>
    <sheet name="5" sheetId="8" r:id="rId8"/>
    <sheet name="6" sheetId="79" r:id="rId9"/>
    <sheet name="7" sheetId="80" r:id="rId10"/>
    <sheet name="8" sheetId="81" r:id="rId11"/>
    <sheet name="9" sheetId="128" r:id="rId12"/>
    <sheet name="10" sheetId="129" r:id="rId13"/>
    <sheet name="11" sheetId="82" r:id="rId14"/>
    <sheet name="12" sheetId="83" r:id="rId15"/>
    <sheet name="13" sheetId="9" r:id="rId16"/>
    <sheet name="14" sheetId="10" r:id="rId17"/>
    <sheet name="15" sheetId="11" r:id="rId18"/>
    <sheet name="16" sheetId="12" r:id="rId19"/>
    <sheet name="17" sheetId="13" r:id="rId20"/>
    <sheet name="18" sheetId="14" r:id="rId21"/>
    <sheet name="19" sheetId="15" r:id="rId22"/>
    <sheet name="20" sheetId="102" r:id="rId23"/>
    <sheet name="21" sheetId="127" r:id="rId24"/>
    <sheet name="22" sheetId="98" r:id="rId25"/>
    <sheet name="23" sheetId="65" r:id="rId26"/>
    <sheet name="24" sheetId="64" r:id="rId27"/>
    <sheet name="25" sheetId="61" r:id="rId28"/>
    <sheet name="26" sheetId="105" r:id="rId29"/>
    <sheet name="27" sheetId="106" r:id="rId30"/>
    <sheet name="28" sheetId="17" r:id="rId31"/>
    <sheet name="29" sheetId="18" r:id="rId32"/>
    <sheet name="30" sheetId="73" r:id="rId33"/>
    <sheet name="31" sheetId="72" r:id="rId34"/>
    <sheet name="32" sheetId="75" r:id="rId35"/>
    <sheet name="33" sheetId="74" r:id="rId36"/>
    <sheet name="34" sheetId="78" r:id="rId37"/>
    <sheet name="35" sheetId="77" r:id="rId38"/>
    <sheet name="36" sheetId="76" r:id="rId39"/>
    <sheet name="37" sheetId="111" r:id="rId40"/>
    <sheet name="38" sheetId="112" r:id="rId41"/>
    <sheet name="39" sheetId="113" r:id="rId42"/>
    <sheet name="40" sheetId="101" r:id="rId43"/>
    <sheet name="41" sheetId="97" r:id="rId44"/>
    <sheet name="42" sheetId="119" r:id="rId45"/>
    <sheet name="43" sheetId="107" r:id="rId46"/>
    <sheet name="44" sheetId="110" r:id="rId47"/>
    <sheet name="45" sheetId="114" r:id="rId48"/>
    <sheet name="46" sheetId="115" r:id="rId49"/>
    <sheet name="47" sheetId="116" r:id="rId50"/>
    <sheet name="48" sheetId="117" r:id="rId51"/>
    <sheet name="49" sheetId="122" r:id="rId52"/>
    <sheet name="50" sheetId="125" r:id="rId53"/>
    <sheet name="51" sheetId="124" r:id="rId54"/>
    <sheet name="52" sheetId="108" r:id="rId55"/>
    <sheet name="53" sheetId="109" r:id="rId56"/>
    <sheet name="54" sheetId="130" r:id="rId57"/>
    <sheet name="55" sheetId="90" r:id="rId58"/>
    <sheet name="56" sheetId="120" r:id="rId59"/>
    <sheet name="57" sheetId="121" r:id="rId60"/>
    <sheet name="58" sheetId="93" r:id="rId61"/>
    <sheet name="59" sheetId="94" r:id="rId62"/>
  </sheets>
  <externalReferences>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s>
  <definedNames>
    <definedName name="_TAB1" localSheetId="22">#REF!</definedName>
    <definedName name="_TAB1" localSheetId="23">'21'!#REF!</definedName>
    <definedName name="_TAB1" localSheetId="42">#REF!</definedName>
    <definedName name="_TAB1" localSheetId="44">#REF!</definedName>
    <definedName name="_TAB1" localSheetId="45">#REF!</definedName>
    <definedName name="_TAB1" localSheetId="46">#REF!</definedName>
    <definedName name="_TAB1" localSheetId="47">#REF!</definedName>
    <definedName name="_TAB1" localSheetId="48">#REF!</definedName>
    <definedName name="_TAB1" localSheetId="52">#REF!</definedName>
    <definedName name="_TAB1" localSheetId="54">#REF!</definedName>
    <definedName name="_TAB1" localSheetId="55">#REF!</definedName>
    <definedName name="_TAB1" localSheetId="56">#REF!</definedName>
    <definedName name="_TAB1" localSheetId="58">#REF!</definedName>
    <definedName name="_TAB1" localSheetId="59">#REF!</definedName>
    <definedName name="_TAB1">#REF!</definedName>
    <definedName name="_TAB12" localSheetId="22">#REF!</definedName>
    <definedName name="_TAB12" localSheetId="23">'21'!#REF!</definedName>
    <definedName name="_TAB12" localSheetId="42">#REF!</definedName>
    <definedName name="_TAB12" localSheetId="44">#REF!</definedName>
    <definedName name="_TAB12" localSheetId="45">#REF!</definedName>
    <definedName name="_TAB12" localSheetId="46">#REF!</definedName>
    <definedName name="_TAB12" localSheetId="47">#REF!</definedName>
    <definedName name="_TAB12" localSheetId="48">#REF!</definedName>
    <definedName name="_TAB12" localSheetId="52">#REF!</definedName>
    <definedName name="_TAB12" localSheetId="54">#REF!</definedName>
    <definedName name="_TAB12" localSheetId="55">#REF!</definedName>
    <definedName name="_TAB12" localSheetId="56">#REF!</definedName>
    <definedName name="_TAB12" localSheetId="58">#REF!</definedName>
    <definedName name="_TAB12" localSheetId="59">#REF!</definedName>
    <definedName name="_TAB12">#REF!</definedName>
    <definedName name="_TAB17" localSheetId="22">#REF!</definedName>
    <definedName name="_TAB17" localSheetId="23">'21'!#REF!</definedName>
    <definedName name="_TAB17" localSheetId="42">#REF!</definedName>
    <definedName name="_TAB17" localSheetId="44">#REF!</definedName>
    <definedName name="_TAB17" localSheetId="45">#REF!</definedName>
    <definedName name="_TAB17" localSheetId="46">#REF!</definedName>
    <definedName name="_TAB17" localSheetId="47">#REF!</definedName>
    <definedName name="_TAB17" localSheetId="48">#REF!</definedName>
    <definedName name="_TAB17" localSheetId="52">#REF!</definedName>
    <definedName name="_TAB17" localSheetId="54">#REF!</definedName>
    <definedName name="_TAB17" localSheetId="55">#REF!</definedName>
    <definedName name="_TAB17" localSheetId="56">#REF!</definedName>
    <definedName name="_TAB17" localSheetId="58">#REF!</definedName>
    <definedName name="_TAB17" localSheetId="59">#REF!</definedName>
    <definedName name="_TAB17">#REF!</definedName>
    <definedName name="_TAB20" localSheetId="22">#REF!</definedName>
    <definedName name="_TAB20" localSheetId="23">'21'!#REF!</definedName>
    <definedName name="_TAB20" localSheetId="45">#REF!</definedName>
    <definedName name="_TAB20" localSheetId="46">#REF!</definedName>
    <definedName name="_TAB20" localSheetId="47">#REF!</definedName>
    <definedName name="_TAB20" localSheetId="48">#REF!</definedName>
    <definedName name="_TAB20" localSheetId="52">#REF!</definedName>
    <definedName name="_TAB20" localSheetId="54">#REF!</definedName>
    <definedName name="_TAB20" localSheetId="55">#REF!</definedName>
    <definedName name="_TAB20" localSheetId="58">#REF!</definedName>
    <definedName name="_TAB20" localSheetId="59">#REF!</definedName>
    <definedName name="_TAB20">#REF!</definedName>
    <definedName name="_TAB4" localSheetId="22">#REF!</definedName>
    <definedName name="_TAB4" localSheetId="23">'21'!#REF!</definedName>
    <definedName name="_TAB4" localSheetId="45">#REF!</definedName>
    <definedName name="_TAB4" localSheetId="46">#REF!</definedName>
    <definedName name="_TAB4" localSheetId="47">#REF!</definedName>
    <definedName name="_TAB4" localSheetId="48">#REF!</definedName>
    <definedName name="_TAB4" localSheetId="52">#REF!</definedName>
    <definedName name="_TAB4" localSheetId="54">#REF!</definedName>
    <definedName name="_TAB4" localSheetId="55">#REF!</definedName>
    <definedName name="_TAB4" localSheetId="58">#REF!</definedName>
    <definedName name="_TAB4" localSheetId="59">#REF!</definedName>
    <definedName name="_TAB4">#REF!</definedName>
    <definedName name="_TAB7" localSheetId="22">#REF!</definedName>
    <definedName name="_TAB7" localSheetId="23">'21'!#REF!</definedName>
    <definedName name="_TAB7" localSheetId="45">#REF!</definedName>
    <definedName name="_TAB7" localSheetId="46">#REF!</definedName>
    <definedName name="_TAB7" localSheetId="47">#REF!</definedName>
    <definedName name="_TAB7" localSheetId="48">#REF!</definedName>
    <definedName name="_TAB7" localSheetId="52">#REF!</definedName>
    <definedName name="_TAB7" localSheetId="54">#REF!</definedName>
    <definedName name="_TAB7" localSheetId="55">#REF!</definedName>
    <definedName name="_TAB7" localSheetId="58">#REF!</definedName>
    <definedName name="_TAB7" localSheetId="59">#REF!</definedName>
    <definedName name="_TAB7">#REF!</definedName>
    <definedName name="new_tab" localSheetId="52">#REF!</definedName>
    <definedName name="new_tab" localSheetId="58">#REF!</definedName>
    <definedName name="new_tab" localSheetId="59">#REF!</definedName>
    <definedName name="new_tab">#REF!</definedName>
    <definedName name="_xlnm.Print_Area" localSheetId="3">'1'!$A$1:$O$46</definedName>
    <definedName name="_xlnm.Print_Area" localSheetId="14">'12'!$A$1:$Q$50</definedName>
    <definedName name="_xlnm.Print_Area" localSheetId="15">'13'!$A$1:$O$47</definedName>
    <definedName name="_xlnm.Print_Area" localSheetId="16">'14'!$A$1:$M$47</definedName>
    <definedName name="_xlnm.Print_Area" localSheetId="17">'15'!$A$1:$L$50</definedName>
    <definedName name="_xlnm.Print_Area" localSheetId="18">'16'!$A$6:$J$47</definedName>
    <definedName name="_xlnm.Print_Area" localSheetId="19">'17'!$A$1:$N$48</definedName>
    <definedName name="_xlnm.Print_Area" localSheetId="20">'18'!$A$1:$N$48</definedName>
    <definedName name="_xlnm.Print_Area" localSheetId="21">'19'!$A$1:$Q$47</definedName>
    <definedName name="_xlnm.Print_Area" localSheetId="4">'2'!$A$1:$L$47</definedName>
    <definedName name="_xlnm.Print_Area" localSheetId="22">'20'!$A$1:$L$49</definedName>
    <definedName name="_xlnm.Print_Area" localSheetId="23">'21'!$A$1:$O$37</definedName>
    <definedName name="_xlnm.Print_Area" localSheetId="25">'23'!$A$1:$Q$48</definedName>
    <definedName name="_xlnm.Print_Area" localSheetId="26">'24'!$A$1:$Q$48</definedName>
    <definedName name="_xlnm.Print_Area" localSheetId="27">'25'!$A$1:$K$48</definedName>
    <definedName name="_xlnm.Print_Area" localSheetId="28">'26'!$A$1:$P$50</definedName>
    <definedName name="_xlnm.Print_Area" localSheetId="29">'27'!$A$1:$P$50</definedName>
    <definedName name="_xlnm.Print_Area" localSheetId="30">'28'!$A$1:$O$47</definedName>
    <definedName name="_xlnm.Print_Area" localSheetId="31">'29'!$A$1:$O$47</definedName>
    <definedName name="_xlnm.Print_Area" localSheetId="5">'3'!$A$1:$K$48</definedName>
    <definedName name="_xlnm.Print_Area" localSheetId="32">'30'!$A$1:$Q$48</definedName>
    <definedName name="_xlnm.Print_Area" localSheetId="33">'31'!$A$1:$Q$47</definedName>
    <definedName name="_xlnm.Print_Area" localSheetId="34">'32'!$A$1:$P$49</definedName>
    <definedName name="_xlnm.Print_Area" localSheetId="35">'33'!$A$1:$P$49</definedName>
    <definedName name="_xlnm.Print_Area" localSheetId="36">'34'!$A$1:$Q$47</definedName>
    <definedName name="_xlnm.Print_Area" localSheetId="37">'35'!$A$1:$Q$47</definedName>
    <definedName name="_xlnm.Print_Area" localSheetId="38">'36'!$A$1:$R$43</definedName>
    <definedName name="_xlnm.Print_Area" localSheetId="39">'37'!$A$1:$J$49</definedName>
    <definedName name="_xlnm.Print_Area" localSheetId="40">'38'!$A$1:$R$49</definedName>
    <definedName name="_xlnm.Print_Area" localSheetId="41">'39'!$A$1:$R$49</definedName>
    <definedName name="_xlnm.Print_Area" localSheetId="6">'4'!$A$1:$J$47</definedName>
    <definedName name="_xlnm.Print_Area" localSheetId="42">'40'!$A$1:$U$48</definedName>
    <definedName name="_xlnm.Print_Area" localSheetId="43">'41'!$A$1:$O$49</definedName>
    <definedName name="_xlnm.Print_Area" localSheetId="44">'42'!$A$1:$N$51</definedName>
    <definedName name="_xlnm.Print_Area" localSheetId="45">'43'!$A$1:$L$46</definedName>
    <definedName name="_xlnm.Print_Area" localSheetId="46">'44'!$A$1:$M$47</definedName>
    <definedName name="_xlnm.Print_Area" localSheetId="47">'45'!$A$1:$O$37</definedName>
    <definedName name="_xlnm.Print_Area" localSheetId="48">'46'!$A$1:$O$37</definedName>
    <definedName name="_xlnm.Print_Area" localSheetId="49">'47'!$A$1:$O$37</definedName>
    <definedName name="_xlnm.Print_Area" localSheetId="50">'48'!$A$1:$O$37</definedName>
    <definedName name="_xlnm.Print_Area" localSheetId="51">'49'!$A$1:$N$46</definedName>
    <definedName name="_xlnm.Print_Area" localSheetId="7">'5'!$A$1:$K$47</definedName>
    <definedName name="_xlnm.Print_Area" localSheetId="52">'50'!$A$1:$N$46</definedName>
    <definedName name="_xlnm.Print_Area" localSheetId="53">'51'!$A$1:$P$28</definedName>
    <definedName name="_xlnm.Print_Area" localSheetId="54">'52'!$A$1:$Q$54</definedName>
    <definedName name="_xlnm.Print_Area" localSheetId="56">'54'!$A$1:$H$46</definedName>
    <definedName name="_xlnm.Print_Area" localSheetId="58">'56'!$A$1:$N$49</definedName>
    <definedName name="_xlnm.Print_Area" localSheetId="59">'57'!$A$1:$J$46</definedName>
    <definedName name="TAB10B" localSheetId="22">#REF!</definedName>
    <definedName name="TAB10B" localSheetId="23">'21'!#REF!</definedName>
    <definedName name="TAB10B" localSheetId="44">#REF!</definedName>
    <definedName name="TAB10B" localSheetId="45">#REF!</definedName>
    <definedName name="TAB10B" localSheetId="46">#REF!</definedName>
    <definedName name="TAB10B" localSheetId="47">#REF!</definedName>
    <definedName name="TAB10B" localSheetId="48">#REF!</definedName>
    <definedName name="TAB10B" localSheetId="52">#REF!</definedName>
    <definedName name="TAB10B" localSheetId="54">#REF!</definedName>
    <definedName name="TAB10B" localSheetId="55">#REF!</definedName>
    <definedName name="TAB10B" localSheetId="56">#REF!</definedName>
    <definedName name="TAB10B" localSheetId="58">#REF!</definedName>
    <definedName name="TAB10B" localSheetId="59">#REF!</definedName>
    <definedName name="TAB10B">#REF!</definedName>
    <definedName name="TAB15A" localSheetId="22">#REF!</definedName>
    <definedName name="TAB15A" localSheetId="23">'21'!#REF!</definedName>
    <definedName name="TAB15A" localSheetId="44">#REF!</definedName>
    <definedName name="TAB15A" localSheetId="45">#REF!</definedName>
    <definedName name="TAB15A" localSheetId="46">#REF!</definedName>
    <definedName name="TAB15A" localSheetId="47">#REF!</definedName>
    <definedName name="TAB15A" localSheetId="48">#REF!</definedName>
    <definedName name="TAB15A" localSheetId="52">#REF!</definedName>
    <definedName name="TAB15A" localSheetId="54">#REF!</definedName>
    <definedName name="TAB15A" localSheetId="55">#REF!</definedName>
    <definedName name="TAB15A" localSheetId="56">#REF!</definedName>
    <definedName name="TAB15A" localSheetId="58">#REF!</definedName>
    <definedName name="TAB15A" localSheetId="59">#REF!</definedName>
    <definedName name="TAB15A">#REF!</definedName>
    <definedName name="TAB15F" localSheetId="22">#REF!</definedName>
    <definedName name="TAB15F" localSheetId="23">'21'!#REF!</definedName>
    <definedName name="TAB15F" localSheetId="45">#REF!</definedName>
    <definedName name="TAB15F" localSheetId="46">#REF!</definedName>
    <definedName name="TAB15F" localSheetId="47">#REF!</definedName>
    <definedName name="TAB15F" localSheetId="48">#REF!</definedName>
    <definedName name="TAB15F" localSheetId="52">#REF!</definedName>
    <definedName name="TAB15F" localSheetId="54">#REF!</definedName>
    <definedName name="TAB15F" localSheetId="55">#REF!</definedName>
    <definedName name="TAB15F" localSheetId="56">#REF!</definedName>
    <definedName name="TAB15F" localSheetId="58">#REF!</definedName>
    <definedName name="TAB15F" localSheetId="59">#REF!</definedName>
    <definedName name="TAB15F">#REF!</definedName>
    <definedName name="TAB9B" localSheetId="22">#REF!</definedName>
    <definedName name="TAB9B" localSheetId="23">'21'!#REF!</definedName>
    <definedName name="TAB9B" localSheetId="45">#REF!</definedName>
    <definedName name="TAB9B" localSheetId="46">#REF!</definedName>
    <definedName name="TAB9B" localSheetId="47">#REF!</definedName>
    <definedName name="TAB9B" localSheetId="48">#REF!</definedName>
    <definedName name="TAB9B" localSheetId="52">#REF!</definedName>
    <definedName name="TAB9B" localSheetId="54">#REF!</definedName>
    <definedName name="TAB9B" localSheetId="55">#REF!</definedName>
    <definedName name="TAB9B" localSheetId="58">#REF!</definedName>
    <definedName name="TAB9B" localSheetId="59">#REF!</definedName>
    <definedName name="TAB9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3" i="125" l="1"/>
  <c r="N30" i="117"/>
  <c r="N29" i="117"/>
  <c r="N29" i="115"/>
  <c r="N29" i="114"/>
  <c r="N25" i="114"/>
  <c r="N28" i="114"/>
  <c r="N31" i="114"/>
  <c r="N27" i="114"/>
  <c r="G43" i="110"/>
  <c r="C43" i="77"/>
  <c r="M43" i="78"/>
  <c r="E43" i="74"/>
  <c r="C43" i="75"/>
  <c r="N43" i="75"/>
  <c r="O43" i="75"/>
  <c r="M43" i="72"/>
  <c r="K43" i="73"/>
  <c r="C43" i="73"/>
  <c r="J43" i="73"/>
  <c r="F43" i="18"/>
  <c r="C43" i="17"/>
  <c r="G43" i="17"/>
  <c r="N43" i="17"/>
  <c r="I43" i="17"/>
  <c r="D43" i="106"/>
  <c r="C43" i="106"/>
  <c r="E43" i="105"/>
  <c r="F43" i="14"/>
  <c r="E43" i="13"/>
  <c r="H43" i="13"/>
  <c r="P43" i="65"/>
  <c r="M43" i="15"/>
  <c r="J43" i="64"/>
  <c r="Q33" i="76" l="1"/>
  <c r="P33" i="76"/>
  <c r="O33" i="76"/>
  <c r="N33" i="76"/>
  <c r="M33" i="76"/>
  <c r="L33" i="76"/>
  <c r="K33" i="76"/>
  <c r="J33" i="76"/>
  <c r="I33" i="76"/>
  <c r="H33" i="76"/>
  <c r="G33" i="76"/>
  <c r="F33" i="76"/>
  <c r="E33" i="76"/>
  <c r="D33" i="76"/>
  <c r="C33" i="76"/>
  <c r="B33" i="76"/>
  <c r="Q32" i="76"/>
  <c r="P32" i="76"/>
  <c r="O32" i="76"/>
  <c r="N32" i="76"/>
  <c r="M32" i="76"/>
  <c r="L32" i="76"/>
  <c r="Q31" i="76"/>
  <c r="P31" i="76"/>
  <c r="O31" i="76"/>
  <c r="N31" i="76"/>
  <c r="M31" i="76"/>
  <c r="L31" i="76"/>
  <c r="Q30" i="76"/>
  <c r="P30" i="76"/>
  <c r="O30" i="76"/>
  <c r="N30" i="76"/>
  <c r="M30" i="76"/>
  <c r="L30" i="76"/>
  <c r="K30" i="76"/>
  <c r="J30" i="76"/>
  <c r="I30" i="76"/>
  <c r="H30" i="76"/>
  <c r="G30" i="76"/>
  <c r="F30" i="76"/>
  <c r="E30" i="76"/>
  <c r="D30" i="76"/>
  <c r="C30" i="76"/>
  <c r="B30" i="76"/>
  <c r="Q29" i="76"/>
  <c r="P29" i="76"/>
  <c r="O29" i="76"/>
  <c r="N29" i="76"/>
  <c r="M29" i="76"/>
  <c r="L29" i="76"/>
  <c r="K29" i="76"/>
  <c r="J29" i="76"/>
  <c r="I29" i="76"/>
  <c r="H29" i="76"/>
  <c r="G29" i="76"/>
  <c r="F29" i="76"/>
  <c r="E29" i="76"/>
  <c r="D29" i="76"/>
  <c r="C29" i="76"/>
  <c r="B29" i="76"/>
  <c r="Q28" i="76"/>
  <c r="P28" i="76"/>
  <c r="O28" i="76"/>
  <c r="N28" i="76"/>
  <c r="M28" i="76"/>
  <c r="L28" i="76"/>
  <c r="K28" i="76"/>
  <c r="J28" i="76"/>
  <c r="I28" i="76"/>
  <c r="H28" i="76"/>
  <c r="G28" i="76"/>
  <c r="F28" i="76"/>
  <c r="E28" i="76"/>
  <c r="D28" i="76"/>
  <c r="C28" i="76"/>
  <c r="B28" i="76"/>
  <c r="Q27" i="76"/>
  <c r="P27" i="76"/>
  <c r="O27" i="76"/>
  <c r="N27" i="76"/>
  <c r="M27" i="76"/>
  <c r="L27" i="76"/>
  <c r="K27" i="76"/>
  <c r="J27" i="76"/>
  <c r="I27" i="76"/>
  <c r="H27" i="76"/>
  <c r="G27" i="76"/>
  <c r="F27" i="76"/>
  <c r="E27" i="76"/>
  <c r="D27" i="76"/>
  <c r="C27" i="76"/>
  <c r="B27" i="76"/>
  <c r="Q26" i="76"/>
  <c r="P26" i="76"/>
  <c r="O26" i="76"/>
  <c r="N26" i="76"/>
  <c r="M26" i="76"/>
  <c r="L26" i="76"/>
  <c r="K26" i="76"/>
  <c r="J26" i="76"/>
  <c r="I26" i="76"/>
  <c r="H26" i="76"/>
  <c r="G26" i="76"/>
  <c r="F26" i="76"/>
  <c r="E26" i="76"/>
  <c r="D26" i="76"/>
  <c r="C26" i="76"/>
  <c r="B26" i="76"/>
  <c r="Q25" i="76"/>
  <c r="P25" i="76"/>
  <c r="O25" i="76"/>
  <c r="N25" i="76"/>
  <c r="M25" i="76"/>
  <c r="L25" i="76"/>
  <c r="K25" i="76"/>
  <c r="J25" i="76"/>
  <c r="I25" i="76"/>
  <c r="H25" i="76"/>
  <c r="G25" i="76"/>
  <c r="F25" i="76"/>
  <c r="E25" i="76"/>
  <c r="D25" i="76"/>
  <c r="C25" i="76"/>
  <c r="B25" i="76"/>
  <c r="Q24" i="76"/>
  <c r="P24" i="76"/>
  <c r="O24" i="76"/>
  <c r="N24" i="76"/>
  <c r="M24" i="76"/>
  <c r="L24" i="76"/>
  <c r="K24" i="76"/>
  <c r="J24" i="76"/>
  <c r="I24" i="76"/>
  <c r="H24" i="76"/>
  <c r="G24" i="76"/>
  <c r="F24" i="76"/>
  <c r="E24" i="76"/>
  <c r="D24" i="76"/>
  <c r="C24" i="76"/>
  <c r="B24" i="76"/>
  <c r="Q23" i="76"/>
  <c r="P23" i="76"/>
  <c r="O23" i="76"/>
  <c r="N23" i="76"/>
  <c r="M23" i="76"/>
  <c r="L23" i="76"/>
  <c r="K23" i="76"/>
  <c r="J23" i="76"/>
  <c r="I23" i="76"/>
  <c r="H23" i="76"/>
  <c r="G23" i="76"/>
  <c r="F23" i="76"/>
  <c r="E23" i="76"/>
  <c r="D23" i="76"/>
  <c r="C23" i="76"/>
  <c r="B23" i="76"/>
  <c r="Q22" i="76"/>
  <c r="P22" i="76"/>
  <c r="O22" i="76"/>
  <c r="N22" i="76"/>
  <c r="M22" i="76"/>
  <c r="L22" i="76"/>
  <c r="K22" i="76"/>
  <c r="J22" i="76"/>
  <c r="I22" i="76"/>
  <c r="H22" i="76"/>
  <c r="G22" i="76"/>
  <c r="F22" i="76"/>
  <c r="E22" i="76"/>
  <c r="D22" i="76"/>
  <c r="C22" i="76"/>
  <c r="B22" i="76"/>
  <c r="Q21" i="76"/>
  <c r="P21" i="76"/>
  <c r="O21" i="76"/>
  <c r="N21" i="76"/>
  <c r="M21" i="76"/>
  <c r="L21" i="76"/>
  <c r="K21" i="76"/>
  <c r="J21" i="76"/>
  <c r="I21" i="76"/>
  <c r="H21" i="76"/>
  <c r="G21" i="76"/>
  <c r="F21" i="76"/>
  <c r="E21" i="76"/>
  <c r="D21" i="76"/>
  <c r="C21" i="76"/>
  <c r="B21" i="76"/>
  <c r="Q20" i="76"/>
  <c r="P20" i="76"/>
  <c r="O20" i="76"/>
  <c r="N20" i="76"/>
  <c r="M20" i="76"/>
  <c r="L20" i="76"/>
  <c r="K20" i="76"/>
  <c r="J20" i="76"/>
  <c r="I20" i="76"/>
  <c r="H20" i="76"/>
  <c r="G20" i="76"/>
  <c r="F20" i="76"/>
  <c r="E20" i="76"/>
  <c r="D20" i="76"/>
  <c r="C20" i="76"/>
  <c r="B20" i="76"/>
  <c r="Q19" i="76"/>
  <c r="P19" i="76"/>
  <c r="O19" i="76"/>
  <c r="N19" i="76"/>
  <c r="M19" i="76"/>
  <c r="L19" i="76"/>
  <c r="K19" i="76"/>
  <c r="J19" i="76"/>
  <c r="I19" i="76"/>
  <c r="H19" i="76"/>
  <c r="G19" i="76"/>
  <c r="F19" i="76"/>
  <c r="E19" i="76"/>
  <c r="D19" i="76"/>
  <c r="C19" i="76"/>
  <c r="B19" i="76"/>
  <c r="Q18" i="76"/>
  <c r="P18" i="76"/>
  <c r="O18" i="76"/>
  <c r="N18" i="76"/>
  <c r="M18" i="76"/>
  <c r="L18" i="76"/>
  <c r="K18" i="76"/>
  <c r="J18" i="76"/>
  <c r="I18" i="76"/>
  <c r="H18" i="76"/>
  <c r="G18" i="76"/>
  <c r="F18" i="76"/>
  <c r="E18" i="76"/>
  <c r="D18" i="76"/>
  <c r="C18" i="76"/>
  <c r="B18" i="76"/>
  <c r="Q17" i="76"/>
  <c r="P17" i="76"/>
  <c r="O17" i="76"/>
  <c r="N17" i="76"/>
  <c r="M17" i="76"/>
  <c r="L17" i="76"/>
  <c r="K17" i="76"/>
  <c r="J17" i="76"/>
  <c r="I17" i="76"/>
  <c r="H17" i="76"/>
  <c r="G17" i="76"/>
  <c r="F17" i="76"/>
  <c r="E17" i="76"/>
  <c r="D17" i="76"/>
  <c r="C17" i="76"/>
  <c r="B17" i="76"/>
  <c r="Q16" i="76"/>
  <c r="P16" i="76"/>
  <c r="O16" i="76"/>
  <c r="N16" i="76"/>
  <c r="M16" i="76"/>
  <c r="L16" i="76"/>
  <c r="K16" i="76"/>
  <c r="J16" i="76"/>
  <c r="I16" i="76"/>
  <c r="H16" i="76"/>
  <c r="G16" i="76"/>
  <c r="F16" i="76"/>
  <c r="E16" i="76"/>
  <c r="D16" i="76"/>
  <c r="C16" i="76"/>
  <c r="B16" i="76"/>
  <c r="M33" i="127"/>
  <c r="C43" i="102"/>
  <c r="N33" i="127"/>
  <c r="N32" i="127"/>
  <c r="M32" i="127"/>
  <c r="N31" i="127"/>
  <c r="M31" i="127"/>
  <c r="N30" i="127"/>
  <c r="M30" i="127"/>
  <c r="N29" i="127"/>
  <c r="M29" i="127"/>
  <c r="N28" i="127"/>
  <c r="M28" i="127"/>
  <c r="N27" i="127"/>
  <c r="M27" i="127"/>
  <c r="N26" i="127"/>
  <c r="M26" i="127"/>
  <c r="N25" i="127"/>
  <c r="M25" i="127"/>
  <c r="N24" i="127"/>
  <c r="M24" i="127"/>
  <c r="N23" i="127"/>
  <c r="M23" i="127"/>
  <c r="N22" i="127"/>
  <c r="M22" i="127"/>
  <c r="N21" i="127"/>
  <c r="M21" i="127"/>
  <c r="N20" i="127"/>
  <c r="M20" i="127"/>
  <c r="N19" i="127"/>
  <c r="M19" i="127"/>
  <c r="N18" i="127"/>
  <c r="M18" i="127"/>
  <c r="N17" i="127"/>
  <c r="M17" i="127"/>
  <c r="N16" i="127"/>
  <c r="M16" i="127"/>
  <c r="N15" i="127"/>
  <c r="M15" i="127"/>
  <c r="N14" i="127"/>
  <c r="M14" i="127"/>
  <c r="N13" i="127"/>
  <c r="M13" i="127"/>
  <c r="N12" i="127"/>
  <c r="M12" i="127"/>
  <c r="R43" i="83"/>
  <c r="L43" i="10"/>
  <c r="F43" i="10"/>
  <c r="K43" i="11"/>
  <c r="J43" i="11"/>
  <c r="O43" i="9" s="1"/>
  <c r="I43" i="12"/>
  <c r="H43" i="12"/>
  <c r="G43" i="12"/>
  <c r="N43" i="13"/>
  <c r="F43" i="13"/>
  <c r="C43" i="13"/>
  <c r="K43" i="14"/>
  <c r="G43" i="14"/>
  <c r="C43" i="14"/>
  <c r="Q43" i="15"/>
  <c r="P43" i="15"/>
  <c r="L43" i="15"/>
  <c r="J43" i="102"/>
  <c r="K43" i="65"/>
  <c r="C43" i="65"/>
  <c r="Q43" i="64"/>
  <c r="K43" i="64"/>
  <c r="I43" i="64"/>
  <c r="G43" i="64"/>
  <c r="D43" i="64"/>
  <c r="C43" i="64"/>
  <c r="N43" i="106"/>
  <c r="M43" i="18"/>
  <c r="N43" i="18"/>
  <c r="J43" i="72"/>
  <c r="I43" i="72"/>
  <c r="G43" i="75"/>
  <c r="O43" i="74"/>
  <c r="N43" i="74"/>
  <c r="L43" i="74"/>
  <c r="J43" i="78"/>
  <c r="P43" i="77"/>
  <c r="N43" i="77"/>
  <c r="F43" i="77"/>
  <c r="J43" i="77"/>
  <c r="N16" i="114"/>
  <c r="N23" i="115"/>
  <c r="N19" i="115"/>
  <c r="N18" i="117"/>
  <c r="N33" i="115"/>
  <c r="M33" i="115"/>
  <c r="N32" i="115"/>
  <c r="M32" i="115"/>
  <c r="N31" i="115"/>
  <c r="M31" i="115"/>
  <c r="N30" i="115"/>
  <c r="M30" i="115"/>
  <c r="M29" i="115"/>
  <c r="N28" i="115"/>
  <c r="M28" i="115"/>
  <c r="N27" i="115"/>
  <c r="M27" i="115"/>
  <c r="N26" i="115"/>
  <c r="M26" i="115"/>
  <c r="N25" i="115"/>
  <c r="M25" i="115"/>
  <c r="N24" i="115"/>
  <c r="M24" i="115"/>
  <c r="M23" i="115"/>
  <c r="N22" i="115"/>
  <c r="M22" i="115"/>
  <c r="N21" i="115"/>
  <c r="M21" i="115"/>
  <c r="N20" i="115"/>
  <c r="M20" i="115"/>
  <c r="M19" i="115"/>
  <c r="N18" i="115"/>
  <c r="M18" i="115"/>
  <c r="N17" i="115"/>
  <c r="M17" i="115"/>
  <c r="N16" i="115"/>
  <c r="M16" i="115"/>
  <c r="N15" i="115"/>
  <c r="M15" i="115"/>
  <c r="N14" i="115"/>
  <c r="M14" i="115"/>
  <c r="N13" i="115"/>
  <c r="M13" i="115"/>
  <c r="N33" i="116"/>
  <c r="M33" i="116"/>
  <c r="N32" i="116"/>
  <c r="M32" i="116"/>
  <c r="N31" i="116"/>
  <c r="M31" i="116"/>
  <c r="N30" i="116"/>
  <c r="M30" i="116"/>
  <c r="N29" i="116"/>
  <c r="M29" i="116"/>
  <c r="N28" i="116"/>
  <c r="M28" i="116"/>
  <c r="N27" i="116"/>
  <c r="M27" i="116"/>
  <c r="N26" i="116"/>
  <c r="M26" i="116"/>
  <c r="N25" i="116"/>
  <c r="M25" i="116"/>
  <c r="N24" i="116"/>
  <c r="M24" i="116"/>
  <c r="N23" i="116"/>
  <c r="M23" i="116"/>
  <c r="N22" i="116"/>
  <c r="M22" i="116"/>
  <c r="N21" i="116"/>
  <c r="M21" i="116"/>
  <c r="N20" i="116"/>
  <c r="M20" i="116"/>
  <c r="N19" i="116"/>
  <c r="M19" i="116"/>
  <c r="N18" i="116"/>
  <c r="M18" i="116"/>
  <c r="N17" i="116"/>
  <c r="M17" i="116"/>
  <c r="N16" i="116"/>
  <c r="M16" i="116"/>
  <c r="N15" i="116"/>
  <c r="M15" i="116"/>
  <c r="N14" i="116"/>
  <c r="M14" i="116"/>
  <c r="N13" i="116"/>
  <c r="M13" i="116"/>
  <c r="N33" i="117"/>
  <c r="M33" i="117"/>
  <c r="N32" i="117"/>
  <c r="M32" i="117"/>
  <c r="N31" i="117"/>
  <c r="M31" i="117"/>
  <c r="M30" i="117"/>
  <c r="M29" i="117"/>
  <c r="N28" i="117"/>
  <c r="M28" i="117"/>
  <c r="N27" i="117"/>
  <c r="M27" i="117"/>
  <c r="N26" i="117"/>
  <c r="M26" i="117"/>
  <c r="N25" i="117"/>
  <c r="M25" i="117"/>
  <c r="N24" i="117"/>
  <c r="M24" i="117"/>
  <c r="N23" i="117"/>
  <c r="M23" i="117"/>
  <c r="N22" i="117"/>
  <c r="M22" i="117"/>
  <c r="N21" i="117"/>
  <c r="M21" i="117"/>
  <c r="N20" i="117"/>
  <c r="M20" i="117"/>
  <c r="N19" i="117"/>
  <c r="M19" i="117"/>
  <c r="M18" i="117"/>
  <c r="N17" i="117"/>
  <c r="M17" i="117"/>
  <c r="N16" i="117"/>
  <c r="M16" i="117"/>
  <c r="N15" i="117"/>
  <c r="M15" i="117"/>
  <c r="N14" i="117"/>
  <c r="M14" i="117"/>
  <c r="N13" i="117"/>
  <c r="M13" i="117"/>
  <c r="N33" i="114"/>
  <c r="M33" i="114"/>
  <c r="N32" i="114"/>
  <c r="M32" i="114"/>
  <c r="M31" i="114"/>
  <c r="N30" i="114"/>
  <c r="M30" i="114"/>
  <c r="M29" i="114"/>
  <c r="M28" i="114"/>
  <c r="M27" i="114"/>
  <c r="N26" i="114"/>
  <c r="M26" i="114"/>
  <c r="M25" i="114"/>
  <c r="N24" i="114"/>
  <c r="M24" i="114"/>
  <c r="N23" i="114"/>
  <c r="M23" i="114"/>
  <c r="N22" i="114"/>
  <c r="M22" i="114"/>
  <c r="N21" i="114"/>
  <c r="M21" i="114"/>
  <c r="N20" i="114"/>
  <c r="M20" i="114"/>
  <c r="N19" i="114"/>
  <c r="M19" i="114"/>
  <c r="N18" i="114"/>
  <c r="M18" i="114"/>
  <c r="N17" i="114"/>
  <c r="M17" i="114"/>
  <c r="M16" i="114"/>
  <c r="N15" i="114"/>
  <c r="M15" i="114"/>
  <c r="N14" i="114"/>
  <c r="M14" i="114"/>
  <c r="N13" i="114"/>
  <c r="M13" i="114"/>
  <c r="S43" i="80"/>
  <c r="R43" i="80"/>
  <c r="P43" i="80"/>
  <c r="O43" i="80"/>
  <c r="N43" i="80"/>
  <c r="M43" i="80"/>
  <c r="L43" i="80"/>
  <c r="K43" i="80"/>
  <c r="J43" i="80"/>
  <c r="I43" i="80"/>
  <c r="H43" i="80"/>
  <c r="G43" i="80"/>
  <c r="F43" i="80"/>
  <c r="E43" i="80"/>
  <c r="D43" i="80"/>
  <c r="C43" i="80"/>
  <c r="S43" i="128"/>
  <c r="R43" i="128"/>
  <c r="Q43" i="128"/>
  <c r="P43" i="128"/>
  <c r="O43" i="128"/>
  <c r="N43" i="128"/>
  <c r="M43" i="128"/>
  <c r="L43" i="128"/>
  <c r="K43" i="128"/>
  <c r="J43" i="128"/>
  <c r="I43" i="128"/>
  <c r="H43" i="128"/>
  <c r="G43" i="128"/>
  <c r="F43" i="128"/>
  <c r="E43" i="128"/>
  <c r="D43" i="128"/>
  <c r="C43" i="128"/>
  <c r="M43" i="10"/>
  <c r="K43" i="10"/>
  <c r="J43" i="10"/>
  <c r="I43" i="10"/>
  <c r="H43" i="10"/>
  <c r="G43" i="10"/>
  <c r="E43" i="10"/>
  <c r="D43" i="10"/>
  <c r="C43" i="10"/>
  <c r="K43" i="5" s="1"/>
  <c r="L43" i="11"/>
  <c r="I43" i="11"/>
  <c r="H43" i="11"/>
  <c r="G43" i="11"/>
  <c r="F43" i="11"/>
  <c r="E43" i="11"/>
  <c r="D43" i="11"/>
  <c r="C43" i="11"/>
  <c r="F43" i="12"/>
  <c r="E43" i="12"/>
  <c r="D43" i="12"/>
  <c r="C43" i="12"/>
  <c r="M43" i="13"/>
  <c r="L43" i="13"/>
  <c r="K43" i="13"/>
  <c r="J43" i="13"/>
  <c r="I43" i="13"/>
  <c r="G43" i="13"/>
  <c r="D43" i="13"/>
  <c r="N43" i="14"/>
  <c r="M43" i="14"/>
  <c r="L43" i="14"/>
  <c r="J43" i="14"/>
  <c r="I43" i="14"/>
  <c r="H43" i="14"/>
  <c r="E43" i="14"/>
  <c r="D43" i="14"/>
  <c r="O43" i="15"/>
  <c r="N43" i="15"/>
  <c r="K43" i="15"/>
  <c r="J43" i="15"/>
  <c r="I43" i="15"/>
  <c r="H43" i="15"/>
  <c r="G43" i="15"/>
  <c r="F43" i="15"/>
  <c r="E43" i="15"/>
  <c r="D43" i="6" s="1"/>
  <c r="D43" i="15"/>
  <c r="C43" i="15"/>
  <c r="O43" i="65"/>
  <c r="N43" i="65"/>
  <c r="M43" i="65"/>
  <c r="L43" i="65"/>
  <c r="J43" i="65"/>
  <c r="H43" i="65"/>
  <c r="G43" i="65"/>
  <c r="F43" i="65"/>
  <c r="E43" i="65"/>
  <c r="D43" i="65"/>
  <c r="P43" i="64"/>
  <c r="O43" i="64"/>
  <c r="N43" i="64"/>
  <c r="M43" i="64"/>
  <c r="L43" i="64"/>
  <c r="H43" i="64"/>
  <c r="F43" i="64"/>
  <c r="E43" i="64"/>
  <c r="I43" i="61"/>
  <c r="H43" i="61"/>
  <c r="G43" i="61"/>
  <c r="F43" i="61"/>
  <c r="E43" i="61"/>
  <c r="D43" i="61"/>
  <c r="C43" i="61"/>
  <c r="P43" i="105"/>
  <c r="O43" i="105"/>
  <c r="N43" i="105"/>
  <c r="M43" i="105"/>
  <c r="L43" i="105"/>
  <c r="K43" i="105"/>
  <c r="J43" i="105"/>
  <c r="I43" i="105"/>
  <c r="H43" i="105"/>
  <c r="G43" i="105"/>
  <c r="F43" i="105"/>
  <c r="D43" i="105"/>
  <c r="C43" i="105"/>
  <c r="P43" i="106"/>
  <c r="O43" i="106"/>
  <c r="M43" i="106"/>
  <c r="L43" i="106"/>
  <c r="K43" i="106"/>
  <c r="J43" i="106"/>
  <c r="I43" i="106"/>
  <c r="H43" i="106"/>
  <c r="G43" i="106"/>
  <c r="F43" i="106"/>
  <c r="E43" i="106"/>
  <c r="O43" i="17"/>
  <c r="M43" i="17"/>
  <c r="L43" i="17"/>
  <c r="K43" i="17"/>
  <c r="J43" i="17"/>
  <c r="H43" i="17"/>
  <c r="F43" i="17"/>
  <c r="E43" i="17"/>
  <c r="D43" i="17"/>
  <c r="O43" i="18"/>
  <c r="L43" i="18"/>
  <c r="K43" i="18"/>
  <c r="J43" i="18"/>
  <c r="I43" i="18"/>
  <c r="H43" i="18"/>
  <c r="G43" i="18"/>
  <c r="E43" i="18"/>
  <c r="D43" i="18"/>
  <c r="C43" i="18"/>
  <c r="P43" i="73"/>
  <c r="O43" i="73"/>
  <c r="N43" i="73"/>
  <c r="M43" i="73"/>
  <c r="L43" i="73"/>
  <c r="H43" i="73"/>
  <c r="G43" i="73"/>
  <c r="F43" i="73"/>
  <c r="E43" i="73"/>
  <c r="D43" i="73"/>
  <c r="Q43" i="72"/>
  <c r="P43" i="72"/>
  <c r="O43" i="72"/>
  <c r="N43" i="72"/>
  <c r="L43" i="72"/>
  <c r="K43" i="72"/>
  <c r="H43" i="72"/>
  <c r="G43" i="72"/>
  <c r="F43" i="72"/>
  <c r="E43" i="72"/>
  <c r="D43" i="72"/>
  <c r="C43" i="72"/>
  <c r="P43" i="75"/>
  <c r="M43" i="75"/>
  <c r="L43" i="75"/>
  <c r="K43" i="75"/>
  <c r="J43" i="75"/>
  <c r="I43" i="75"/>
  <c r="H43" i="75"/>
  <c r="F43" i="75"/>
  <c r="E43" i="75"/>
  <c r="D43" i="75"/>
  <c r="P43" i="74"/>
  <c r="M43" i="74"/>
  <c r="K43" i="74"/>
  <c r="J43" i="74"/>
  <c r="I43" i="74"/>
  <c r="H43" i="74"/>
  <c r="G43" i="74"/>
  <c r="F43" i="74"/>
  <c r="D43" i="74"/>
  <c r="C43" i="74"/>
  <c r="P43" i="78"/>
  <c r="O43" i="78"/>
  <c r="N43" i="78"/>
  <c r="L43" i="78"/>
  <c r="K43" i="78"/>
  <c r="H43" i="78"/>
  <c r="G43" i="78"/>
  <c r="F43" i="78"/>
  <c r="E43" i="78"/>
  <c r="D43" i="78"/>
  <c r="C43" i="78"/>
  <c r="Q43" i="77"/>
  <c r="O43" i="77"/>
  <c r="M43" i="77"/>
  <c r="L43" i="77"/>
  <c r="K43" i="77"/>
  <c r="I43" i="77"/>
  <c r="H43" i="77"/>
  <c r="G43" i="77"/>
  <c r="E43" i="77"/>
  <c r="D43" i="77"/>
  <c r="M43" i="110"/>
  <c r="L43" i="110"/>
  <c r="K43" i="110"/>
  <c r="J43" i="110"/>
  <c r="I43" i="110"/>
  <c r="H43" i="110"/>
  <c r="F43" i="110"/>
  <c r="E43" i="110"/>
  <c r="D43" i="110"/>
  <c r="C43" i="110"/>
  <c r="N43" i="122"/>
  <c r="L43" i="122"/>
  <c r="K43" i="122"/>
  <c r="J43" i="122"/>
  <c r="I43" i="122"/>
  <c r="H43" i="122"/>
  <c r="G43" i="122"/>
  <c r="F43" i="122"/>
  <c r="E43" i="122"/>
  <c r="D43" i="122"/>
  <c r="C43" i="122"/>
  <c r="N43" i="125"/>
  <c r="L43" i="125"/>
  <c r="K43" i="125"/>
  <c r="I43" i="125"/>
  <c r="H43" i="125"/>
  <c r="G43" i="125"/>
  <c r="F43" i="125"/>
  <c r="E43" i="125"/>
  <c r="D43" i="125"/>
  <c r="C43" i="125"/>
  <c r="L43" i="102"/>
  <c r="K43" i="102"/>
  <c r="I43" i="102"/>
  <c r="H43" i="102"/>
  <c r="G43" i="102"/>
  <c r="F43" i="102"/>
  <c r="E43" i="102"/>
  <c r="D43" i="102"/>
  <c r="H43" i="4"/>
  <c r="P43" i="4" s="1"/>
  <c r="J43" i="5"/>
  <c r="M43" i="5" s="1"/>
  <c r="H43" i="5"/>
  <c r="K43" i="6"/>
  <c r="C43" i="7"/>
  <c r="E43" i="8" s="1"/>
  <c r="O43" i="83"/>
  <c r="L43" i="83"/>
  <c r="H43" i="83"/>
  <c r="E43" i="83"/>
  <c r="K43" i="9"/>
  <c r="N43" i="107"/>
  <c r="M43" i="107"/>
  <c r="H43" i="107"/>
  <c r="F43" i="107"/>
  <c r="G43" i="130"/>
  <c r="D43" i="130"/>
  <c r="H43" i="130" s="1"/>
  <c r="N43" i="120"/>
  <c r="O43" i="120" s="1"/>
  <c r="K43" i="121"/>
  <c r="L46" i="101"/>
  <c r="G46" i="101"/>
  <c r="P21" i="108"/>
  <c r="P26" i="108"/>
  <c r="O26" i="108"/>
  <c r="P25" i="108"/>
  <c r="O25" i="108"/>
  <c r="P24" i="108"/>
  <c r="O24" i="108"/>
  <c r="P23" i="108"/>
  <c r="O23" i="108"/>
  <c r="P22" i="108"/>
  <c r="O22" i="108"/>
  <c r="O21" i="108"/>
  <c r="P20" i="108"/>
  <c r="O20" i="108"/>
  <c r="P18" i="108"/>
  <c r="O18" i="108"/>
  <c r="P17" i="108"/>
  <c r="P19" i="108"/>
  <c r="O19" i="108"/>
  <c r="O17" i="108"/>
  <c r="Q42" i="64"/>
  <c r="K42" i="64"/>
  <c r="G42" i="64"/>
  <c r="I42" i="64"/>
  <c r="D42" i="64"/>
  <c r="H42" i="64"/>
  <c r="C42" i="64"/>
  <c r="K42" i="65"/>
  <c r="C42" i="65"/>
  <c r="N42" i="120"/>
  <c r="H43" i="7" l="1"/>
  <c r="D43" i="9"/>
  <c r="M43" i="9"/>
  <c r="S43" i="74"/>
  <c r="Q43" i="17"/>
  <c r="Q43" i="78"/>
  <c r="Q43" i="65"/>
  <c r="S43" i="65" s="1"/>
  <c r="R43" i="17"/>
  <c r="S43" i="77"/>
  <c r="S43" i="105"/>
  <c r="M38" i="127"/>
  <c r="N38" i="127"/>
  <c r="R43" i="77"/>
  <c r="R43" i="74"/>
  <c r="R43" i="75"/>
  <c r="Q43" i="74"/>
  <c r="L43" i="9"/>
  <c r="Q43" i="105"/>
  <c r="S43" i="75"/>
  <c r="G43" i="6"/>
  <c r="I43" i="78"/>
  <c r="R43" i="78" s="1"/>
  <c r="M38" i="115"/>
  <c r="N38" i="115"/>
  <c r="S43" i="72"/>
  <c r="S43" i="64"/>
  <c r="N38" i="117"/>
  <c r="M43" i="122"/>
  <c r="P43" i="125"/>
  <c r="M43" i="11"/>
  <c r="F43" i="9"/>
  <c r="M43" i="125"/>
  <c r="O43" i="125" s="1"/>
  <c r="G43" i="9"/>
  <c r="I43" i="73"/>
  <c r="R43" i="73" s="1"/>
  <c r="P43" i="18"/>
  <c r="N38" i="116"/>
  <c r="M38" i="114"/>
  <c r="M38" i="116"/>
  <c r="O43" i="13"/>
  <c r="F43" i="7"/>
  <c r="K43" i="12"/>
  <c r="L43" i="12"/>
  <c r="I43" i="65"/>
  <c r="R43" i="65" s="1"/>
  <c r="O43" i="14"/>
  <c r="J43" i="9"/>
  <c r="K43" i="61"/>
  <c r="J43" i="12"/>
  <c r="D43" i="7" s="1"/>
  <c r="E43" i="7" s="1"/>
  <c r="M43" i="102"/>
  <c r="N38" i="114"/>
  <c r="M38" i="117"/>
  <c r="V43" i="15"/>
  <c r="O43" i="10"/>
  <c r="R43" i="105"/>
  <c r="N43" i="11"/>
  <c r="T43" i="15"/>
  <c r="N43" i="102"/>
  <c r="R43" i="106"/>
  <c r="S43" i="106"/>
  <c r="F43" i="6"/>
  <c r="Q43" i="73"/>
  <c r="S43" i="73" s="1"/>
  <c r="P43" i="83"/>
  <c r="I43" i="83"/>
  <c r="Q43" i="83" s="1"/>
  <c r="G43" i="7"/>
  <c r="N43" i="10"/>
  <c r="P43" i="14"/>
  <c r="S43" i="15"/>
  <c r="P43" i="120"/>
  <c r="R43" i="15"/>
  <c r="P43" i="13"/>
  <c r="H43" i="9"/>
  <c r="R43" i="18"/>
  <c r="Q43" i="18"/>
  <c r="Q43" i="106"/>
  <c r="Q43" i="75"/>
  <c r="S43" i="78"/>
  <c r="R43" i="72"/>
  <c r="P43" i="17"/>
  <c r="R43" i="64"/>
  <c r="I43" i="9"/>
  <c r="U43" i="15"/>
  <c r="N43" i="9"/>
  <c r="C43" i="9"/>
  <c r="E43" i="6"/>
  <c r="J43" i="61"/>
  <c r="L43" i="5"/>
  <c r="C43" i="6" s="1"/>
  <c r="H43" i="6" s="1"/>
  <c r="L43" i="6" s="1"/>
  <c r="E43" i="9"/>
  <c r="L18" i="117"/>
  <c r="L23" i="115"/>
  <c r="L19" i="115"/>
  <c r="L16" i="114"/>
  <c r="L13" i="114"/>
  <c r="L17" i="117"/>
  <c r="L32" i="116"/>
  <c r="L13" i="115"/>
  <c r="L33" i="115"/>
  <c r="K33" i="115"/>
  <c r="L32" i="115"/>
  <c r="K32" i="115"/>
  <c r="L31" i="115"/>
  <c r="K31" i="115"/>
  <c r="L30" i="115"/>
  <c r="K30" i="115"/>
  <c r="L29" i="115"/>
  <c r="K29" i="115"/>
  <c r="L28" i="115"/>
  <c r="K28" i="115"/>
  <c r="L27" i="115"/>
  <c r="K27" i="115"/>
  <c r="L26" i="115"/>
  <c r="K26" i="115"/>
  <c r="L25" i="115"/>
  <c r="K25" i="115"/>
  <c r="L24" i="115"/>
  <c r="K24" i="115"/>
  <c r="K23" i="115"/>
  <c r="L22" i="115"/>
  <c r="K22" i="115"/>
  <c r="L21" i="115"/>
  <c r="K21" i="115"/>
  <c r="L20" i="115"/>
  <c r="K20" i="115"/>
  <c r="K19" i="115"/>
  <c r="L18" i="115"/>
  <c r="K18" i="115"/>
  <c r="L17" i="115"/>
  <c r="K17" i="115"/>
  <c r="L16" i="115"/>
  <c r="K16" i="115"/>
  <c r="L15" i="115"/>
  <c r="K15" i="115"/>
  <c r="L14" i="115"/>
  <c r="K14" i="115"/>
  <c r="K13" i="115"/>
  <c r="L33" i="116"/>
  <c r="K33" i="116"/>
  <c r="K32" i="116"/>
  <c r="L31" i="116"/>
  <c r="K31" i="116"/>
  <c r="L30" i="116"/>
  <c r="K30" i="116"/>
  <c r="L29" i="116"/>
  <c r="K29" i="116"/>
  <c r="L28" i="116"/>
  <c r="K28" i="116"/>
  <c r="L27" i="116"/>
  <c r="K27" i="116"/>
  <c r="L26" i="116"/>
  <c r="K26" i="116"/>
  <c r="L25" i="116"/>
  <c r="K25" i="116"/>
  <c r="L24" i="116"/>
  <c r="K24" i="116"/>
  <c r="L23" i="116"/>
  <c r="K23" i="116"/>
  <c r="L22" i="116"/>
  <c r="K22" i="116"/>
  <c r="L21" i="116"/>
  <c r="K21" i="116"/>
  <c r="L20" i="116"/>
  <c r="K20" i="116"/>
  <c r="L19" i="116"/>
  <c r="K19" i="116"/>
  <c r="L18" i="116"/>
  <c r="K18" i="116"/>
  <c r="L17" i="116"/>
  <c r="K17" i="116"/>
  <c r="L16" i="116"/>
  <c r="K16" i="116"/>
  <c r="L15" i="116"/>
  <c r="K15" i="116"/>
  <c r="L14" i="116"/>
  <c r="K14" i="116"/>
  <c r="L13" i="116"/>
  <c r="K13" i="116"/>
  <c r="L33" i="117"/>
  <c r="K33" i="117"/>
  <c r="L32" i="117"/>
  <c r="K32" i="117"/>
  <c r="L31" i="117"/>
  <c r="K31" i="117"/>
  <c r="L30" i="117"/>
  <c r="K30" i="117"/>
  <c r="L29" i="117"/>
  <c r="K29" i="117"/>
  <c r="L28" i="117"/>
  <c r="K28" i="117"/>
  <c r="L27" i="117"/>
  <c r="K27" i="117"/>
  <c r="L26" i="117"/>
  <c r="K26" i="117"/>
  <c r="L25" i="117"/>
  <c r="K25" i="117"/>
  <c r="L24" i="117"/>
  <c r="K24" i="117"/>
  <c r="L23" i="117"/>
  <c r="K23" i="117"/>
  <c r="L22" i="117"/>
  <c r="K22" i="117"/>
  <c r="L21" i="117"/>
  <c r="K21" i="117"/>
  <c r="L20" i="117"/>
  <c r="K20" i="117"/>
  <c r="L19" i="117"/>
  <c r="K19" i="117"/>
  <c r="K18" i="117"/>
  <c r="K17" i="117"/>
  <c r="L16" i="117"/>
  <c r="K16" i="117"/>
  <c r="L15" i="117"/>
  <c r="K15" i="117"/>
  <c r="L14" i="117"/>
  <c r="K14" i="117"/>
  <c r="L13" i="117"/>
  <c r="K13" i="117"/>
  <c r="L33" i="114"/>
  <c r="K33" i="114"/>
  <c r="L32" i="114"/>
  <c r="K32" i="114"/>
  <c r="L31" i="114"/>
  <c r="K31" i="114"/>
  <c r="L30" i="114"/>
  <c r="K30" i="114"/>
  <c r="L29" i="114"/>
  <c r="K29" i="114"/>
  <c r="L28" i="114"/>
  <c r="K28" i="114"/>
  <c r="L27" i="114"/>
  <c r="K27" i="114"/>
  <c r="L26" i="114"/>
  <c r="K26" i="114"/>
  <c r="L25" i="114"/>
  <c r="K25" i="114"/>
  <c r="L24" i="114"/>
  <c r="K24" i="114"/>
  <c r="L23" i="114"/>
  <c r="K23" i="114"/>
  <c r="L22" i="114"/>
  <c r="K22" i="114"/>
  <c r="L21" i="114"/>
  <c r="K21" i="114"/>
  <c r="L20" i="114"/>
  <c r="K20" i="114"/>
  <c r="L19" i="114"/>
  <c r="K19" i="114"/>
  <c r="L18" i="114"/>
  <c r="K18" i="114"/>
  <c r="L17" i="114"/>
  <c r="K17" i="114"/>
  <c r="K16" i="114"/>
  <c r="L15" i="114"/>
  <c r="K15" i="114"/>
  <c r="L14" i="114"/>
  <c r="K14" i="114"/>
  <c r="K13" i="114"/>
  <c r="H42" i="107"/>
  <c r="F42" i="107"/>
  <c r="I43" i="7" l="1"/>
  <c r="L43" i="7" s="1"/>
  <c r="Q43" i="9"/>
  <c r="P43" i="9"/>
  <c r="S43" i="9"/>
  <c r="R43" i="9"/>
  <c r="K43" i="7"/>
  <c r="I43" i="6"/>
  <c r="K38" i="116"/>
  <c r="L38" i="116"/>
  <c r="K38" i="115"/>
  <c r="K38" i="114"/>
  <c r="L38" i="114"/>
  <c r="K38" i="117"/>
  <c r="L38" i="117"/>
  <c r="L38" i="115"/>
  <c r="Q42" i="77"/>
  <c r="N42" i="77"/>
  <c r="P42" i="77"/>
  <c r="J42" i="77"/>
  <c r="F42" i="77"/>
  <c r="I42" i="77"/>
  <c r="J42" i="78"/>
  <c r="P42" i="78"/>
  <c r="O42" i="78"/>
  <c r="N42" i="78"/>
  <c r="M42" i="78"/>
  <c r="L42" i="78"/>
  <c r="K42" i="78"/>
  <c r="H42" i="78"/>
  <c r="G42" i="78"/>
  <c r="F42" i="78"/>
  <c r="E42" i="78"/>
  <c r="D42" i="78"/>
  <c r="C42" i="78"/>
  <c r="O42" i="74"/>
  <c r="N42" i="74"/>
  <c r="L42" i="74"/>
  <c r="K42" i="74"/>
  <c r="G42" i="75"/>
  <c r="O42" i="75"/>
  <c r="I42" i="72"/>
  <c r="J42" i="72"/>
  <c r="J42" i="73"/>
  <c r="J42" i="106"/>
  <c r="N42" i="106"/>
  <c r="R42" i="83"/>
  <c r="K42" i="83"/>
  <c r="J42" i="83"/>
  <c r="R41" i="83"/>
  <c r="R37" i="83"/>
  <c r="R36" i="83"/>
  <c r="R35" i="83"/>
  <c r="M43" i="6" l="1"/>
  <c r="J43" i="6"/>
  <c r="I42" i="78"/>
  <c r="J42" i="64"/>
  <c r="L30" i="127"/>
  <c r="K13" i="127"/>
  <c r="L14" i="127"/>
  <c r="L33" i="127"/>
  <c r="K33" i="127"/>
  <c r="L32" i="127"/>
  <c r="K32" i="127"/>
  <c r="L31" i="127"/>
  <c r="K31" i="127"/>
  <c r="K30" i="127"/>
  <c r="L29" i="127"/>
  <c r="K29" i="127"/>
  <c r="L28" i="127"/>
  <c r="K28" i="127"/>
  <c r="L27" i="127"/>
  <c r="K27" i="127"/>
  <c r="L26" i="127"/>
  <c r="K26" i="127"/>
  <c r="L25" i="127"/>
  <c r="K25" i="127"/>
  <c r="L24" i="127"/>
  <c r="K24" i="127"/>
  <c r="L23" i="127"/>
  <c r="K23" i="127"/>
  <c r="L22" i="127"/>
  <c r="K22" i="127"/>
  <c r="L21" i="127"/>
  <c r="K21" i="127"/>
  <c r="L20" i="127"/>
  <c r="K20" i="127"/>
  <c r="L19" i="127"/>
  <c r="K19" i="127"/>
  <c r="L18" i="127"/>
  <c r="K18" i="127"/>
  <c r="L17" i="127"/>
  <c r="K17" i="127"/>
  <c r="L16" i="127"/>
  <c r="K16" i="127"/>
  <c r="L15" i="127"/>
  <c r="K15" i="127"/>
  <c r="K14" i="127"/>
  <c r="L13" i="127"/>
  <c r="L12" i="127"/>
  <c r="K12" i="127"/>
  <c r="J42" i="102"/>
  <c r="Q42" i="15"/>
  <c r="P42" i="15"/>
  <c r="L42" i="15"/>
  <c r="K42" i="15"/>
  <c r="F42" i="14"/>
  <c r="J42" i="14"/>
  <c r="N42" i="14"/>
  <c r="K42" i="14"/>
  <c r="G42" i="14"/>
  <c r="C42" i="14"/>
  <c r="N42" i="13"/>
  <c r="M42" i="13"/>
  <c r="F42" i="13"/>
  <c r="C42" i="13"/>
  <c r="H42" i="13"/>
  <c r="I42" i="12"/>
  <c r="H42" i="12"/>
  <c r="G42" i="12"/>
  <c r="J42" i="11"/>
  <c r="K42" i="11"/>
  <c r="N42" i="18"/>
  <c r="M42" i="18"/>
  <c r="L42" i="10"/>
  <c r="F42" i="10"/>
  <c r="C43" i="8" l="1"/>
  <c r="N43" i="6"/>
  <c r="J43" i="7"/>
  <c r="M43" i="7" s="1"/>
  <c r="K38" i="127"/>
  <c r="L38" i="127"/>
  <c r="M42" i="10"/>
  <c r="K42" i="10"/>
  <c r="J42" i="10"/>
  <c r="I42" i="10"/>
  <c r="H42" i="10"/>
  <c r="G42" i="10"/>
  <c r="E42" i="10"/>
  <c r="D42" i="10"/>
  <c r="C42" i="10"/>
  <c r="J42" i="5"/>
  <c r="G42" i="130" l="1"/>
  <c r="D42" i="130"/>
  <c r="H42" i="125"/>
  <c r="I42" i="110"/>
  <c r="M42" i="77"/>
  <c r="O42" i="77"/>
  <c r="L42" i="77"/>
  <c r="K42" i="77"/>
  <c r="H42" i="77"/>
  <c r="G42" i="77"/>
  <c r="E42" i="77"/>
  <c r="D42" i="77"/>
  <c r="C42" i="77"/>
  <c r="P42" i="74"/>
  <c r="M42" i="74"/>
  <c r="J42" i="74"/>
  <c r="I42" i="74"/>
  <c r="H42" i="74"/>
  <c r="G42" i="74"/>
  <c r="F42" i="74"/>
  <c r="E42" i="74"/>
  <c r="D42" i="74"/>
  <c r="C42" i="74"/>
  <c r="P42" i="75"/>
  <c r="N42" i="75"/>
  <c r="M42" i="75"/>
  <c r="L42" i="75"/>
  <c r="K42" i="75"/>
  <c r="J42" i="75"/>
  <c r="I42" i="75"/>
  <c r="H42" i="75"/>
  <c r="F42" i="75"/>
  <c r="E42" i="75"/>
  <c r="D42" i="75"/>
  <c r="C42" i="75"/>
  <c r="Q42" i="72"/>
  <c r="P42" i="72"/>
  <c r="O42" i="72"/>
  <c r="N42" i="72"/>
  <c r="M42" i="72"/>
  <c r="L42" i="72"/>
  <c r="K42" i="72"/>
  <c r="H42" i="72"/>
  <c r="G42" i="72"/>
  <c r="F42" i="72"/>
  <c r="E42" i="72"/>
  <c r="D42" i="72"/>
  <c r="C42" i="72"/>
  <c r="G42" i="73"/>
  <c r="C42" i="73"/>
  <c r="P42" i="73"/>
  <c r="O42" i="73"/>
  <c r="N42" i="73"/>
  <c r="M42" i="73"/>
  <c r="L42" i="73"/>
  <c r="K42" i="73"/>
  <c r="H42" i="73"/>
  <c r="F42" i="73"/>
  <c r="E42" i="73"/>
  <c r="D42" i="73"/>
  <c r="H42" i="18"/>
  <c r="E42" i="18"/>
  <c r="O42" i="18"/>
  <c r="L42" i="18"/>
  <c r="K42" i="18"/>
  <c r="J42" i="18"/>
  <c r="I42" i="18"/>
  <c r="G42" i="18"/>
  <c r="F42" i="18"/>
  <c r="D42" i="18"/>
  <c r="C42" i="18"/>
  <c r="E42" i="17"/>
  <c r="O42" i="17"/>
  <c r="N42" i="17"/>
  <c r="M42" i="17"/>
  <c r="H42" i="9" s="1"/>
  <c r="L42" i="17"/>
  <c r="K42" i="17"/>
  <c r="J42" i="17"/>
  <c r="I42" i="17"/>
  <c r="H42" i="17"/>
  <c r="G42" i="17"/>
  <c r="F42" i="17"/>
  <c r="F42" i="9" s="1"/>
  <c r="D42" i="17"/>
  <c r="C42" i="17"/>
  <c r="C42" i="9" s="1"/>
  <c r="P42" i="106"/>
  <c r="O42" i="106"/>
  <c r="M42" i="106"/>
  <c r="L42" i="106"/>
  <c r="K42" i="106"/>
  <c r="I42" i="106"/>
  <c r="H42" i="106"/>
  <c r="G42" i="106"/>
  <c r="F42" i="106"/>
  <c r="E42" i="106"/>
  <c r="D42" i="106"/>
  <c r="C42" i="106"/>
  <c r="P42" i="105"/>
  <c r="O42" i="105"/>
  <c r="N42" i="105"/>
  <c r="M42" i="105"/>
  <c r="L42" i="105"/>
  <c r="K42" i="105"/>
  <c r="J42" i="105"/>
  <c r="I42" i="105"/>
  <c r="H42" i="105"/>
  <c r="G42" i="105"/>
  <c r="F42" i="105"/>
  <c r="E42" i="105"/>
  <c r="D42" i="105"/>
  <c r="C42" i="105"/>
  <c r="I42" i="61"/>
  <c r="H42" i="61"/>
  <c r="G42" i="61"/>
  <c r="F42" i="61"/>
  <c r="E42" i="61"/>
  <c r="D42" i="61"/>
  <c r="C42" i="61"/>
  <c r="P42" i="64"/>
  <c r="O42" i="64"/>
  <c r="N42" i="64"/>
  <c r="M42" i="64"/>
  <c r="L42" i="64"/>
  <c r="F42" i="64"/>
  <c r="E42" i="64"/>
  <c r="J42" i="65"/>
  <c r="P42" i="65"/>
  <c r="O42" i="65"/>
  <c r="N42" i="65"/>
  <c r="M42" i="65"/>
  <c r="L42" i="65"/>
  <c r="H42" i="65"/>
  <c r="G42" i="65"/>
  <c r="F42" i="65"/>
  <c r="E42" i="65"/>
  <c r="D42" i="65"/>
  <c r="L42" i="102"/>
  <c r="K42" i="102"/>
  <c r="I42" i="102"/>
  <c r="H42" i="102"/>
  <c r="G42" i="102"/>
  <c r="F42" i="102"/>
  <c r="E42" i="102"/>
  <c r="D42" i="102"/>
  <c r="C42" i="102"/>
  <c r="O42" i="15"/>
  <c r="N42" i="15"/>
  <c r="M42" i="15"/>
  <c r="J42" i="15"/>
  <c r="I42" i="15"/>
  <c r="H42" i="15"/>
  <c r="G42" i="15"/>
  <c r="F42" i="15"/>
  <c r="E42" i="15"/>
  <c r="D42" i="15"/>
  <c r="C42" i="15"/>
  <c r="M42" i="14"/>
  <c r="L42" i="14"/>
  <c r="I42" i="14"/>
  <c r="H42" i="14"/>
  <c r="E42" i="14"/>
  <c r="D42" i="14"/>
  <c r="L42" i="13"/>
  <c r="K42" i="13"/>
  <c r="J42" i="13"/>
  <c r="I42" i="13"/>
  <c r="G42" i="13"/>
  <c r="E42" i="13"/>
  <c r="D42" i="13"/>
  <c r="D42" i="12"/>
  <c r="C42" i="12"/>
  <c r="F42" i="12"/>
  <c r="E42" i="12"/>
  <c r="L42" i="11"/>
  <c r="I42" i="11"/>
  <c r="H42" i="11"/>
  <c r="G42" i="11"/>
  <c r="F42" i="11"/>
  <c r="E42" i="11"/>
  <c r="D42" i="11"/>
  <c r="C42" i="11"/>
  <c r="S42" i="128"/>
  <c r="R42" i="128"/>
  <c r="Q42" i="128"/>
  <c r="P42" i="128"/>
  <c r="O42" i="128"/>
  <c r="N42" i="128"/>
  <c r="M42" i="128"/>
  <c r="L42" i="128"/>
  <c r="K42" i="128"/>
  <c r="J42" i="128"/>
  <c r="I42" i="128"/>
  <c r="H42" i="128"/>
  <c r="G42" i="128"/>
  <c r="F42" i="128"/>
  <c r="E42" i="128"/>
  <c r="D42" i="128"/>
  <c r="C42" i="128"/>
  <c r="S42" i="80"/>
  <c r="R42" i="80"/>
  <c r="P42" i="80"/>
  <c r="O42" i="80"/>
  <c r="N42" i="80"/>
  <c r="M42" i="80"/>
  <c r="L42" i="80"/>
  <c r="K42" i="80"/>
  <c r="J42" i="80"/>
  <c r="I42" i="80"/>
  <c r="H42" i="80"/>
  <c r="G42" i="80"/>
  <c r="F42" i="80"/>
  <c r="E42" i="80"/>
  <c r="D42" i="80"/>
  <c r="C42" i="80"/>
  <c r="K42" i="6"/>
  <c r="C42" i="7"/>
  <c r="H42" i="4"/>
  <c r="G42" i="6" l="1"/>
  <c r="I42" i="65"/>
  <c r="Q42" i="65"/>
  <c r="I42" i="73"/>
  <c r="H42" i="7"/>
  <c r="J43" i="8" s="1"/>
  <c r="Q42" i="73"/>
  <c r="F42" i="6"/>
  <c r="N42" i="9"/>
  <c r="M42" i="9"/>
  <c r="P42" i="4"/>
  <c r="H41" i="4"/>
  <c r="P41" i="4" s="1"/>
  <c r="H40" i="4"/>
  <c r="P40" i="4" s="1"/>
  <c r="H39" i="4"/>
  <c r="P39" i="4" s="1"/>
  <c r="H38" i="4"/>
  <c r="H29" i="4" s="1"/>
  <c r="H37" i="4"/>
  <c r="P37" i="4" s="1"/>
  <c r="H36" i="4"/>
  <c r="P36" i="4" s="1"/>
  <c r="H35" i="4"/>
  <c r="P35" i="4" s="1"/>
  <c r="H34" i="4"/>
  <c r="P34" i="4" s="1"/>
  <c r="H33" i="4"/>
  <c r="P33" i="4" s="1"/>
  <c r="H32" i="4"/>
  <c r="O30" i="4"/>
  <c r="N30" i="4"/>
  <c r="M30" i="4"/>
  <c r="L30" i="4"/>
  <c r="K30" i="4"/>
  <c r="J30" i="4"/>
  <c r="G30" i="4"/>
  <c r="F30" i="4"/>
  <c r="E30" i="4"/>
  <c r="D30" i="4"/>
  <c r="C30" i="4"/>
  <c r="O29" i="4"/>
  <c r="N29" i="4"/>
  <c r="M29" i="4"/>
  <c r="L29" i="4"/>
  <c r="K29" i="4"/>
  <c r="J29" i="4"/>
  <c r="G29" i="4"/>
  <c r="F29" i="4"/>
  <c r="E29" i="4"/>
  <c r="D29" i="4"/>
  <c r="C29" i="4"/>
  <c r="O28" i="4"/>
  <c r="N28" i="4"/>
  <c r="M28" i="4"/>
  <c r="L28" i="4"/>
  <c r="K28" i="4"/>
  <c r="J28" i="4"/>
  <c r="G28" i="4"/>
  <c r="F28" i="4"/>
  <c r="E28" i="4"/>
  <c r="D28" i="4"/>
  <c r="C28" i="4"/>
  <c r="H26" i="4"/>
  <c r="P26" i="4" s="1"/>
  <c r="H22" i="4"/>
  <c r="P22" i="4" s="1"/>
  <c r="M26" i="5"/>
  <c r="P38" i="4" l="1"/>
  <c r="H30" i="4"/>
  <c r="P29" i="4"/>
  <c r="P30" i="4"/>
  <c r="H28" i="4"/>
  <c r="P28" i="4" s="1"/>
  <c r="P32" i="4"/>
  <c r="M42" i="110" l="1"/>
  <c r="L42" i="110"/>
  <c r="K42" i="110"/>
  <c r="J42" i="110"/>
  <c r="H42" i="110"/>
  <c r="G42" i="110"/>
  <c r="F42" i="110"/>
  <c r="E42" i="110"/>
  <c r="D42" i="110"/>
  <c r="C42" i="110"/>
  <c r="N42" i="122"/>
  <c r="L42" i="122"/>
  <c r="K42" i="122"/>
  <c r="J42" i="122"/>
  <c r="I42" i="122"/>
  <c r="H42" i="122"/>
  <c r="G42" i="122"/>
  <c r="F42" i="122"/>
  <c r="E42" i="122"/>
  <c r="D42" i="122"/>
  <c r="C42" i="122"/>
  <c r="N42" i="125"/>
  <c r="L42" i="125"/>
  <c r="K42" i="125"/>
  <c r="J42" i="125"/>
  <c r="I42" i="125"/>
  <c r="G42" i="125"/>
  <c r="F42" i="125"/>
  <c r="E42" i="125"/>
  <c r="D42" i="125"/>
  <c r="C42" i="125"/>
  <c r="G42" i="7"/>
  <c r="I43" i="8" s="1"/>
  <c r="D42" i="9"/>
  <c r="K42" i="5"/>
  <c r="O42" i="9"/>
  <c r="L42" i="9"/>
  <c r="K42" i="9"/>
  <c r="T42" i="15"/>
  <c r="S42" i="15"/>
  <c r="E42" i="6"/>
  <c r="S42" i="105"/>
  <c r="Q42" i="105"/>
  <c r="R42" i="18"/>
  <c r="S42" i="73"/>
  <c r="R42" i="72"/>
  <c r="Q42" i="75"/>
  <c r="S42" i="74"/>
  <c r="R42" i="74"/>
  <c r="Q42" i="78"/>
  <c r="S42" i="77"/>
  <c r="N42" i="107"/>
  <c r="M42" i="107"/>
  <c r="P42" i="120"/>
  <c r="K42" i="121"/>
  <c r="H42" i="5"/>
  <c r="M42" i="125" l="1"/>
  <c r="O42" i="125" s="1"/>
  <c r="P42" i="125"/>
  <c r="E42" i="9"/>
  <c r="F42" i="7"/>
  <c r="M42" i="5"/>
  <c r="L42" i="12"/>
  <c r="U42" i="15"/>
  <c r="P42" i="14"/>
  <c r="J42" i="61"/>
  <c r="J42" i="12"/>
  <c r="D42" i="7" s="1"/>
  <c r="H42" i="130"/>
  <c r="P42" i="17"/>
  <c r="M42" i="102"/>
  <c r="J42" i="9"/>
  <c r="Q42" i="9" s="1"/>
  <c r="S42" i="72"/>
  <c r="O42" i="13"/>
  <c r="P42" i="13"/>
  <c r="Q42" i="17"/>
  <c r="S42" i="65"/>
  <c r="V42" i="15"/>
  <c r="N42" i="11"/>
  <c r="Q42" i="18"/>
  <c r="R42" i="106"/>
  <c r="N42" i="102"/>
  <c r="Q42" i="74"/>
  <c r="R42" i="75"/>
  <c r="R42" i="73"/>
  <c r="S42" i="75"/>
  <c r="S42" i="106"/>
  <c r="R42" i="17"/>
  <c r="R42" i="15"/>
  <c r="S42" i="64"/>
  <c r="O42" i="14"/>
  <c r="N42" i="10"/>
  <c r="R42" i="65"/>
  <c r="R42" i="78"/>
  <c r="K42" i="12"/>
  <c r="K42" i="61"/>
  <c r="Q42" i="106"/>
  <c r="R42" i="105"/>
  <c r="O42" i="10"/>
  <c r="M42" i="122"/>
  <c r="L42" i="5"/>
  <c r="C42" i="6" s="1"/>
  <c r="G42" i="9"/>
  <c r="D42" i="6"/>
  <c r="M42" i="11"/>
  <c r="O42" i="120"/>
  <c r="R42" i="64"/>
  <c r="I42" i="9"/>
  <c r="S42" i="78"/>
  <c r="R42" i="77"/>
  <c r="P42" i="18"/>
  <c r="N37" i="125"/>
  <c r="N36" i="125"/>
  <c r="F78" i="63"/>
  <c r="E42" i="7" l="1"/>
  <c r="G43" i="8" s="1"/>
  <c r="F43" i="8"/>
  <c r="I42" i="7"/>
  <c r="K43" i="8" s="1"/>
  <c r="H43" i="8"/>
  <c r="P42" i="9"/>
  <c r="R42" i="9"/>
  <c r="S42" i="9"/>
  <c r="L42" i="7"/>
  <c r="H42" i="6"/>
  <c r="K42" i="7"/>
  <c r="D43" i="94"/>
  <c r="C43" i="94"/>
  <c r="E43" i="94" s="1"/>
  <c r="E42" i="94"/>
  <c r="E41" i="94"/>
  <c r="E40" i="94"/>
  <c r="I37" i="110"/>
  <c r="H37" i="110"/>
  <c r="P37" i="125" s="1"/>
  <c r="M43" i="8" l="1"/>
  <c r="L43" i="8"/>
  <c r="L42" i="6"/>
  <c r="I42" i="6"/>
  <c r="H37" i="125"/>
  <c r="D41" i="98"/>
  <c r="M42" i="6" l="1"/>
  <c r="J42" i="6"/>
  <c r="M41" i="77"/>
  <c r="P39" i="78"/>
  <c r="O39" i="78"/>
  <c r="N39" i="78"/>
  <c r="M39" i="78"/>
  <c r="L39" i="78"/>
  <c r="K39" i="78"/>
  <c r="J39" i="78"/>
  <c r="H39" i="78"/>
  <c r="G39" i="78"/>
  <c r="F39" i="78"/>
  <c r="E39" i="78"/>
  <c r="D39" i="78"/>
  <c r="C39" i="78"/>
  <c r="J41" i="78"/>
  <c r="P39" i="73"/>
  <c r="O39" i="73"/>
  <c r="N39" i="73"/>
  <c r="M39" i="73"/>
  <c r="L39" i="73"/>
  <c r="K39" i="73"/>
  <c r="J39" i="73"/>
  <c r="H39" i="73"/>
  <c r="G39" i="73"/>
  <c r="F39" i="73"/>
  <c r="E39" i="73"/>
  <c r="D39" i="73"/>
  <c r="C39" i="73"/>
  <c r="D40" i="64"/>
  <c r="C40" i="64"/>
  <c r="Q39" i="64"/>
  <c r="P39" i="64"/>
  <c r="O39" i="64"/>
  <c r="N39" i="64"/>
  <c r="M39" i="64"/>
  <c r="L39" i="64"/>
  <c r="K39" i="64"/>
  <c r="J39" i="64"/>
  <c r="I39" i="64"/>
  <c r="H39" i="64"/>
  <c r="G39" i="64"/>
  <c r="F39" i="64"/>
  <c r="E39" i="64"/>
  <c r="D39" i="64"/>
  <c r="C39" i="64"/>
  <c r="P39" i="65"/>
  <c r="O39" i="65"/>
  <c r="N39" i="65"/>
  <c r="M39" i="65"/>
  <c r="L39" i="65"/>
  <c r="K39" i="65"/>
  <c r="J39" i="65"/>
  <c r="H39" i="65"/>
  <c r="G39" i="65"/>
  <c r="F39" i="65"/>
  <c r="E39" i="65"/>
  <c r="D39" i="65"/>
  <c r="C39" i="65"/>
  <c r="E30" i="127"/>
  <c r="E33" i="127"/>
  <c r="Q41" i="15"/>
  <c r="Q40" i="15"/>
  <c r="N39" i="14"/>
  <c r="M39" i="14"/>
  <c r="L39" i="14"/>
  <c r="K39" i="14"/>
  <c r="J39" i="14"/>
  <c r="I39" i="14"/>
  <c r="H39" i="14"/>
  <c r="G39" i="14"/>
  <c r="F39" i="14"/>
  <c r="E39" i="14"/>
  <c r="D39" i="14"/>
  <c r="C39" i="14"/>
  <c r="N39" i="13"/>
  <c r="M39" i="13"/>
  <c r="L39" i="13"/>
  <c r="K39" i="13"/>
  <c r="J39" i="13"/>
  <c r="I39" i="13"/>
  <c r="H39" i="13"/>
  <c r="G39" i="13"/>
  <c r="F39" i="13"/>
  <c r="E39" i="13"/>
  <c r="D39" i="13"/>
  <c r="C39" i="13"/>
  <c r="N42" i="6" l="1"/>
  <c r="J42" i="7"/>
  <c r="M42" i="7" s="1"/>
  <c r="C42" i="8"/>
  <c r="D43" i="8" s="1"/>
  <c r="I39" i="65"/>
  <c r="I39" i="78"/>
  <c r="Q39" i="65"/>
  <c r="Q39" i="78"/>
  <c r="I39" i="73"/>
  <c r="Q39" i="73"/>
  <c r="D41" i="12" l="1"/>
  <c r="C41" i="12"/>
  <c r="K39" i="11"/>
  <c r="J39" i="11"/>
  <c r="I39" i="11"/>
  <c r="H39" i="11"/>
  <c r="G39" i="11"/>
  <c r="F39" i="11"/>
  <c r="E39" i="11"/>
  <c r="D39" i="11"/>
  <c r="C39" i="11"/>
  <c r="L39" i="10"/>
  <c r="K39" i="10"/>
  <c r="J39" i="10"/>
  <c r="I39" i="10"/>
  <c r="H39" i="10"/>
  <c r="G39" i="10"/>
  <c r="F39" i="10"/>
  <c r="E39" i="10"/>
  <c r="D39" i="10"/>
  <c r="C39" i="10"/>
  <c r="J41" i="65"/>
  <c r="I30" i="120"/>
  <c r="H39" i="7" l="1"/>
  <c r="H38" i="125"/>
  <c r="C36" i="125"/>
  <c r="I35" i="125"/>
  <c r="D29" i="116"/>
  <c r="H36" i="110"/>
  <c r="G36" i="110"/>
  <c r="F26" i="116"/>
  <c r="D29" i="115"/>
  <c r="G40" i="110"/>
  <c r="G39" i="110"/>
  <c r="G35" i="110"/>
  <c r="E40" i="110"/>
  <c r="E39" i="110"/>
  <c r="E38" i="110"/>
  <c r="E37" i="110"/>
  <c r="E36" i="110"/>
  <c r="E35" i="110"/>
  <c r="F32" i="63"/>
  <c r="E32" i="63"/>
  <c r="P36" i="125" l="1"/>
  <c r="E29" i="110"/>
  <c r="K41" i="77"/>
  <c r="I41" i="64"/>
  <c r="F41" i="64"/>
  <c r="K41" i="64"/>
  <c r="C41" i="64"/>
  <c r="N41" i="14"/>
  <c r="F41" i="14"/>
  <c r="C41" i="14"/>
  <c r="H41" i="13"/>
  <c r="G41" i="13"/>
  <c r="I41" i="12"/>
  <c r="J41" i="11"/>
  <c r="K41" i="11"/>
  <c r="E41" i="10"/>
  <c r="J41" i="10"/>
  <c r="L41" i="10"/>
  <c r="J41" i="64"/>
  <c r="K41" i="65"/>
  <c r="H41" i="65"/>
  <c r="C41" i="65"/>
  <c r="K41" i="102"/>
  <c r="G41" i="102"/>
  <c r="K41" i="15"/>
  <c r="M41" i="13"/>
  <c r="K41" i="13"/>
  <c r="F41" i="13"/>
  <c r="E41" i="12"/>
  <c r="C41" i="11"/>
  <c r="E41" i="11"/>
  <c r="I41" i="11"/>
  <c r="H41" i="10"/>
  <c r="K41" i="10"/>
  <c r="G41" i="128"/>
  <c r="R34" i="83" l="1"/>
  <c r="R33" i="83"/>
  <c r="R32" i="83"/>
  <c r="K41" i="83"/>
  <c r="L30" i="107" l="1"/>
  <c r="N30" i="119"/>
  <c r="L41" i="119"/>
  <c r="F41" i="119"/>
  <c r="T31" i="76" l="1"/>
  <c r="U31" i="76"/>
  <c r="V31" i="76"/>
  <c r="W31" i="76"/>
  <c r="X31" i="76"/>
  <c r="T32" i="76"/>
  <c r="U32" i="76"/>
  <c r="V32" i="76"/>
  <c r="W32" i="76"/>
  <c r="X32" i="76"/>
  <c r="X16" i="76"/>
  <c r="H41" i="125"/>
  <c r="J17" i="117"/>
  <c r="J32" i="117"/>
  <c r="J32" i="116"/>
  <c r="J13" i="115"/>
  <c r="I41" i="110"/>
  <c r="I41" i="77"/>
  <c r="I30" i="77" s="1"/>
  <c r="C41" i="78"/>
  <c r="C30" i="78" s="1"/>
  <c r="N41" i="74"/>
  <c r="N30" i="74" s="1"/>
  <c r="O41" i="74"/>
  <c r="O30" i="74" s="1"/>
  <c r="O41" i="75"/>
  <c r="F25" i="63" s="1"/>
  <c r="F26" i="63" s="1"/>
  <c r="J41" i="72"/>
  <c r="J30" i="72" s="1"/>
  <c r="G41" i="73"/>
  <c r="G30" i="73" s="1"/>
  <c r="C41" i="73"/>
  <c r="C30" i="73" s="1"/>
  <c r="H41" i="18"/>
  <c r="H30" i="18" s="1"/>
  <c r="M41" i="18"/>
  <c r="M30" i="18" s="1"/>
  <c r="E41" i="18"/>
  <c r="E30" i="18" s="1"/>
  <c r="N41" i="18"/>
  <c r="N30" i="18" s="1"/>
  <c r="E41" i="17"/>
  <c r="N41" i="17"/>
  <c r="N30" i="17" s="1"/>
  <c r="G41" i="105"/>
  <c r="G30" i="105" s="1"/>
  <c r="F103" i="63"/>
  <c r="F102" i="63"/>
  <c r="F100" i="63"/>
  <c r="F99" i="63"/>
  <c r="F98" i="63"/>
  <c r="F97" i="63"/>
  <c r="F9" i="63"/>
  <c r="F95" i="63"/>
  <c r="F94" i="63"/>
  <c r="F51" i="63"/>
  <c r="F50" i="63"/>
  <c r="F36" i="93"/>
  <c r="H30" i="120"/>
  <c r="F41" i="125"/>
  <c r="J14" i="117"/>
  <c r="J19" i="117"/>
  <c r="J26" i="116"/>
  <c r="J31" i="116"/>
  <c r="J17" i="115"/>
  <c r="J20" i="114"/>
  <c r="J33" i="115"/>
  <c r="I33" i="115"/>
  <c r="J32" i="115"/>
  <c r="I32" i="115"/>
  <c r="J31" i="115"/>
  <c r="I31" i="115"/>
  <c r="J30" i="115"/>
  <c r="I30" i="115"/>
  <c r="J29" i="115"/>
  <c r="I29" i="115"/>
  <c r="J28" i="115"/>
  <c r="I28" i="115"/>
  <c r="J27" i="115"/>
  <c r="I27" i="115"/>
  <c r="J26" i="115"/>
  <c r="I26" i="115"/>
  <c r="J25" i="115"/>
  <c r="I25" i="115"/>
  <c r="J24" i="115"/>
  <c r="I24" i="115"/>
  <c r="J23" i="115"/>
  <c r="I23" i="115"/>
  <c r="J22" i="115"/>
  <c r="I22" i="115"/>
  <c r="J21" i="115"/>
  <c r="I21" i="115"/>
  <c r="J20" i="115"/>
  <c r="I20" i="115"/>
  <c r="J19" i="115"/>
  <c r="I19" i="115"/>
  <c r="J18" i="115"/>
  <c r="I18" i="115"/>
  <c r="I17" i="115"/>
  <c r="J16" i="115"/>
  <c r="I16" i="115"/>
  <c r="J15" i="115"/>
  <c r="I15" i="115"/>
  <c r="J14" i="115"/>
  <c r="I14" i="115"/>
  <c r="I13" i="115"/>
  <c r="J33" i="116"/>
  <c r="I33" i="116"/>
  <c r="I32" i="116"/>
  <c r="I31" i="116"/>
  <c r="J30" i="116"/>
  <c r="I30" i="116"/>
  <c r="J29" i="116"/>
  <c r="I29" i="116"/>
  <c r="J28" i="116"/>
  <c r="I28" i="116"/>
  <c r="J27" i="116"/>
  <c r="I27" i="116"/>
  <c r="I26" i="116"/>
  <c r="J25" i="116"/>
  <c r="I25" i="116"/>
  <c r="J24" i="116"/>
  <c r="I24" i="116"/>
  <c r="J23" i="116"/>
  <c r="I23" i="116"/>
  <c r="J22" i="116"/>
  <c r="I22" i="116"/>
  <c r="J21" i="116"/>
  <c r="I21" i="116"/>
  <c r="J20" i="116"/>
  <c r="I20" i="116"/>
  <c r="J19" i="116"/>
  <c r="I19" i="116"/>
  <c r="J18" i="116"/>
  <c r="I18" i="116"/>
  <c r="J17" i="116"/>
  <c r="I17" i="116"/>
  <c r="J16" i="116"/>
  <c r="I16" i="116"/>
  <c r="J15" i="116"/>
  <c r="I15" i="116"/>
  <c r="J14" i="116"/>
  <c r="I14" i="116"/>
  <c r="J13" i="116"/>
  <c r="I13" i="116"/>
  <c r="J33" i="117"/>
  <c r="I33" i="117"/>
  <c r="I32" i="117"/>
  <c r="J31" i="117"/>
  <c r="I31" i="117"/>
  <c r="J30" i="117"/>
  <c r="I30" i="117"/>
  <c r="J29" i="117"/>
  <c r="I29" i="117"/>
  <c r="J28" i="117"/>
  <c r="I28" i="117"/>
  <c r="J27" i="117"/>
  <c r="I27" i="117"/>
  <c r="J26" i="117"/>
  <c r="I26" i="117"/>
  <c r="J25" i="117"/>
  <c r="I25" i="117"/>
  <c r="J24" i="117"/>
  <c r="I24" i="117"/>
  <c r="J23" i="117"/>
  <c r="I23" i="117"/>
  <c r="J22" i="117"/>
  <c r="I22" i="117"/>
  <c r="J21" i="117"/>
  <c r="I21" i="117"/>
  <c r="J20" i="117"/>
  <c r="I20" i="117"/>
  <c r="I19" i="117"/>
  <c r="J18" i="117"/>
  <c r="I18" i="117"/>
  <c r="I17" i="117"/>
  <c r="J16" i="117"/>
  <c r="I16" i="117"/>
  <c r="J15" i="117"/>
  <c r="I15" i="117"/>
  <c r="I14" i="117"/>
  <c r="J13" i="117"/>
  <c r="I13" i="117"/>
  <c r="J33" i="114"/>
  <c r="I33" i="114"/>
  <c r="J32" i="114"/>
  <c r="I32" i="114"/>
  <c r="J31" i="114"/>
  <c r="I31" i="114"/>
  <c r="J30" i="114"/>
  <c r="I30" i="114"/>
  <c r="J29" i="114"/>
  <c r="I29" i="114"/>
  <c r="J28" i="114"/>
  <c r="I28" i="114"/>
  <c r="J27" i="114"/>
  <c r="I27" i="114"/>
  <c r="J26" i="114"/>
  <c r="I26" i="114"/>
  <c r="J25" i="114"/>
  <c r="I25" i="114"/>
  <c r="J24" i="114"/>
  <c r="I24" i="114"/>
  <c r="J23" i="114"/>
  <c r="I23" i="114"/>
  <c r="J22" i="114"/>
  <c r="I22" i="114"/>
  <c r="J21" i="114"/>
  <c r="I21" i="114"/>
  <c r="I20" i="114"/>
  <c r="J19" i="114"/>
  <c r="I19" i="114"/>
  <c r="J18" i="114"/>
  <c r="I18" i="114"/>
  <c r="J17" i="114"/>
  <c r="I17" i="114"/>
  <c r="J16" i="114"/>
  <c r="I16" i="114"/>
  <c r="J15" i="114"/>
  <c r="I15" i="114"/>
  <c r="J14" i="114"/>
  <c r="I14" i="114"/>
  <c r="J13" i="114"/>
  <c r="I13" i="114"/>
  <c r="G41" i="110"/>
  <c r="G30" i="110" s="1"/>
  <c r="R39" i="83"/>
  <c r="R38" i="83"/>
  <c r="R40" i="83"/>
  <c r="F41" i="80"/>
  <c r="F30" i="80" s="1"/>
  <c r="U19" i="76"/>
  <c r="X33" i="76"/>
  <c r="W33" i="76"/>
  <c r="V33" i="76"/>
  <c r="U33" i="76"/>
  <c r="T33" i="76"/>
  <c r="X30" i="76"/>
  <c r="W30" i="76"/>
  <c r="V30" i="76"/>
  <c r="U30" i="76"/>
  <c r="T30" i="76"/>
  <c r="X29" i="76"/>
  <c r="W29" i="76"/>
  <c r="V29" i="76"/>
  <c r="U29" i="76"/>
  <c r="T29" i="76"/>
  <c r="X28" i="76"/>
  <c r="W28" i="76"/>
  <c r="V28" i="76"/>
  <c r="U28" i="76"/>
  <c r="T28" i="76"/>
  <c r="X27" i="76"/>
  <c r="W27" i="76"/>
  <c r="V27" i="76"/>
  <c r="U27" i="76"/>
  <c r="T27" i="76"/>
  <c r="X26" i="76"/>
  <c r="W26" i="76"/>
  <c r="V26" i="76"/>
  <c r="U26" i="76"/>
  <c r="T26" i="76"/>
  <c r="X25" i="76"/>
  <c r="W25" i="76"/>
  <c r="V25" i="76"/>
  <c r="U25" i="76"/>
  <c r="T25" i="76"/>
  <c r="X24" i="76"/>
  <c r="W24" i="76"/>
  <c r="V24" i="76"/>
  <c r="U24" i="76"/>
  <c r="T24" i="76"/>
  <c r="X23" i="76"/>
  <c r="W23" i="76"/>
  <c r="V23" i="76"/>
  <c r="U23" i="76"/>
  <c r="T23" i="76"/>
  <c r="X22" i="76"/>
  <c r="W22" i="76"/>
  <c r="V22" i="76"/>
  <c r="U22" i="76"/>
  <c r="T22" i="76"/>
  <c r="X21" i="76"/>
  <c r="W21" i="76"/>
  <c r="V21" i="76"/>
  <c r="U21" i="76"/>
  <c r="T21" i="76"/>
  <c r="X20" i="76"/>
  <c r="W20" i="76"/>
  <c r="V20" i="76"/>
  <c r="U20" i="76"/>
  <c r="T20" i="76"/>
  <c r="X19" i="76"/>
  <c r="W19" i="76"/>
  <c r="V19" i="76"/>
  <c r="T19" i="76"/>
  <c r="X18" i="76"/>
  <c r="W18" i="76"/>
  <c r="V18" i="76"/>
  <c r="U18" i="76"/>
  <c r="T18" i="76"/>
  <c r="X17" i="76"/>
  <c r="W17" i="76"/>
  <c r="V17" i="76"/>
  <c r="U17" i="76"/>
  <c r="T17" i="76"/>
  <c r="W16" i="76"/>
  <c r="V16" i="76"/>
  <c r="U16" i="76"/>
  <c r="T16" i="76"/>
  <c r="Q41" i="77"/>
  <c r="Q30" i="77" s="1"/>
  <c r="J41" i="77"/>
  <c r="J30" i="77" s="1"/>
  <c r="M41" i="74"/>
  <c r="M30" i="74" s="1"/>
  <c r="L41" i="74"/>
  <c r="L30" i="74" s="1"/>
  <c r="M41" i="75"/>
  <c r="M30" i="75" s="1"/>
  <c r="H41" i="75"/>
  <c r="G41" i="18"/>
  <c r="F41" i="17"/>
  <c r="H41" i="105"/>
  <c r="H30" i="105" s="1"/>
  <c r="Q40" i="72"/>
  <c r="P40" i="72"/>
  <c r="O40" i="72"/>
  <c r="N40" i="72"/>
  <c r="M40" i="72"/>
  <c r="L40" i="72"/>
  <c r="K40" i="72"/>
  <c r="J40" i="72"/>
  <c r="I40" i="72"/>
  <c r="H40" i="72"/>
  <c r="G40" i="72"/>
  <c r="F40" i="72"/>
  <c r="E40" i="72"/>
  <c r="D40" i="72"/>
  <c r="C40" i="72"/>
  <c r="N40" i="18"/>
  <c r="M40" i="18"/>
  <c r="L40" i="18"/>
  <c r="K40" i="18"/>
  <c r="J40" i="18"/>
  <c r="I40" i="18"/>
  <c r="H40" i="18"/>
  <c r="G40" i="18"/>
  <c r="F40" i="18"/>
  <c r="E40" i="18"/>
  <c r="D40" i="18"/>
  <c r="C40" i="18"/>
  <c r="C41" i="18"/>
  <c r="C30" i="18" s="1"/>
  <c r="D41" i="18"/>
  <c r="D30" i="18" s="1"/>
  <c r="F41" i="18"/>
  <c r="F30" i="18" s="1"/>
  <c r="I41" i="18"/>
  <c r="I30" i="18" s="1"/>
  <c r="J41" i="18"/>
  <c r="J30" i="18" s="1"/>
  <c r="K41" i="18"/>
  <c r="K30" i="18" s="1"/>
  <c r="L41" i="18"/>
  <c r="L30" i="18" s="1"/>
  <c r="N40" i="17"/>
  <c r="M40" i="17"/>
  <c r="L40" i="17"/>
  <c r="K40" i="17"/>
  <c r="J40" i="17"/>
  <c r="I40" i="17"/>
  <c r="H40" i="17"/>
  <c r="G40" i="17"/>
  <c r="F40" i="17"/>
  <c r="E40" i="17"/>
  <c r="D40" i="17"/>
  <c r="C40" i="17"/>
  <c r="F30" i="64"/>
  <c r="C30" i="64"/>
  <c r="H30" i="65"/>
  <c r="K30" i="65"/>
  <c r="C30" i="65"/>
  <c r="J30" i="64"/>
  <c r="J30" i="65"/>
  <c r="J14" i="127"/>
  <c r="J30" i="127"/>
  <c r="L41" i="15"/>
  <c r="L30" i="15" s="1"/>
  <c r="G30" i="102"/>
  <c r="K30" i="102"/>
  <c r="J24" i="127"/>
  <c r="I21" i="127"/>
  <c r="I16" i="127"/>
  <c r="J33" i="127"/>
  <c r="I33" i="127"/>
  <c r="J32" i="127"/>
  <c r="I32" i="127"/>
  <c r="J31" i="127"/>
  <c r="I31" i="127"/>
  <c r="I30" i="127"/>
  <c r="J29" i="127"/>
  <c r="I29" i="127"/>
  <c r="J28" i="127"/>
  <c r="I28" i="127"/>
  <c r="J27" i="127"/>
  <c r="I27" i="127"/>
  <c r="J26" i="127"/>
  <c r="I26" i="127"/>
  <c r="J25" i="127"/>
  <c r="I25" i="127"/>
  <c r="I24" i="127"/>
  <c r="J23" i="127"/>
  <c r="I23" i="127"/>
  <c r="J22" i="127"/>
  <c r="I22" i="127"/>
  <c r="J21" i="127"/>
  <c r="J20" i="127"/>
  <c r="I20" i="127"/>
  <c r="J19" i="127"/>
  <c r="I19" i="127"/>
  <c r="J18" i="127"/>
  <c r="I18" i="127"/>
  <c r="J17" i="127"/>
  <c r="I17" i="127"/>
  <c r="J16" i="127"/>
  <c r="J15" i="127"/>
  <c r="I15" i="127"/>
  <c r="I14" i="127"/>
  <c r="J13" i="127"/>
  <c r="I13" i="127"/>
  <c r="J12" i="127"/>
  <c r="I12" i="127"/>
  <c r="K30" i="15"/>
  <c r="N30" i="14"/>
  <c r="F30" i="14"/>
  <c r="K30" i="13"/>
  <c r="F30" i="13"/>
  <c r="C30" i="11"/>
  <c r="K30" i="11"/>
  <c r="E30" i="12"/>
  <c r="L30" i="10"/>
  <c r="K30" i="10"/>
  <c r="E30" i="11"/>
  <c r="H30" i="10"/>
  <c r="O41" i="65"/>
  <c r="O30" i="65" s="1"/>
  <c r="J41" i="102"/>
  <c r="J30" i="102" s="1"/>
  <c r="M41" i="14"/>
  <c r="M30" i="14" s="1"/>
  <c r="J41" i="14"/>
  <c r="J30" i="14" s="1"/>
  <c r="G41" i="14"/>
  <c r="G30" i="14" s="1"/>
  <c r="E41" i="13"/>
  <c r="E30" i="13" s="1"/>
  <c r="G30" i="13"/>
  <c r="H41" i="12"/>
  <c r="H30" i="12" s="1"/>
  <c r="N30" i="83"/>
  <c r="M30" i="83"/>
  <c r="G30" i="83"/>
  <c r="F30" i="83"/>
  <c r="M30" i="119"/>
  <c r="L30" i="119"/>
  <c r="K30" i="119"/>
  <c r="J30" i="119"/>
  <c r="I30" i="119"/>
  <c r="H30" i="119"/>
  <c r="G30" i="119"/>
  <c r="F30" i="119"/>
  <c r="E30" i="119"/>
  <c r="D30" i="119"/>
  <c r="C30" i="119"/>
  <c r="K30" i="107"/>
  <c r="J30" i="107"/>
  <c r="I30" i="107"/>
  <c r="G30" i="107"/>
  <c r="E30" i="107"/>
  <c r="D30" i="107"/>
  <c r="C30" i="107"/>
  <c r="F30" i="90"/>
  <c r="E30" i="90"/>
  <c r="D30" i="90"/>
  <c r="M30" i="120"/>
  <c r="L30" i="120"/>
  <c r="K30" i="120"/>
  <c r="J30" i="120"/>
  <c r="G30" i="120"/>
  <c r="F30" i="120"/>
  <c r="E30" i="120"/>
  <c r="D30" i="120"/>
  <c r="C30" i="120"/>
  <c r="I30" i="5"/>
  <c r="G30" i="5"/>
  <c r="F30" i="5"/>
  <c r="E30" i="5"/>
  <c r="D30" i="5"/>
  <c r="C30" i="5"/>
  <c r="L30" i="79"/>
  <c r="K30" i="79"/>
  <c r="J30" i="79"/>
  <c r="I30" i="79"/>
  <c r="H30" i="79"/>
  <c r="G30" i="79"/>
  <c r="F30" i="79"/>
  <c r="E30" i="79"/>
  <c r="D30" i="79"/>
  <c r="C30" i="79"/>
  <c r="Q30" i="80"/>
  <c r="F30" i="130"/>
  <c r="E30" i="130"/>
  <c r="C30" i="130"/>
  <c r="I30" i="90"/>
  <c r="H30" i="90"/>
  <c r="C30" i="90"/>
  <c r="J30" i="121"/>
  <c r="I30" i="121"/>
  <c r="H30" i="121"/>
  <c r="G30" i="121"/>
  <c r="F30" i="121"/>
  <c r="E30" i="121"/>
  <c r="D30" i="121"/>
  <c r="C30" i="121"/>
  <c r="S41" i="80"/>
  <c r="S30" i="80" s="1"/>
  <c r="R41" i="80"/>
  <c r="R30" i="80" s="1"/>
  <c r="P41" i="80"/>
  <c r="P30" i="80" s="1"/>
  <c r="O41" i="80"/>
  <c r="O30" i="80" s="1"/>
  <c r="N41" i="80"/>
  <c r="N30" i="80" s="1"/>
  <c r="M41" i="80"/>
  <c r="M30" i="80" s="1"/>
  <c r="L41" i="80"/>
  <c r="L30" i="80" s="1"/>
  <c r="K41" i="80"/>
  <c r="K30" i="80" s="1"/>
  <c r="J41" i="80"/>
  <c r="J30" i="80" s="1"/>
  <c r="I41" i="80"/>
  <c r="I30" i="80" s="1"/>
  <c r="H41" i="80"/>
  <c r="H30" i="80" s="1"/>
  <c r="G41" i="80"/>
  <c r="G30" i="80" s="1"/>
  <c r="E41" i="80"/>
  <c r="E30" i="80" s="1"/>
  <c r="D41" i="80"/>
  <c r="D30" i="80" s="1"/>
  <c r="C41" i="80"/>
  <c r="C30" i="80" s="1"/>
  <c r="S41" i="128"/>
  <c r="S30" i="128" s="1"/>
  <c r="R41" i="128"/>
  <c r="R30" i="128" s="1"/>
  <c r="Q41" i="128"/>
  <c r="Q30" i="128" s="1"/>
  <c r="P41" i="128"/>
  <c r="P30" i="128" s="1"/>
  <c r="O41" i="128"/>
  <c r="O30" i="128" s="1"/>
  <c r="N41" i="128"/>
  <c r="N30" i="128" s="1"/>
  <c r="M41" i="128"/>
  <c r="M30" i="128" s="1"/>
  <c r="L41" i="128"/>
  <c r="L30" i="128" s="1"/>
  <c r="K41" i="128"/>
  <c r="K30" i="128" s="1"/>
  <c r="J41" i="128"/>
  <c r="J30" i="128" s="1"/>
  <c r="I41" i="128"/>
  <c r="I30" i="128" s="1"/>
  <c r="H41" i="128"/>
  <c r="H30" i="128" s="1"/>
  <c r="G30" i="128"/>
  <c r="F41" i="128"/>
  <c r="F30" i="128" s="1"/>
  <c r="E41" i="128"/>
  <c r="E30" i="128" s="1"/>
  <c r="D41" i="128"/>
  <c r="D30" i="128" s="1"/>
  <c r="C41" i="128"/>
  <c r="C30" i="128" s="1"/>
  <c r="M41" i="10"/>
  <c r="M30" i="10" s="1"/>
  <c r="I41" i="10"/>
  <c r="I30" i="10" s="1"/>
  <c r="G41" i="10"/>
  <c r="F41" i="10"/>
  <c r="F30" i="10" s="1"/>
  <c r="E30" i="10"/>
  <c r="D41" i="10"/>
  <c r="D30" i="10" s="1"/>
  <c r="C41" i="10"/>
  <c r="L41" i="11"/>
  <c r="L30" i="11" s="1"/>
  <c r="J30" i="11"/>
  <c r="H41" i="11"/>
  <c r="H30" i="11" s="1"/>
  <c r="G41" i="11"/>
  <c r="G30" i="11" s="1"/>
  <c r="F41" i="11"/>
  <c r="D41" i="11"/>
  <c r="D30" i="11" s="1"/>
  <c r="I30" i="12"/>
  <c r="G41" i="12"/>
  <c r="G30" i="12" s="1"/>
  <c r="F41" i="12"/>
  <c r="F30" i="12" s="1"/>
  <c r="D30" i="12"/>
  <c r="C30" i="12"/>
  <c r="N41" i="13"/>
  <c r="N30" i="13" s="1"/>
  <c r="L41" i="13"/>
  <c r="L30" i="13" s="1"/>
  <c r="J41" i="13"/>
  <c r="J30" i="13" s="1"/>
  <c r="I41" i="13"/>
  <c r="I30" i="13" s="1"/>
  <c r="H30" i="13"/>
  <c r="D41" i="13"/>
  <c r="D30" i="13" s="1"/>
  <c r="C41" i="13"/>
  <c r="C30" i="13" s="1"/>
  <c r="L41" i="14"/>
  <c r="L30" i="14" s="1"/>
  <c r="K41" i="14"/>
  <c r="K30" i="14" s="1"/>
  <c r="I41" i="14"/>
  <c r="I30" i="14" s="1"/>
  <c r="H41" i="14"/>
  <c r="H30" i="14" s="1"/>
  <c r="E41" i="14"/>
  <c r="E30" i="14" s="1"/>
  <c r="D41" i="14"/>
  <c r="D30" i="14" s="1"/>
  <c r="C30" i="14"/>
  <c r="Q30" i="15"/>
  <c r="P41" i="15"/>
  <c r="P30" i="15" s="1"/>
  <c r="O41" i="15"/>
  <c r="O30" i="15" s="1"/>
  <c r="N41" i="15"/>
  <c r="N30" i="15" s="1"/>
  <c r="M41" i="15"/>
  <c r="M30" i="15" s="1"/>
  <c r="J41" i="15"/>
  <c r="J30" i="15" s="1"/>
  <c r="I41" i="15"/>
  <c r="I30" i="15" s="1"/>
  <c r="H41" i="15"/>
  <c r="H30" i="15" s="1"/>
  <c r="G41" i="15"/>
  <c r="G30" i="15" s="1"/>
  <c r="F41" i="15"/>
  <c r="E41" i="15"/>
  <c r="E30" i="15" s="1"/>
  <c r="D41" i="15"/>
  <c r="D30" i="15" s="1"/>
  <c r="C41" i="15"/>
  <c r="L41" i="102"/>
  <c r="L30" i="102" s="1"/>
  <c r="C41" i="98" s="1"/>
  <c r="E41" i="98" s="1"/>
  <c r="I41" i="102"/>
  <c r="I30" i="102" s="1"/>
  <c r="H41" i="102"/>
  <c r="H30" i="102" s="1"/>
  <c r="F41" i="102"/>
  <c r="F30" i="102" s="1"/>
  <c r="E41" i="102"/>
  <c r="E30" i="102" s="1"/>
  <c r="D41" i="102"/>
  <c r="D30" i="102" s="1"/>
  <c r="C41" i="102"/>
  <c r="C30" i="102" s="1"/>
  <c r="P41" i="65"/>
  <c r="P30" i="65" s="1"/>
  <c r="N41" i="65"/>
  <c r="N30" i="65" s="1"/>
  <c r="M41" i="65"/>
  <c r="M30" i="65" s="1"/>
  <c r="L41" i="65"/>
  <c r="L30" i="65" s="1"/>
  <c r="G41" i="65"/>
  <c r="G30" i="65" s="1"/>
  <c r="F41" i="65"/>
  <c r="F30" i="65" s="1"/>
  <c r="E41" i="65"/>
  <c r="E30" i="65" s="1"/>
  <c r="D41" i="65"/>
  <c r="D30" i="65" s="1"/>
  <c r="Q41" i="64"/>
  <c r="Q30" i="64" s="1"/>
  <c r="P41" i="64"/>
  <c r="P30" i="64" s="1"/>
  <c r="O41" i="64"/>
  <c r="O30" i="64" s="1"/>
  <c r="N41" i="64"/>
  <c r="N30" i="64" s="1"/>
  <c r="M41" i="64"/>
  <c r="M30" i="64" s="1"/>
  <c r="L41" i="64"/>
  <c r="L30" i="64" s="1"/>
  <c r="K30" i="64"/>
  <c r="I30" i="64"/>
  <c r="H41" i="64"/>
  <c r="H30" i="64" s="1"/>
  <c r="G41" i="64"/>
  <c r="G30" i="64" s="1"/>
  <c r="E41" i="64"/>
  <c r="E30" i="64" s="1"/>
  <c r="D41" i="64"/>
  <c r="D30" i="64" s="1"/>
  <c r="I41" i="61"/>
  <c r="I30" i="61" s="1"/>
  <c r="H41" i="61"/>
  <c r="H30" i="61" s="1"/>
  <c r="G41" i="61"/>
  <c r="G30" i="61" s="1"/>
  <c r="F41" i="61"/>
  <c r="F30" i="61" s="1"/>
  <c r="E41" i="61"/>
  <c r="E30" i="61" s="1"/>
  <c r="D41" i="61"/>
  <c r="D30" i="61" s="1"/>
  <c r="C41" i="61"/>
  <c r="C30" i="61" s="1"/>
  <c r="P41" i="105"/>
  <c r="P30" i="105" s="1"/>
  <c r="O41" i="105"/>
  <c r="O30" i="105" s="1"/>
  <c r="N41" i="105"/>
  <c r="N30" i="105" s="1"/>
  <c r="M41" i="105"/>
  <c r="M30" i="105" s="1"/>
  <c r="L41" i="105"/>
  <c r="L30" i="105" s="1"/>
  <c r="K41" i="105"/>
  <c r="K30" i="105" s="1"/>
  <c r="J41" i="105"/>
  <c r="J30" i="105" s="1"/>
  <c r="I41" i="105"/>
  <c r="I30" i="105" s="1"/>
  <c r="F41" i="105"/>
  <c r="F30" i="105" s="1"/>
  <c r="E41" i="105"/>
  <c r="E30" i="105" s="1"/>
  <c r="D41" i="105"/>
  <c r="D30" i="105" s="1"/>
  <c r="C41" i="105"/>
  <c r="C30" i="105" s="1"/>
  <c r="P41" i="106"/>
  <c r="P30" i="106" s="1"/>
  <c r="O41" i="106"/>
  <c r="O30" i="106" s="1"/>
  <c r="N41" i="106"/>
  <c r="N30" i="106" s="1"/>
  <c r="M41" i="106"/>
  <c r="M30" i="106" s="1"/>
  <c r="L41" i="106"/>
  <c r="L30" i="106" s="1"/>
  <c r="K41" i="106"/>
  <c r="K30" i="106" s="1"/>
  <c r="J41" i="106"/>
  <c r="J30" i="106" s="1"/>
  <c r="I41" i="106"/>
  <c r="I30" i="106" s="1"/>
  <c r="H41" i="106"/>
  <c r="H30" i="106" s="1"/>
  <c r="G41" i="106"/>
  <c r="G30" i="106" s="1"/>
  <c r="F41" i="106"/>
  <c r="F30" i="106" s="1"/>
  <c r="E41" i="106"/>
  <c r="E30" i="106" s="1"/>
  <c r="D41" i="106"/>
  <c r="D30" i="106" s="1"/>
  <c r="C41" i="106"/>
  <c r="C30" i="106" s="1"/>
  <c r="O41" i="17"/>
  <c r="O30" i="17" s="1"/>
  <c r="M41" i="17"/>
  <c r="M30" i="17" s="1"/>
  <c r="L41" i="17"/>
  <c r="L30" i="17" s="1"/>
  <c r="K41" i="17"/>
  <c r="K30" i="17" s="1"/>
  <c r="J41" i="17"/>
  <c r="J30" i="17" s="1"/>
  <c r="I41" i="17"/>
  <c r="I30" i="17" s="1"/>
  <c r="H41" i="17"/>
  <c r="H30" i="17" s="1"/>
  <c r="G41" i="17"/>
  <c r="G30" i="17" s="1"/>
  <c r="D41" i="17"/>
  <c r="C41" i="17"/>
  <c r="C30" i="17" s="1"/>
  <c r="O41" i="18"/>
  <c r="O30" i="18" s="1"/>
  <c r="P41" i="73"/>
  <c r="P30" i="73" s="1"/>
  <c r="O41" i="73"/>
  <c r="O30" i="73" s="1"/>
  <c r="N41" i="73"/>
  <c r="N30" i="73" s="1"/>
  <c r="M41" i="73"/>
  <c r="M30" i="73" s="1"/>
  <c r="L41" i="73"/>
  <c r="L30" i="73" s="1"/>
  <c r="K41" i="73"/>
  <c r="K30" i="73" s="1"/>
  <c r="J41" i="73"/>
  <c r="J30" i="73" s="1"/>
  <c r="H41" i="73"/>
  <c r="H30" i="73" s="1"/>
  <c r="F41" i="73"/>
  <c r="F30" i="73" s="1"/>
  <c r="E41" i="73"/>
  <c r="E30" i="73" s="1"/>
  <c r="D41" i="73"/>
  <c r="D30" i="73" s="1"/>
  <c r="Q41" i="72"/>
  <c r="Q30" i="72" s="1"/>
  <c r="P41" i="72"/>
  <c r="P30" i="72" s="1"/>
  <c r="O41" i="72"/>
  <c r="O30" i="72" s="1"/>
  <c r="N41" i="72"/>
  <c r="N30" i="72" s="1"/>
  <c r="M41" i="72"/>
  <c r="M30" i="72" s="1"/>
  <c r="L41" i="72"/>
  <c r="L30" i="72" s="1"/>
  <c r="K41" i="72"/>
  <c r="K30" i="72" s="1"/>
  <c r="I41" i="72"/>
  <c r="I30" i="72" s="1"/>
  <c r="H41" i="72"/>
  <c r="H30" i="72" s="1"/>
  <c r="G41" i="72"/>
  <c r="G30" i="72" s="1"/>
  <c r="F41" i="72"/>
  <c r="F30" i="72" s="1"/>
  <c r="E41" i="72"/>
  <c r="E30" i="72" s="1"/>
  <c r="D41" i="72"/>
  <c r="D30" i="72" s="1"/>
  <c r="C41" i="72"/>
  <c r="C30" i="72" s="1"/>
  <c r="P41" i="75"/>
  <c r="P30" i="75" s="1"/>
  <c r="N41" i="75"/>
  <c r="L41" i="75"/>
  <c r="L30" i="75" s="1"/>
  <c r="K41" i="75"/>
  <c r="K30" i="75" s="1"/>
  <c r="J41" i="75"/>
  <c r="J30" i="75" s="1"/>
  <c r="I41" i="75"/>
  <c r="I30" i="75" s="1"/>
  <c r="G41" i="75"/>
  <c r="G30" i="75" s="1"/>
  <c r="F41" i="75"/>
  <c r="F30" i="75" s="1"/>
  <c r="E41" i="75"/>
  <c r="E30" i="75" s="1"/>
  <c r="D41" i="75"/>
  <c r="D30" i="75" s="1"/>
  <c r="C41" i="75"/>
  <c r="C30" i="75" s="1"/>
  <c r="P41" i="74"/>
  <c r="P30" i="74" s="1"/>
  <c r="K41" i="74"/>
  <c r="K30" i="74" s="1"/>
  <c r="J41" i="74"/>
  <c r="J30" i="74" s="1"/>
  <c r="I41" i="74"/>
  <c r="I30" i="74" s="1"/>
  <c r="H41" i="74"/>
  <c r="H30" i="74" s="1"/>
  <c r="G41" i="74"/>
  <c r="G30" i="74" s="1"/>
  <c r="F41" i="74"/>
  <c r="F30" i="74" s="1"/>
  <c r="E41" i="74"/>
  <c r="E30" i="74" s="1"/>
  <c r="D41" i="74"/>
  <c r="D30" i="74" s="1"/>
  <c r="C41" i="74"/>
  <c r="C30" i="74" s="1"/>
  <c r="P41" i="78"/>
  <c r="P30" i="78" s="1"/>
  <c r="O41" i="78"/>
  <c r="O30" i="78" s="1"/>
  <c r="N41" i="78"/>
  <c r="N30" i="78" s="1"/>
  <c r="M41" i="78"/>
  <c r="M30" i="78" s="1"/>
  <c r="L41" i="78"/>
  <c r="L30" i="78" s="1"/>
  <c r="K41" i="78"/>
  <c r="K30" i="78" s="1"/>
  <c r="H41" i="78"/>
  <c r="H30" i="78" s="1"/>
  <c r="G41" i="78"/>
  <c r="G30" i="78" s="1"/>
  <c r="F41" i="78"/>
  <c r="F30" i="78" s="1"/>
  <c r="E41" i="78"/>
  <c r="E30" i="78" s="1"/>
  <c r="D41" i="78"/>
  <c r="D30" i="78" s="1"/>
  <c r="P41" i="77"/>
  <c r="P30" i="77" s="1"/>
  <c r="O41" i="77"/>
  <c r="O30" i="77" s="1"/>
  <c r="N41" i="77"/>
  <c r="N30" i="77" s="1"/>
  <c r="M30" i="77"/>
  <c r="L41" i="77"/>
  <c r="L30" i="77" s="1"/>
  <c r="K30" i="77"/>
  <c r="H41" i="77"/>
  <c r="H30" i="77" s="1"/>
  <c r="G41" i="77"/>
  <c r="G30" i="77" s="1"/>
  <c r="F41" i="77"/>
  <c r="F30" i="77" s="1"/>
  <c r="E41" i="77"/>
  <c r="E30" i="77" s="1"/>
  <c r="D41" i="77"/>
  <c r="D30" i="77" s="1"/>
  <c r="C41" i="77"/>
  <c r="C30" i="77" s="1"/>
  <c r="M41" i="110"/>
  <c r="M30" i="110" s="1"/>
  <c r="L41" i="110"/>
  <c r="K41" i="110"/>
  <c r="J41" i="110"/>
  <c r="H41" i="110"/>
  <c r="F41" i="110"/>
  <c r="E41" i="110"/>
  <c r="E30" i="110" s="1"/>
  <c r="D41" i="110"/>
  <c r="C41" i="110"/>
  <c r="N41" i="122"/>
  <c r="L41" i="122"/>
  <c r="K41" i="122"/>
  <c r="J41" i="122"/>
  <c r="I41" i="122"/>
  <c r="H41" i="122"/>
  <c r="G41" i="122"/>
  <c r="F41" i="122"/>
  <c r="E41" i="122"/>
  <c r="D41" i="122"/>
  <c r="C41" i="122"/>
  <c r="N41" i="125"/>
  <c r="L41" i="125"/>
  <c r="K41" i="125"/>
  <c r="J41" i="125"/>
  <c r="I41" i="125"/>
  <c r="G41" i="125"/>
  <c r="E41" i="125"/>
  <c r="D41" i="125"/>
  <c r="C41" i="125"/>
  <c r="J41" i="5"/>
  <c r="H41" i="5"/>
  <c r="H30" i="5" s="1"/>
  <c r="K41" i="6"/>
  <c r="K30" i="6" s="1"/>
  <c r="C41" i="7"/>
  <c r="E42" i="8" s="1"/>
  <c r="N41" i="107"/>
  <c r="M41" i="107"/>
  <c r="H41" i="107"/>
  <c r="F41" i="107"/>
  <c r="G41" i="130"/>
  <c r="G30" i="130" s="1"/>
  <c r="D41" i="130"/>
  <c r="N41" i="120"/>
  <c r="K41" i="121"/>
  <c r="N46" i="97"/>
  <c r="G46" i="97"/>
  <c r="I46" i="97" s="1"/>
  <c r="L45" i="101"/>
  <c r="M45" i="101" s="1"/>
  <c r="G45" i="101"/>
  <c r="H45" i="101" s="1"/>
  <c r="U45" i="101" s="1"/>
  <c r="S45" i="101"/>
  <c r="T45" i="101" s="1"/>
  <c r="I40" i="110"/>
  <c r="F40" i="125"/>
  <c r="H19" i="117"/>
  <c r="H32" i="117"/>
  <c r="H14" i="117"/>
  <c r="H26" i="116"/>
  <c r="H31" i="116"/>
  <c r="H17" i="115"/>
  <c r="H20" i="114"/>
  <c r="H16" i="116"/>
  <c r="H13" i="114"/>
  <c r="H33" i="115"/>
  <c r="G33" i="115"/>
  <c r="H32" i="115"/>
  <c r="G32" i="115"/>
  <c r="H31" i="115"/>
  <c r="G31" i="115"/>
  <c r="H30" i="115"/>
  <c r="G30" i="115"/>
  <c r="H29" i="115"/>
  <c r="G29" i="115"/>
  <c r="H28" i="115"/>
  <c r="G28" i="115"/>
  <c r="H27" i="115"/>
  <c r="G27" i="115"/>
  <c r="H26" i="115"/>
  <c r="G26" i="115"/>
  <c r="H25" i="115"/>
  <c r="G25" i="115"/>
  <c r="H24" i="115"/>
  <c r="G24" i="115"/>
  <c r="H23" i="115"/>
  <c r="G23" i="115"/>
  <c r="H22" i="115"/>
  <c r="G22" i="115"/>
  <c r="H21" i="115"/>
  <c r="G21" i="115"/>
  <c r="H20" i="115"/>
  <c r="G20" i="115"/>
  <c r="H19" i="115"/>
  <c r="G19" i="115"/>
  <c r="H18" i="115"/>
  <c r="G18" i="115"/>
  <c r="G17" i="115"/>
  <c r="H16" i="115"/>
  <c r="G16" i="115"/>
  <c r="H15" i="115"/>
  <c r="G15" i="115"/>
  <c r="H14" i="115"/>
  <c r="G14" i="115"/>
  <c r="H13" i="115"/>
  <c r="G13" i="115"/>
  <c r="H33" i="116"/>
  <c r="G33" i="116"/>
  <c r="H32" i="116"/>
  <c r="G32" i="116"/>
  <c r="G31" i="116"/>
  <c r="H30" i="116"/>
  <c r="G30" i="116"/>
  <c r="H29" i="116"/>
  <c r="G29" i="116"/>
  <c r="H28" i="116"/>
  <c r="G28" i="116"/>
  <c r="H27" i="116"/>
  <c r="G27" i="116"/>
  <c r="G26" i="116"/>
  <c r="H25" i="116"/>
  <c r="G25" i="116"/>
  <c r="H24" i="116"/>
  <c r="G24" i="116"/>
  <c r="H23" i="116"/>
  <c r="G23" i="116"/>
  <c r="H22" i="116"/>
  <c r="G22" i="116"/>
  <c r="H21" i="116"/>
  <c r="G21" i="116"/>
  <c r="H20" i="116"/>
  <c r="G20" i="116"/>
  <c r="H19" i="116"/>
  <c r="G19" i="116"/>
  <c r="H18" i="116"/>
  <c r="G18" i="116"/>
  <c r="H17" i="116"/>
  <c r="G17" i="116"/>
  <c r="G16" i="116"/>
  <c r="H15" i="116"/>
  <c r="G15" i="116"/>
  <c r="H14" i="116"/>
  <c r="G14" i="116"/>
  <c r="H13" i="116"/>
  <c r="G13" i="116"/>
  <c r="H33" i="117"/>
  <c r="G33" i="117"/>
  <c r="G32" i="117"/>
  <c r="H31" i="117"/>
  <c r="G31" i="117"/>
  <c r="H30" i="117"/>
  <c r="G30" i="117"/>
  <c r="H29" i="117"/>
  <c r="G29" i="117"/>
  <c r="H28" i="117"/>
  <c r="G28" i="117"/>
  <c r="H27" i="117"/>
  <c r="G27" i="117"/>
  <c r="H26" i="117"/>
  <c r="G26" i="117"/>
  <c r="H25" i="117"/>
  <c r="G25" i="117"/>
  <c r="H24" i="117"/>
  <c r="G24" i="117"/>
  <c r="H23" i="117"/>
  <c r="G23" i="117"/>
  <c r="H22" i="117"/>
  <c r="G22" i="117"/>
  <c r="H21" i="117"/>
  <c r="G21" i="117"/>
  <c r="H20" i="117"/>
  <c r="G20" i="117"/>
  <c r="G19" i="117"/>
  <c r="H18" i="117"/>
  <c r="G18" i="117"/>
  <c r="H17" i="117"/>
  <c r="G17" i="117"/>
  <c r="H16" i="117"/>
  <c r="G16" i="117"/>
  <c r="H15" i="117"/>
  <c r="G15" i="117"/>
  <c r="G14" i="117"/>
  <c r="H13" i="117"/>
  <c r="G13" i="117"/>
  <c r="H33" i="114"/>
  <c r="G33" i="114"/>
  <c r="H32" i="114"/>
  <c r="G32" i="114"/>
  <c r="H31" i="114"/>
  <c r="G31" i="114"/>
  <c r="H30" i="114"/>
  <c r="G30" i="114"/>
  <c r="H29" i="114"/>
  <c r="G29" i="114"/>
  <c r="H28" i="114"/>
  <c r="G28" i="114"/>
  <c r="H27" i="114"/>
  <c r="G27" i="114"/>
  <c r="H26" i="114"/>
  <c r="G26" i="114"/>
  <c r="H25" i="114"/>
  <c r="G25" i="114"/>
  <c r="H24" i="114"/>
  <c r="G24" i="114"/>
  <c r="H23" i="114"/>
  <c r="G23" i="114"/>
  <c r="H22" i="114"/>
  <c r="G22" i="114"/>
  <c r="H21" i="114"/>
  <c r="G21" i="114"/>
  <c r="G20" i="114"/>
  <c r="H19" i="114"/>
  <c r="G19" i="114"/>
  <c r="H18" i="114"/>
  <c r="G18" i="114"/>
  <c r="H17" i="114"/>
  <c r="G17" i="114"/>
  <c r="H16" i="114"/>
  <c r="G16" i="114"/>
  <c r="H15" i="114"/>
  <c r="G15" i="114"/>
  <c r="H14" i="114"/>
  <c r="G14" i="114"/>
  <c r="G13" i="114"/>
  <c r="Q40" i="77"/>
  <c r="I40" i="77"/>
  <c r="J40" i="77"/>
  <c r="L40" i="74"/>
  <c r="N40" i="74"/>
  <c r="M40" i="74"/>
  <c r="O40" i="74"/>
  <c r="C40" i="78"/>
  <c r="O40" i="75"/>
  <c r="Q40" i="64"/>
  <c r="I40" i="64"/>
  <c r="J40" i="64"/>
  <c r="O40" i="65"/>
  <c r="K40" i="65"/>
  <c r="J40" i="65"/>
  <c r="M40" i="14"/>
  <c r="G40" i="14"/>
  <c r="M40" i="13"/>
  <c r="F40" i="13"/>
  <c r="E40" i="13"/>
  <c r="G40" i="13"/>
  <c r="J40" i="13"/>
  <c r="I40" i="13"/>
  <c r="K40" i="11"/>
  <c r="I40" i="11"/>
  <c r="F40" i="11"/>
  <c r="L40" i="10"/>
  <c r="J40" i="10"/>
  <c r="I40" i="10"/>
  <c r="D40" i="83"/>
  <c r="K39" i="83"/>
  <c r="K30" i="83" s="1"/>
  <c r="J39" i="83"/>
  <c r="J30" i="83" s="1"/>
  <c r="D39" i="83"/>
  <c r="C39" i="83"/>
  <c r="C30" i="83" s="1"/>
  <c r="O32" i="83"/>
  <c r="O33" i="83" s="1"/>
  <c r="O34" i="83" s="1"/>
  <c r="O35" i="83" s="1"/>
  <c r="O36" i="83" s="1"/>
  <c r="O37" i="83" s="1"/>
  <c r="O38" i="83" s="1"/>
  <c r="O39" i="83" s="1"/>
  <c r="O40" i="83" s="1"/>
  <c r="O41" i="83" s="1"/>
  <c r="H32" i="83"/>
  <c r="H33" i="83" s="1"/>
  <c r="H34" i="83" s="1"/>
  <c r="H35" i="83" s="1"/>
  <c r="H36" i="83" s="1"/>
  <c r="H37" i="83" s="1"/>
  <c r="H38" i="83" s="1"/>
  <c r="H39" i="83" s="1"/>
  <c r="H40" i="83" s="1"/>
  <c r="H41" i="83" s="1"/>
  <c r="N29" i="83"/>
  <c r="M29" i="83"/>
  <c r="K29" i="83"/>
  <c r="J29" i="83"/>
  <c r="G29" i="83"/>
  <c r="F29" i="83"/>
  <c r="D29" i="83"/>
  <c r="C29" i="83"/>
  <c r="N28" i="83"/>
  <c r="M28" i="83"/>
  <c r="K28" i="83"/>
  <c r="J28" i="83"/>
  <c r="G28" i="83"/>
  <c r="F28" i="83"/>
  <c r="D28" i="83"/>
  <c r="C28" i="83"/>
  <c r="J22" i="83" l="1"/>
  <c r="C22" i="83"/>
  <c r="D30" i="83"/>
  <c r="F23" i="63"/>
  <c r="F24" i="63" s="1"/>
  <c r="F83" i="63"/>
  <c r="H42" i="83"/>
  <c r="F84" i="63"/>
  <c r="O42" i="83"/>
  <c r="P41" i="125"/>
  <c r="J30" i="5"/>
  <c r="M30" i="5" s="1"/>
  <c r="M41" i="5"/>
  <c r="M22" i="83"/>
  <c r="R30" i="77"/>
  <c r="S30" i="77"/>
  <c r="D30" i="17"/>
  <c r="D41" i="9"/>
  <c r="D30" i="9" s="1"/>
  <c r="G30" i="18"/>
  <c r="N41" i="9"/>
  <c r="N30" i="9" s="1"/>
  <c r="L41" i="9"/>
  <c r="L30" i="9" s="1"/>
  <c r="E30" i="17"/>
  <c r="E41" i="9"/>
  <c r="E30" i="9" s="1"/>
  <c r="O30" i="75"/>
  <c r="G30" i="10"/>
  <c r="J30" i="10"/>
  <c r="G41" i="9"/>
  <c r="G38" i="117"/>
  <c r="G38" i="116"/>
  <c r="G38" i="115"/>
  <c r="G38" i="114"/>
  <c r="J38" i="127"/>
  <c r="I38" i="127"/>
  <c r="F36" i="63"/>
  <c r="F37" i="63" s="1"/>
  <c r="F38" i="63"/>
  <c r="F39" i="63" s="1"/>
  <c r="F21" i="63"/>
  <c r="F22" i="63" s="1"/>
  <c r="F53" i="63"/>
  <c r="F54" i="63"/>
  <c r="F55" i="63"/>
  <c r="Q41" i="78"/>
  <c r="F105" i="63"/>
  <c r="J38" i="115"/>
  <c r="I38" i="115"/>
  <c r="J38" i="114"/>
  <c r="I38" i="114"/>
  <c r="I38" i="117"/>
  <c r="J38" i="116"/>
  <c r="I38" i="116"/>
  <c r="J38" i="117"/>
  <c r="C30" i="7"/>
  <c r="H41" i="130"/>
  <c r="H30" i="130" s="1"/>
  <c r="D30" i="130"/>
  <c r="Q41" i="74"/>
  <c r="S41" i="74"/>
  <c r="R41" i="74"/>
  <c r="R41" i="75"/>
  <c r="N30" i="75"/>
  <c r="I41" i="78"/>
  <c r="J30" i="78"/>
  <c r="S41" i="75"/>
  <c r="Q41" i="75"/>
  <c r="H30" i="75"/>
  <c r="F30" i="11"/>
  <c r="Q41" i="106"/>
  <c r="Q41" i="17"/>
  <c r="S41" i="105"/>
  <c r="R41" i="105"/>
  <c r="R41" i="106"/>
  <c r="V41" i="15"/>
  <c r="U41" i="15"/>
  <c r="T41" i="15"/>
  <c r="F41" i="6"/>
  <c r="F30" i="6" s="1"/>
  <c r="P41" i="18"/>
  <c r="I41" i="73"/>
  <c r="M41" i="122"/>
  <c r="M41" i="125"/>
  <c r="O41" i="125" s="1"/>
  <c r="H38" i="115"/>
  <c r="C41" i="9"/>
  <c r="C30" i="9" s="1"/>
  <c r="C30" i="10"/>
  <c r="E41" i="6"/>
  <c r="E30" i="6" s="1"/>
  <c r="F30" i="15"/>
  <c r="G41" i="6"/>
  <c r="G30" i="6" s="1"/>
  <c r="C30" i="15"/>
  <c r="F30" i="17"/>
  <c r="F41" i="9"/>
  <c r="F30" i="9" s="1"/>
  <c r="N41" i="102"/>
  <c r="P41" i="14"/>
  <c r="P41" i="13"/>
  <c r="M30" i="13"/>
  <c r="O41" i="13"/>
  <c r="N41" i="11"/>
  <c r="I30" i="11"/>
  <c r="H41" i="9"/>
  <c r="H30" i="9" s="1"/>
  <c r="R41" i="17"/>
  <c r="R41" i="18"/>
  <c r="O41" i="9"/>
  <c r="Q41" i="18"/>
  <c r="J41" i="9"/>
  <c r="J30" i="9" s="1"/>
  <c r="P41" i="17"/>
  <c r="K41" i="9"/>
  <c r="K30" i="9" s="1"/>
  <c r="M41" i="9"/>
  <c r="M30" i="9" s="1"/>
  <c r="Q41" i="105"/>
  <c r="S41" i="106"/>
  <c r="I41" i="65"/>
  <c r="I30" i="65" s="1"/>
  <c r="R41" i="15"/>
  <c r="H41" i="7"/>
  <c r="J42" i="8" s="1"/>
  <c r="L41" i="12"/>
  <c r="O41" i="14"/>
  <c r="M41" i="102"/>
  <c r="S41" i="15"/>
  <c r="D41" i="6"/>
  <c r="D30" i="6" s="1"/>
  <c r="K41" i="61"/>
  <c r="K30" i="61" s="1"/>
  <c r="J41" i="61"/>
  <c r="J30" i="61" s="1"/>
  <c r="R41" i="64"/>
  <c r="S41" i="64"/>
  <c r="I41" i="9"/>
  <c r="O41" i="10"/>
  <c r="N41" i="10"/>
  <c r="F41" i="7"/>
  <c r="H42" i="8" s="1"/>
  <c r="G41" i="7"/>
  <c r="K41" i="5"/>
  <c r="M41" i="11"/>
  <c r="K41" i="12"/>
  <c r="J41" i="12"/>
  <c r="F35" i="63" s="1"/>
  <c r="Q41" i="65"/>
  <c r="Q41" i="73"/>
  <c r="R41" i="72"/>
  <c r="S41" i="72"/>
  <c r="S41" i="77"/>
  <c r="R41" i="77"/>
  <c r="P41" i="120"/>
  <c r="O41" i="120"/>
  <c r="N30" i="107"/>
  <c r="H30" i="107"/>
  <c r="M30" i="107"/>
  <c r="F30" i="107"/>
  <c r="K22" i="83"/>
  <c r="L22" i="83" s="1"/>
  <c r="N22" i="83"/>
  <c r="P46" i="97"/>
  <c r="N40" i="9"/>
  <c r="H38" i="117"/>
  <c r="H38" i="114"/>
  <c r="H38" i="116"/>
  <c r="D22" i="83"/>
  <c r="E22" i="83" s="1"/>
  <c r="F22" i="83"/>
  <c r="H28" i="83"/>
  <c r="H29" i="83" s="1"/>
  <c r="H30" i="83" s="1"/>
  <c r="G22" i="83"/>
  <c r="O28" i="83"/>
  <c r="O29" i="83" s="1"/>
  <c r="O30" i="83" s="1"/>
  <c r="O22" i="83" l="1"/>
  <c r="G30" i="7"/>
  <c r="I42" i="8"/>
  <c r="R41" i="65"/>
  <c r="F30" i="7"/>
  <c r="I41" i="7"/>
  <c r="I30" i="78"/>
  <c r="R41" i="78"/>
  <c r="O30" i="9"/>
  <c r="F29" i="63"/>
  <c r="F31" i="63" s="1"/>
  <c r="G30" i="9"/>
  <c r="F27" i="63"/>
  <c r="F28" i="63" s="1"/>
  <c r="I30" i="9"/>
  <c r="F19" i="63"/>
  <c r="S41" i="78"/>
  <c r="Q30" i="78"/>
  <c r="I30" i="73"/>
  <c r="R41" i="73"/>
  <c r="L41" i="5"/>
  <c r="K30" i="5"/>
  <c r="S41" i="73"/>
  <c r="Q30" i="73"/>
  <c r="H30" i="7"/>
  <c r="D41" i="7"/>
  <c r="F42" i="8" s="1"/>
  <c r="J30" i="12"/>
  <c r="S41" i="65"/>
  <c r="Q30" i="65"/>
  <c r="Q41" i="9"/>
  <c r="P41" i="9"/>
  <c r="R41" i="9"/>
  <c r="S41" i="9"/>
  <c r="H22" i="83"/>
  <c r="I22" i="83" s="1"/>
  <c r="P22" i="83"/>
  <c r="L32" i="83"/>
  <c r="I30" i="7" l="1"/>
  <c r="K42" i="8"/>
  <c r="M42" i="8" s="1"/>
  <c r="F30" i="63"/>
  <c r="F33" i="63"/>
  <c r="F20" i="63"/>
  <c r="L30" i="5"/>
  <c r="C41" i="6"/>
  <c r="D30" i="7"/>
  <c r="E41" i="7"/>
  <c r="G42" i="8" s="1"/>
  <c r="L42" i="8" s="1"/>
  <c r="L41" i="7"/>
  <c r="Q22" i="83"/>
  <c r="P32" i="83"/>
  <c r="L33" i="83"/>
  <c r="E28" i="83"/>
  <c r="E32" i="83"/>
  <c r="L28" i="83"/>
  <c r="E30" i="7" l="1"/>
  <c r="K41" i="7"/>
  <c r="C30" i="6"/>
  <c r="H41" i="6"/>
  <c r="F11" i="63" s="1"/>
  <c r="L29" i="83"/>
  <c r="P28" i="83"/>
  <c r="E33" i="83"/>
  <c r="I32" i="83"/>
  <c r="Q32" i="83" s="1"/>
  <c r="E29" i="83"/>
  <c r="I28" i="83"/>
  <c r="L34" i="83"/>
  <c r="P33" i="83"/>
  <c r="I41" i="6" l="1"/>
  <c r="F13" i="63" s="1"/>
  <c r="F15" i="63" s="1"/>
  <c r="L41" i="6"/>
  <c r="P29" i="83"/>
  <c r="L30" i="83"/>
  <c r="P30" i="83" s="1"/>
  <c r="I29" i="83"/>
  <c r="E30" i="83"/>
  <c r="I30" i="83" s="1"/>
  <c r="L35" i="83"/>
  <c r="P34" i="83"/>
  <c r="I33" i="83"/>
  <c r="Q33" i="83" s="1"/>
  <c r="E34" i="83"/>
  <c r="Q28" i="83"/>
  <c r="Q29" i="83" l="1"/>
  <c r="J41" i="6"/>
  <c r="F16" i="63" s="1"/>
  <c r="M41" i="6"/>
  <c r="Q30" i="83"/>
  <c r="E35" i="83"/>
  <c r="I34" i="83"/>
  <c r="Q34" i="83" s="1"/>
  <c r="P35" i="83"/>
  <c r="L36" i="83"/>
  <c r="N41" i="6" l="1"/>
  <c r="C41" i="8"/>
  <c r="J41" i="7"/>
  <c r="J30" i="6"/>
  <c r="L37" i="83"/>
  <c r="P36" i="83"/>
  <c r="I35" i="83"/>
  <c r="Q35" i="83" s="1"/>
  <c r="E36" i="83"/>
  <c r="C30" i="8" l="1"/>
  <c r="D42" i="8"/>
  <c r="J30" i="7"/>
  <c r="M41" i="7"/>
  <c r="E37" i="83"/>
  <c r="I36" i="83"/>
  <c r="Q36" i="83" s="1"/>
  <c r="P37" i="83"/>
  <c r="L38" i="83"/>
  <c r="L39" i="83" l="1"/>
  <c r="P38" i="83"/>
  <c r="E38" i="83"/>
  <c r="I37" i="83"/>
  <c r="Q37" i="83" s="1"/>
  <c r="P39" i="83" l="1"/>
  <c r="L40" i="83"/>
  <c r="I38" i="83"/>
  <c r="Q38" i="83" s="1"/>
  <c r="E39" i="83"/>
  <c r="P40" i="83" l="1"/>
  <c r="L41" i="83"/>
  <c r="L42" i="83" s="1"/>
  <c r="P42" i="83" s="1"/>
  <c r="E40" i="83"/>
  <c r="I39" i="83"/>
  <c r="Q39" i="83" s="1"/>
  <c r="I40" i="83" l="1"/>
  <c r="Q40" i="83" s="1"/>
  <c r="E41" i="83"/>
  <c r="E42" i="83" s="1"/>
  <c r="I42" i="83" s="1"/>
  <c r="Q42" i="83" s="1"/>
  <c r="P41" i="83"/>
  <c r="F85" i="63"/>
  <c r="K6" i="124"/>
  <c r="O7" i="124" s="1"/>
  <c r="H6" i="124"/>
  <c r="N7" i="124" s="1"/>
  <c r="I41" i="83" l="1"/>
  <c r="Q41" i="83" s="1"/>
  <c r="F80" i="63" s="1"/>
  <c r="F81" i="63" s="1"/>
  <c r="F82" i="63"/>
  <c r="M40" i="75"/>
  <c r="F40" i="9"/>
  <c r="G40" i="105"/>
  <c r="H24" i="127"/>
  <c r="G21" i="127"/>
  <c r="G16" i="127"/>
  <c r="G33" i="127"/>
  <c r="H33" i="127"/>
  <c r="H32" i="127"/>
  <c r="G32" i="127"/>
  <c r="H31" i="127"/>
  <c r="G31" i="127"/>
  <c r="H30" i="127"/>
  <c r="G30" i="127"/>
  <c r="H29" i="127"/>
  <c r="G29" i="127"/>
  <c r="H28" i="127"/>
  <c r="G28" i="127"/>
  <c r="H27" i="127"/>
  <c r="G27" i="127"/>
  <c r="H26" i="127"/>
  <c r="G26" i="127"/>
  <c r="H25" i="127"/>
  <c r="G25" i="127"/>
  <c r="G24" i="127"/>
  <c r="H23" i="127"/>
  <c r="G23" i="127"/>
  <c r="H22" i="127"/>
  <c r="G22" i="127"/>
  <c r="H21" i="127"/>
  <c r="H20" i="127"/>
  <c r="G20" i="127"/>
  <c r="H19" i="127"/>
  <c r="G19" i="127"/>
  <c r="H18" i="127"/>
  <c r="G18" i="127"/>
  <c r="H17" i="127"/>
  <c r="G17" i="127"/>
  <c r="H16" i="127"/>
  <c r="H15" i="127"/>
  <c r="G15" i="127"/>
  <c r="H14" i="127"/>
  <c r="G14" i="127"/>
  <c r="H13" i="127"/>
  <c r="G13" i="127"/>
  <c r="H12" i="127"/>
  <c r="G12" i="127"/>
  <c r="E12" i="127"/>
  <c r="F12" i="127"/>
  <c r="E13" i="127"/>
  <c r="F13" i="127"/>
  <c r="E14" i="127"/>
  <c r="F14" i="127"/>
  <c r="E15" i="127"/>
  <c r="F15" i="127"/>
  <c r="E16" i="127"/>
  <c r="F16" i="127"/>
  <c r="E17" i="127"/>
  <c r="F17" i="127"/>
  <c r="E18" i="127"/>
  <c r="F18" i="127"/>
  <c r="E19" i="127"/>
  <c r="F19" i="127"/>
  <c r="E20" i="127"/>
  <c r="F20" i="127"/>
  <c r="E21" i="127"/>
  <c r="F21" i="127"/>
  <c r="E22" i="127"/>
  <c r="F22" i="127"/>
  <c r="E23" i="127"/>
  <c r="F23" i="127"/>
  <c r="E24" i="127"/>
  <c r="F24" i="127"/>
  <c r="E25" i="127"/>
  <c r="F25" i="127"/>
  <c r="E26" i="127"/>
  <c r="F26" i="127"/>
  <c r="E27" i="127"/>
  <c r="F27" i="127"/>
  <c r="E28" i="127"/>
  <c r="F28" i="127"/>
  <c r="E29" i="127"/>
  <c r="F29" i="127"/>
  <c r="F30" i="127"/>
  <c r="E31" i="127"/>
  <c r="F31" i="127"/>
  <c r="E32" i="127"/>
  <c r="F32" i="127"/>
  <c r="F33" i="127"/>
  <c r="J40" i="102"/>
  <c r="J40" i="14"/>
  <c r="H40" i="12"/>
  <c r="G40" i="11"/>
  <c r="E38" i="127" l="1"/>
  <c r="F38" i="127"/>
  <c r="G38" i="127"/>
  <c r="H38" i="127"/>
  <c r="L40" i="125"/>
  <c r="C40" i="125"/>
  <c r="H40" i="75"/>
  <c r="G40" i="75"/>
  <c r="F40" i="75"/>
  <c r="O40" i="105"/>
  <c r="F40" i="105"/>
  <c r="P40" i="64"/>
  <c r="O40" i="64"/>
  <c r="L40" i="64"/>
  <c r="I40" i="102"/>
  <c r="D40" i="102"/>
  <c r="O40" i="15"/>
  <c r="K40" i="15"/>
  <c r="H40" i="15"/>
  <c r="G40" i="12"/>
  <c r="S40" i="80"/>
  <c r="R40" i="80"/>
  <c r="P40" i="80"/>
  <c r="O40" i="80"/>
  <c r="N40" i="80"/>
  <c r="M40" i="80"/>
  <c r="L40" i="80"/>
  <c r="K40" i="80"/>
  <c r="J40" i="80"/>
  <c r="I40" i="80"/>
  <c r="H40" i="80"/>
  <c r="G40" i="80"/>
  <c r="F40" i="80"/>
  <c r="E40" i="80"/>
  <c r="D40" i="80"/>
  <c r="C40" i="80"/>
  <c r="S40" i="128"/>
  <c r="R40" i="128"/>
  <c r="Q40" i="128"/>
  <c r="P40" i="128"/>
  <c r="O40" i="128"/>
  <c r="N40" i="128"/>
  <c r="M40" i="128"/>
  <c r="L40" i="128"/>
  <c r="K40" i="128"/>
  <c r="J40" i="128"/>
  <c r="I40" i="128"/>
  <c r="H40" i="128"/>
  <c r="G40" i="128"/>
  <c r="F40" i="128"/>
  <c r="E40" i="128"/>
  <c r="D40" i="128"/>
  <c r="C40" i="128"/>
  <c r="M40" i="10"/>
  <c r="K40" i="10"/>
  <c r="H40" i="10"/>
  <c r="G40" i="10"/>
  <c r="F40" i="10"/>
  <c r="G40" i="7" s="1"/>
  <c r="I41" i="8" s="1"/>
  <c r="E40" i="10"/>
  <c r="D40" i="10"/>
  <c r="C40" i="10"/>
  <c r="L40" i="11"/>
  <c r="J40" i="11"/>
  <c r="H40" i="11"/>
  <c r="M40" i="9" s="1"/>
  <c r="E40" i="11"/>
  <c r="D40" i="11"/>
  <c r="C40" i="11"/>
  <c r="I40" i="12"/>
  <c r="F40" i="12"/>
  <c r="E40" i="12"/>
  <c r="D40" i="12"/>
  <c r="C40" i="12"/>
  <c r="N40" i="13"/>
  <c r="L40" i="13"/>
  <c r="K40" i="13"/>
  <c r="H40" i="13"/>
  <c r="D40" i="13"/>
  <c r="C40" i="13"/>
  <c r="N40" i="14"/>
  <c r="L40" i="14"/>
  <c r="K40" i="14"/>
  <c r="I40" i="14"/>
  <c r="H40" i="14"/>
  <c r="F40" i="14"/>
  <c r="E40" i="14"/>
  <c r="D40" i="14"/>
  <c r="C40" i="14"/>
  <c r="P40" i="15"/>
  <c r="N40" i="15"/>
  <c r="M40" i="15"/>
  <c r="L40" i="15"/>
  <c r="J40" i="15"/>
  <c r="I40" i="15"/>
  <c r="G40" i="15"/>
  <c r="F40" i="15"/>
  <c r="E40" i="6" s="1"/>
  <c r="E40" i="15"/>
  <c r="D40" i="6" s="1"/>
  <c r="D40" i="15"/>
  <c r="C40" i="15"/>
  <c r="L40" i="102"/>
  <c r="K40" i="102"/>
  <c r="H40" i="102"/>
  <c r="G40" i="102"/>
  <c r="F40" i="102"/>
  <c r="E40" i="102"/>
  <c r="C40" i="102"/>
  <c r="P40" i="65"/>
  <c r="N40" i="65"/>
  <c r="M40" i="65"/>
  <c r="L40" i="65"/>
  <c r="H40" i="65"/>
  <c r="G40" i="65"/>
  <c r="F40" i="65"/>
  <c r="E40" i="65"/>
  <c r="D40" i="65"/>
  <c r="C40" i="65"/>
  <c r="N40" i="64"/>
  <c r="M40" i="64"/>
  <c r="K40" i="64"/>
  <c r="H40" i="64"/>
  <c r="G40" i="64"/>
  <c r="F40" i="64"/>
  <c r="E40" i="64"/>
  <c r="I40" i="61"/>
  <c r="H40" i="61"/>
  <c r="G40" i="61"/>
  <c r="F40" i="61"/>
  <c r="E40" i="61"/>
  <c r="D40" i="61"/>
  <c r="C40" i="61"/>
  <c r="P40" i="105"/>
  <c r="N40" i="105"/>
  <c r="M40" i="105"/>
  <c r="L40" i="105"/>
  <c r="K40" i="105"/>
  <c r="J40" i="105"/>
  <c r="I40" i="105"/>
  <c r="H40" i="105"/>
  <c r="E40" i="105"/>
  <c r="D40" i="105"/>
  <c r="C40" i="105"/>
  <c r="P40" i="106"/>
  <c r="O40" i="106"/>
  <c r="N40" i="106"/>
  <c r="M40" i="106"/>
  <c r="L40" i="106"/>
  <c r="K40" i="106"/>
  <c r="J40" i="106"/>
  <c r="I40" i="106"/>
  <c r="H40" i="106"/>
  <c r="G40" i="106"/>
  <c r="F40" i="106"/>
  <c r="E40" i="106"/>
  <c r="D40" i="106"/>
  <c r="C40" i="106"/>
  <c r="O40" i="17"/>
  <c r="G40" i="9"/>
  <c r="O40" i="18"/>
  <c r="L40" i="9"/>
  <c r="P40" i="75"/>
  <c r="N40" i="75"/>
  <c r="L40" i="75"/>
  <c r="K40" i="75"/>
  <c r="J40" i="75"/>
  <c r="I40" i="75"/>
  <c r="E40" i="75"/>
  <c r="D40" i="75"/>
  <c r="C40" i="75"/>
  <c r="P40" i="74"/>
  <c r="K40" i="74"/>
  <c r="J40" i="74"/>
  <c r="I40" i="74"/>
  <c r="H40" i="74"/>
  <c r="G40" i="74"/>
  <c r="F40" i="74"/>
  <c r="E40" i="74"/>
  <c r="D40" i="74"/>
  <c r="C40" i="74"/>
  <c r="P40" i="78"/>
  <c r="O40" i="78"/>
  <c r="N40" i="78"/>
  <c r="M40" i="78"/>
  <c r="L40" i="78"/>
  <c r="K40" i="78"/>
  <c r="J40" i="78"/>
  <c r="H40" i="78"/>
  <c r="G40" i="78"/>
  <c r="F40" i="78"/>
  <c r="E40" i="78"/>
  <c r="D40" i="78"/>
  <c r="P40" i="77"/>
  <c r="O40" i="77"/>
  <c r="N40" i="77"/>
  <c r="M40" i="77"/>
  <c r="L40" i="77"/>
  <c r="K40" i="77"/>
  <c r="H40" i="77"/>
  <c r="G40" i="77"/>
  <c r="F40" i="77"/>
  <c r="E40" i="77"/>
  <c r="D40" i="77"/>
  <c r="C40" i="77"/>
  <c r="M40" i="110"/>
  <c r="L40" i="110"/>
  <c r="K40" i="110"/>
  <c r="J40" i="110"/>
  <c r="H40" i="110"/>
  <c r="F40" i="110"/>
  <c r="D40" i="110"/>
  <c r="C40" i="110"/>
  <c r="N40" i="122"/>
  <c r="L40" i="122"/>
  <c r="K40" i="122"/>
  <c r="J40" i="122"/>
  <c r="I40" i="122"/>
  <c r="H40" i="122"/>
  <c r="G40" i="122"/>
  <c r="F40" i="122"/>
  <c r="E40" i="122"/>
  <c r="D40" i="122"/>
  <c r="C40" i="122"/>
  <c r="N40" i="125"/>
  <c r="K40" i="125"/>
  <c r="J40" i="125"/>
  <c r="I40" i="125"/>
  <c r="H40" i="125"/>
  <c r="G40" i="125"/>
  <c r="E40" i="125"/>
  <c r="D40" i="125"/>
  <c r="J40" i="5"/>
  <c r="H40" i="5"/>
  <c r="K40" i="6"/>
  <c r="C40" i="7"/>
  <c r="E41" i="8" s="1"/>
  <c r="N40" i="107"/>
  <c r="M40" i="107"/>
  <c r="H40" i="107"/>
  <c r="F40" i="107"/>
  <c r="G40" i="130"/>
  <c r="D40" i="130"/>
  <c r="N40" i="120"/>
  <c r="O40" i="120" s="1"/>
  <c r="K40" i="121"/>
  <c r="P49" i="108"/>
  <c r="O49" i="108"/>
  <c r="N49" i="108"/>
  <c r="M49" i="108"/>
  <c r="K49" i="108"/>
  <c r="J49" i="108"/>
  <c r="I49" i="108"/>
  <c r="H49" i="108"/>
  <c r="B49" i="108"/>
  <c r="P48" i="108"/>
  <c r="O48" i="108"/>
  <c r="N48" i="108"/>
  <c r="M48" i="108"/>
  <c r="K48" i="108"/>
  <c r="J48" i="108"/>
  <c r="I48" i="108"/>
  <c r="H48" i="108"/>
  <c r="B48" i="108"/>
  <c r="P47" i="108"/>
  <c r="O47" i="108"/>
  <c r="N47" i="108"/>
  <c r="M47" i="108"/>
  <c r="K47" i="108"/>
  <c r="J47" i="108"/>
  <c r="I47" i="108"/>
  <c r="H47" i="108"/>
  <c r="B47" i="108"/>
  <c r="F46" i="108"/>
  <c r="E46" i="108"/>
  <c r="D46" i="108"/>
  <c r="C46" i="108"/>
  <c r="P45" i="108"/>
  <c r="O45" i="108"/>
  <c r="N45" i="108"/>
  <c r="M45" i="108"/>
  <c r="K45" i="108"/>
  <c r="J45" i="108"/>
  <c r="I45" i="108"/>
  <c r="H45" i="108"/>
  <c r="B45" i="108"/>
  <c r="P44" i="108"/>
  <c r="O44" i="108"/>
  <c r="N44" i="108"/>
  <c r="M44" i="108"/>
  <c r="K44" i="108"/>
  <c r="J44" i="108"/>
  <c r="I44" i="108"/>
  <c r="H44" i="108"/>
  <c r="B44" i="108"/>
  <c r="F43" i="108"/>
  <c r="E43" i="108"/>
  <c r="D43" i="108"/>
  <c r="C43" i="108"/>
  <c r="P42" i="108"/>
  <c r="O42" i="108"/>
  <c r="N42" i="108"/>
  <c r="M42" i="108"/>
  <c r="K42" i="108"/>
  <c r="J42" i="108"/>
  <c r="I42" i="108"/>
  <c r="H42" i="108"/>
  <c r="B42" i="108"/>
  <c r="P41" i="108"/>
  <c r="O41" i="108"/>
  <c r="N41" i="108"/>
  <c r="M41" i="108"/>
  <c r="K41" i="108"/>
  <c r="J41" i="108"/>
  <c r="I41" i="108"/>
  <c r="H41" i="108"/>
  <c r="B41" i="108"/>
  <c r="F40" i="108"/>
  <c r="E40" i="108"/>
  <c r="D40" i="108"/>
  <c r="C40" i="108"/>
  <c r="P38" i="108"/>
  <c r="P37" i="108" s="1"/>
  <c r="O38" i="108"/>
  <c r="O37" i="108" s="1"/>
  <c r="G38" i="108"/>
  <c r="B38" i="108"/>
  <c r="N37" i="108"/>
  <c r="M37" i="108"/>
  <c r="K37" i="108"/>
  <c r="J37" i="108"/>
  <c r="I37" i="108"/>
  <c r="H37" i="108"/>
  <c r="F37" i="108"/>
  <c r="E37" i="108"/>
  <c r="D37" i="108"/>
  <c r="C37" i="108"/>
  <c r="B37" i="108"/>
  <c r="P35" i="108"/>
  <c r="L35" i="108" s="1"/>
  <c r="G35" i="108"/>
  <c r="B35" i="108"/>
  <c r="O34" i="108"/>
  <c r="N34" i="108"/>
  <c r="M34" i="108"/>
  <c r="K34" i="108"/>
  <c r="J34" i="108"/>
  <c r="I34" i="108"/>
  <c r="H34" i="108"/>
  <c r="G34" i="108" s="1"/>
  <c r="F34" i="108"/>
  <c r="E34" i="108"/>
  <c r="D34" i="108"/>
  <c r="C34" i="108"/>
  <c r="B34" i="108"/>
  <c r="P33" i="108"/>
  <c r="O33" i="108"/>
  <c r="G33" i="108"/>
  <c r="B33" i="108"/>
  <c r="P32" i="108"/>
  <c r="O32" i="108"/>
  <c r="G32" i="108"/>
  <c r="B32" i="108"/>
  <c r="P31" i="108"/>
  <c r="O31" i="108"/>
  <c r="G31" i="108"/>
  <c r="B31" i="108"/>
  <c r="N30" i="108"/>
  <c r="M30" i="108"/>
  <c r="K30" i="108"/>
  <c r="J30" i="108"/>
  <c r="I30" i="108"/>
  <c r="H30" i="108"/>
  <c r="G30" i="108"/>
  <c r="F30" i="108"/>
  <c r="E30" i="108"/>
  <c r="D30" i="108"/>
  <c r="C30" i="108"/>
  <c r="B30" i="108"/>
  <c r="P29" i="108"/>
  <c r="O29" i="108"/>
  <c r="G29" i="108"/>
  <c r="B29" i="108"/>
  <c r="P28" i="108"/>
  <c r="O28" i="108"/>
  <c r="G28" i="108"/>
  <c r="B28" i="108"/>
  <c r="N27" i="108"/>
  <c r="M27" i="108"/>
  <c r="K27" i="108"/>
  <c r="J27" i="108"/>
  <c r="I27" i="108"/>
  <c r="H27" i="108"/>
  <c r="G27" i="108"/>
  <c r="F27" i="108"/>
  <c r="E27" i="108"/>
  <c r="D27" i="108"/>
  <c r="C27" i="108"/>
  <c r="B27" i="108" s="1"/>
  <c r="G26" i="108"/>
  <c r="B26" i="108"/>
  <c r="G25" i="108"/>
  <c r="B25" i="108"/>
  <c r="G24" i="108"/>
  <c r="B24" i="108"/>
  <c r="G23" i="108"/>
  <c r="B23" i="108"/>
  <c r="G22" i="108"/>
  <c r="B22" i="108"/>
  <c r="G21" i="108"/>
  <c r="B21" i="108"/>
  <c r="G20" i="108"/>
  <c r="B20" i="108"/>
  <c r="G19" i="108"/>
  <c r="B19" i="108"/>
  <c r="G18" i="108"/>
  <c r="B18" i="108"/>
  <c r="G17" i="108"/>
  <c r="B17" i="108"/>
  <c r="N16" i="108"/>
  <c r="M16" i="108"/>
  <c r="K16" i="108"/>
  <c r="J16" i="108"/>
  <c r="J8" i="108" s="1"/>
  <c r="I16" i="108"/>
  <c r="H16" i="108"/>
  <c r="G16" i="108" s="1"/>
  <c r="F16" i="108"/>
  <c r="E16" i="108"/>
  <c r="D16" i="108"/>
  <c r="C16" i="108"/>
  <c r="B16" i="108"/>
  <c r="P15" i="108"/>
  <c r="O15" i="108"/>
  <c r="G15" i="108"/>
  <c r="B15" i="108"/>
  <c r="P14" i="108"/>
  <c r="O14" i="108"/>
  <c r="M14" i="108"/>
  <c r="M13" i="108" s="1"/>
  <c r="G14" i="108"/>
  <c r="B14" i="108"/>
  <c r="N13" i="108"/>
  <c r="N9" i="108" s="1"/>
  <c r="N8" i="108" s="1"/>
  <c r="K13" i="108"/>
  <c r="J13" i="108"/>
  <c r="I13" i="108"/>
  <c r="H13" i="108"/>
  <c r="G13" i="108" s="1"/>
  <c r="F13" i="108"/>
  <c r="E13" i="108"/>
  <c r="D13" i="108"/>
  <c r="C13" i="108"/>
  <c r="B13" i="108"/>
  <c r="P12" i="108"/>
  <c r="O12" i="108"/>
  <c r="G12" i="108"/>
  <c r="B12" i="108"/>
  <c r="P11" i="108"/>
  <c r="O11" i="108"/>
  <c r="G11" i="108"/>
  <c r="B11" i="108"/>
  <c r="N10" i="108"/>
  <c r="M10" i="108"/>
  <c r="K10" i="108"/>
  <c r="J10" i="108"/>
  <c r="I10" i="108"/>
  <c r="H10" i="108"/>
  <c r="G10" i="108"/>
  <c r="F10" i="108"/>
  <c r="F9" i="108" s="1"/>
  <c r="F8" i="108" s="1"/>
  <c r="E10" i="108"/>
  <c r="E9" i="108" s="1"/>
  <c r="E8" i="108" s="1"/>
  <c r="D10" i="108"/>
  <c r="D9" i="108" s="1"/>
  <c r="C10" i="108"/>
  <c r="C9" i="108" s="1"/>
  <c r="B10" i="108"/>
  <c r="K9" i="108"/>
  <c r="J9" i="108"/>
  <c r="I9" i="108"/>
  <c r="H9" i="108"/>
  <c r="K8" i="108"/>
  <c r="I8" i="108"/>
  <c r="P17" i="109"/>
  <c r="L17" i="109" s="1"/>
  <c r="O17" i="109"/>
  <c r="N17" i="109"/>
  <c r="M17" i="109"/>
  <c r="K17" i="109"/>
  <c r="G17" i="109" s="1"/>
  <c r="J17" i="109"/>
  <c r="I17" i="109"/>
  <c r="H17" i="109"/>
  <c r="B17" i="109"/>
  <c r="P16" i="109"/>
  <c r="L16" i="109" s="1"/>
  <c r="O16" i="109"/>
  <c r="N16" i="109"/>
  <c r="M16" i="109"/>
  <c r="K16" i="109"/>
  <c r="G16" i="109" s="1"/>
  <c r="J16" i="109"/>
  <c r="I16" i="109"/>
  <c r="H16" i="109"/>
  <c r="B16" i="109"/>
  <c r="P15" i="109"/>
  <c r="L15" i="109" s="1"/>
  <c r="O15" i="109"/>
  <c r="N15" i="109"/>
  <c r="M15" i="109"/>
  <c r="K15" i="109"/>
  <c r="G15" i="109" s="1"/>
  <c r="J15" i="109"/>
  <c r="I15" i="109"/>
  <c r="H15" i="109"/>
  <c r="B15" i="109"/>
  <c r="F14" i="109"/>
  <c r="E14" i="109"/>
  <c r="D14" i="109"/>
  <c r="C14" i="109"/>
  <c r="B14" i="109"/>
  <c r="P13" i="109"/>
  <c r="L13" i="109" s="1"/>
  <c r="O13" i="109"/>
  <c r="N13" i="109"/>
  <c r="M13" i="109"/>
  <c r="K13" i="109"/>
  <c r="G13" i="109" s="1"/>
  <c r="J13" i="109"/>
  <c r="I13" i="109"/>
  <c r="H13" i="109"/>
  <c r="B13" i="109"/>
  <c r="P12" i="109"/>
  <c r="L12" i="109" s="1"/>
  <c r="O12" i="109"/>
  <c r="N12" i="109"/>
  <c r="M12" i="109"/>
  <c r="K12" i="109"/>
  <c r="G12" i="109" s="1"/>
  <c r="J12" i="109"/>
  <c r="I12" i="109"/>
  <c r="H12" i="109"/>
  <c r="B12" i="109"/>
  <c r="P11" i="109"/>
  <c r="L11" i="109" s="1"/>
  <c r="O11" i="109"/>
  <c r="N11" i="109"/>
  <c r="M11" i="109"/>
  <c r="K11" i="109"/>
  <c r="G11" i="109" s="1"/>
  <c r="J11" i="109"/>
  <c r="I11" i="109"/>
  <c r="H11" i="109"/>
  <c r="B11" i="109"/>
  <c r="P10" i="109"/>
  <c r="L10" i="109" s="1"/>
  <c r="O10" i="109"/>
  <c r="N10" i="109"/>
  <c r="M10" i="109"/>
  <c r="K10" i="109"/>
  <c r="G10" i="109" s="1"/>
  <c r="J10" i="109"/>
  <c r="I10" i="109"/>
  <c r="H10" i="109"/>
  <c r="B10" i="109"/>
  <c r="F9" i="109"/>
  <c r="E9" i="109"/>
  <c r="D9" i="109"/>
  <c r="C9" i="109"/>
  <c r="B9" i="109"/>
  <c r="F8" i="109"/>
  <c r="E8" i="109"/>
  <c r="D8" i="109"/>
  <c r="C8" i="109"/>
  <c r="B8" i="109"/>
  <c r="M40" i="5" l="1"/>
  <c r="D8" i="108"/>
  <c r="H8" i="108"/>
  <c r="P40" i="125"/>
  <c r="H40" i="7"/>
  <c r="J41" i="8" s="1"/>
  <c r="J40" i="108"/>
  <c r="H46" i="108"/>
  <c r="G49" i="108"/>
  <c r="O16" i="108"/>
  <c r="P40" i="108"/>
  <c r="L24" i="108"/>
  <c r="O13" i="108"/>
  <c r="M40" i="108"/>
  <c r="K46" i="108"/>
  <c r="M46" i="108"/>
  <c r="Q40" i="65"/>
  <c r="S40" i="65" s="1"/>
  <c r="H40" i="9"/>
  <c r="J40" i="9"/>
  <c r="K40" i="5"/>
  <c r="L40" i="5" s="1"/>
  <c r="C40" i="6" s="1"/>
  <c r="H40" i="6" s="1"/>
  <c r="L40" i="6" s="1"/>
  <c r="C40" i="9"/>
  <c r="S40" i="106"/>
  <c r="G40" i="6"/>
  <c r="L49" i="108"/>
  <c r="L15" i="108"/>
  <c r="O40" i="10"/>
  <c r="M40" i="102"/>
  <c r="K40" i="12"/>
  <c r="Q40" i="78"/>
  <c r="S40" i="78" s="1"/>
  <c r="M40" i="122"/>
  <c r="U40" i="15"/>
  <c r="C39" i="108"/>
  <c r="C36" i="108" s="1"/>
  <c r="L20" i="108"/>
  <c r="S40" i="73"/>
  <c r="D40" i="9"/>
  <c r="O43" i="108"/>
  <c r="J46" i="108"/>
  <c r="Q40" i="106"/>
  <c r="L48" i="108"/>
  <c r="H43" i="108"/>
  <c r="N43" i="108"/>
  <c r="N46" i="108"/>
  <c r="L19" i="108"/>
  <c r="P46" i="108"/>
  <c r="O30" i="108"/>
  <c r="L28" i="108"/>
  <c r="D39" i="108"/>
  <c r="D36" i="108" s="1"/>
  <c r="D50" i="108" s="1"/>
  <c r="G48" i="108"/>
  <c r="I9" i="109"/>
  <c r="F39" i="108"/>
  <c r="F36" i="108" s="1"/>
  <c r="F50" i="108" s="1"/>
  <c r="P13" i="108"/>
  <c r="L18" i="108"/>
  <c r="O40" i="108"/>
  <c r="J43" i="108"/>
  <c r="I46" i="108"/>
  <c r="P27" i="108"/>
  <c r="P30" i="108"/>
  <c r="L33" i="108"/>
  <c r="B43" i="108"/>
  <c r="H14" i="109"/>
  <c r="L45" i="108"/>
  <c r="E40" i="9"/>
  <c r="R40" i="73"/>
  <c r="R40" i="106"/>
  <c r="S40" i="105"/>
  <c r="O40" i="14"/>
  <c r="O40" i="13"/>
  <c r="N40" i="10"/>
  <c r="R40" i="15"/>
  <c r="I40" i="65"/>
  <c r="R40" i="65" s="1"/>
  <c r="J40" i="12"/>
  <c r="D40" i="7" s="1"/>
  <c r="T40" i="15"/>
  <c r="P40" i="14"/>
  <c r="P40" i="13"/>
  <c r="K40" i="108"/>
  <c r="I43" i="108"/>
  <c r="M9" i="109"/>
  <c r="L12" i="108"/>
  <c r="L22" i="108"/>
  <c r="L26" i="108"/>
  <c r="O27" i="108"/>
  <c r="L32" i="108"/>
  <c r="E39" i="108"/>
  <c r="E36" i="108" s="1"/>
  <c r="E50" i="108" s="1"/>
  <c r="L42" i="108"/>
  <c r="O9" i="109"/>
  <c r="M14" i="109"/>
  <c r="J9" i="109"/>
  <c r="H9" i="109"/>
  <c r="P34" i="108"/>
  <c r="L34" i="108" s="1"/>
  <c r="N14" i="109"/>
  <c r="O10" i="108"/>
  <c r="L17" i="108"/>
  <c r="L23" i="108"/>
  <c r="J14" i="109"/>
  <c r="L29" i="108"/>
  <c r="L38" i="108"/>
  <c r="S40" i="75"/>
  <c r="S40" i="74"/>
  <c r="L14" i="108"/>
  <c r="L31" i="108"/>
  <c r="B40" i="108"/>
  <c r="G47" i="108"/>
  <c r="N9" i="109"/>
  <c r="L11" i="108"/>
  <c r="L41" i="108"/>
  <c r="G42" i="108"/>
  <c r="P43" i="108"/>
  <c r="O14" i="109"/>
  <c r="K14" i="109"/>
  <c r="G14" i="109" s="1"/>
  <c r="I14" i="109"/>
  <c r="P10" i="108"/>
  <c r="L21" i="108"/>
  <c r="N40" i="108"/>
  <c r="G45" i="108"/>
  <c r="L47" i="108"/>
  <c r="K9" i="109"/>
  <c r="P16" i="108"/>
  <c r="L16" i="108" s="1"/>
  <c r="G44" i="108"/>
  <c r="G41" i="108"/>
  <c r="L44" i="108"/>
  <c r="O46" i="108"/>
  <c r="L25" i="108"/>
  <c r="L37" i="108"/>
  <c r="I40" i="108"/>
  <c r="M43" i="108"/>
  <c r="B46" i="108"/>
  <c r="P40" i="120"/>
  <c r="M40" i="125"/>
  <c r="O40" i="125" s="1"/>
  <c r="P40" i="17"/>
  <c r="Q40" i="105"/>
  <c r="H40" i="130"/>
  <c r="S40" i="77"/>
  <c r="Q40" i="74"/>
  <c r="Q40" i="75"/>
  <c r="R40" i="17"/>
  <c r="S40" i="72"/>
  <c r="R40" i="18"/>
  <c r="Q40" i="17"/>
  <c r="Q40" i="18"/>
  <c r="V40" i="15"/>
  <c r="S40" i="64"/>
  <c r="F40" i="6"/>
  <c r="N40" i="11"/>
  <c r="M40" i="11"/>
  <c r="N40" i="102"/>
  <c r="R40" i="72"/>
  <c r="S40" i="15"/>
  <c r="O40" i="9"/>
  <c r="P40" i="18"/>
  <c r="R40" i="74"/>
  <c r="R40" i="105"/>
  <c r="F40" i="7"/>
  <c r="H41" i="8" s="1"/>
  <c r="R40" i="77"/>
  <c r="I40" i="78"/>
  <c r="R40" i="78" s="1"/>
  <c r="J40" i="61"/>
  <c r="K40" i="61"/>
  <c r="R40" i="64"/>
  <c r="L40" i="12"/>
  <c r="I40" i="9"/>
  <c r="R40" i="75"/>
  <c r="K40" i="9"/>
  <c r="M9" i="108"/>
  <c r="G8" i="108"/>
  <c r="C8" i="108"/>
  <c r="B9" i="108"/>
  <c r="H40" i="108"/>
  <c r="K43" i="108"/>
  <c r="G9" i="108"/>
  <c r="G37" i="108"/>
  <c r="P14" i="109"/>
  <c r="L14" i="109" s="1"/>
  <c r="P9" i="109"/>
  <c r="N45" i="97"/>
  <c r="G45" i="97"/>
  <c r="I45" i="97" s="1"/>
  <c r="P45" i="97" s="1"/>
  <c r="N44" i="97"/>
  <c r="G44" i="97"/>
  <c r="I44" i="97" s="1"/>
  <c r="P44" i="97" s="1"/>
  <c r="N43" i="97"/>
  <c r="G43" i="97"/>
  <c r="I43" i="97" s="1"/>
  <c r="N42" i="97"/>
  <c r="G42" i="97"/>
  <c r="I42" i="97" s="1"/>
  <c r="P42" i="97" s="1"/>
  <c r="N41" i="97"/>
  <c r="G41" i="97"/>
  <c r="I41" i="97" s="1"/>
  <c r="N40" i="97"/>
  <c r="G40" i="97"/>
  <c r="I40" i="97" s="1"/>
  <c r="P40" i="97" s="1"/>
  <c r="N39" i="97"/>
  <c r="G39" i="97"/>
  <c r="I39" i="97" s="1"/>
  <c r="P39" i="97" s="1"/>
  <c r="N38" i="97"/>
  <c r="G38" i="97"/>
  <c r="I38" i="97" s="1"/>
  <c r="P38" i="97" s="1"/>
  <c r="N37" i="97"/>
  <c r="G37" i="97"/>
  <c r="I37" i="97" s="1"/>
  <c r="P37" i="97" s="1"/>
  <c r="N36" i="97"/>
  <c r="G36" i="97"/>
  <c r="I36" i="97" s="1"/>
  <c r="P36" i="97" s="1"/>
  <c r="N35" i="97"/>
  <c r="G35" i="97"/>
  <c r="I35" i="97" s="1"/>
  <c r="P35" i="97" s="1"/>
  <c r="N34" i="97"/>
  <c r="G34" i="97"/>
  <c r="I34" i="97" s="1"/>
  <c r="N33" i="97"/>
  <c r="G33" i="97"/>
  <c r="I33" i="97" s="1"/>
  <c r="P33" i="97" s="1"/>
  <c r="N32" i="97"/>
  <c r="G32" i="97"/>
  <c r="I32" i="97" s="1"/>
  <c r="P32" i="97" s="1"/>
  <c r="N31" i="97"/>
  <c r="G31" i="97"/>
  <c r="I31" i="97" s="1"/>
  <c r="P31" i="97" s="1"/>
  <c r="N30" i="97"/>
  <c r="G30" i="97"/>
  <c r="I30" i="97" s="1"/>
  <c r="P30" i="97" s="1"/>
  <c r="N29" i="97"/>
  <c r="G29" i="97"/>
  <c r="I29" i="97" s="1"/>
  <c r="P29" i="97" s="1"/>
  <c r="N28" i="97"/>
  <c r="G28" i="97"/>
  <c r="I28" i="97" s="1"/>
  <c r="P28" i="97" s="1"/>
  <c r="N27" i="97"/>
  <c r="G27" i="97"/>
  <c r="I27" i="97" s="1"/>
  <c r="P27" i="97" s="1"/>
  <c r="N26" i="97"/>
  <c r="G26" i="97"/>
  <c r="I26" i="97" s="1"/>
  <c r="P26" i="97" s="1"/>
  <c r="N25" i="97"/>
  <c r="G25" i="97"/>
  <c r="I25" i="97" s="1"/>
  <c r="P25" i="97" s="1"/>
  <c r="N24" i="97"/>
  <c r="G24" i="97"/>
  <c r="I24" i="97" s="1"/>
  <c r="P24" i="97" s="1"/>
  <c r="N23" i="97"/>
  <c r="G23" i="97"/>
  <c r="I23" i="97" s="1"/>
  <c r="P23" i="97" s="1"/>
  <c r="N22" i="97"/>
  <c r="G22" i="97"/>
  <c r="I22" i="97" s="1"/>
  <c r="P22" i="97" s="1"/>
  <c r="N21" i="97"/>
  <c r="G21" i="97"/>
  <c r="I21" i="97" s="1"/>
  <c r="P21" i="97" s="1"/>
  <c r="N20" i="97"/>
  <c r="G20" i="97"/>
  <c r="I20" i="97" s="1"/>
  <c r="P20" i="97" s="1"/>
  <c r="N19" i="97"/>
  <c r="G19" i="97"/>
  <c r="I19" i="97" s="1"/>
  <c r="P19" i="97" s="1"/>
  <c r="L18" i="97"/>
  <c r="N18" i="97" s="1"/>
  <c r="G18" i="97"/>
  <c r="I18" i="97" s="1"/>
  <c r="N17" i="97"/>
  <c r="G17" i="97"/>
  <c r="I17" i="97" s="1"/>
  <c r="P17" i="97" s="1"/>
  <c r="N16" i="97"/>
  <c r="G16" i="97"/>
  <c r="I16" i="97" s="1"/>
  <c r="P16" i="97" s="1"/>
  <c r="N15" i="97"/>
  <c r="G15" i="97"/>
  <c r="I15" i="97" s="1"/>
  <c r="P15" i="97" s="1"/>
  <c r="N14" i="97"/>
  <c r="G14" i="97"/>
  <c r="I14" i="97" s="1"/>
  <c r="P14" i="97" s="1"/>
  <c r="N13" i="97"/>
  <c r="G13" i="97"/>
  <c r="I13" i="97" s="1"/>
  <c r="P13" i="97" s="1"/>
  <c r="N12" i="97"/>
  <c r="G12" i="97"/>
  <c r="I12" i="97" s="1"/>
  <c r="P12" i="97" s="1"/>
  <c r="N11" i="97"/>
  <c r="G11" i="97"/>
  <c r="I11" i="97" s="1"/>
  <c r="P11" i="97" s="1"/>
  <c r="L44" i="101"/>
  <c r="M44" i="101" s="1"/>
  <c r="G44" i="101"/>
  <c r="H44" i="101" s="1"/>
  <c r="U44" i="101" s="1"/>
  <c r="L43" i="101"/>
  <c r="M43" i="101" s="1"/>
  <c r="G43" i="101"/>
  <c r="H43" i="101" s="1"/>
  <c r="U43" i="101" s="1"/>
  <c r="L42" i="101"/>
  <c r="M42" i="101" s="1"/>
  <c r="G42" i="101"/>
  <c r="H42" i="101" s="1"/>
  <c r="U42" i="101" s="1"/>
  <c r="L41" i="101"/>
  <c r="M41" i="101" s="1"/>
  <c r="G41" i="101"/>
  <c r="H41" i="101" s="1"/>
  <c r="U41" i="101" s="1"/>
  <c r="L40" i="101"/>
  <c r="M40" i="101" s="1"/>
  <c r="G40" i="101"/>
  <c r="H40" i="101" s="1"/>
  <c r="L39" i="101"/>
  <c r="M39" i="101" s="1"/>
  <c r="G39" i="101"/>
  <c r="H39" i="101" s="1"/>
  <c r="L38" i="101"/>
  <c r="M38" i="101" s="1"/>
  <c r="G38" i="101"/>
  <c r="H38" i="101" s="1"/>
  <c r="L37" i="101"/>
  <c r="M37" i="101" s="1"/>
  <c r="G37" i="101"/>
  <c r="H37" i="101" s="1"/>
  <c r="L36" i="101"/>
  <c r="M36" i="101" s="1"/>
  <c r="G36" i="101"/>
  <c r="H36" i="101" s="1"/>
  <c r="U36" i="101" s="1"/>
  <c r="L35" i="101"/>
  <c r="M35" i="101" s="1"/>
  <c r="G35" i="101"/>
  <c r="H35" i="101" s="1"/>
  <c r="L34" i="101"/>
  <c r="M34" i="101" s="1"/>
  <c r="G34" i="101"/>
  <c r="H34" i="101" s="1"/>
  <c r="L33" i="101"/>
  <c r="M33" i="101" s="1"/>
  <c r="G33" i="101"/>
  <c r="H33" i="101" s="1"/>
  <c r="L32" i="101"/>
  <c r="M32" i="101" s="1"/>
  <c r="G32" i="101"/>
  <c r="H32" i="101" s="1"/>
  <c r="L30" i="101"/>
  <c r="M30" i="101" s="1"/>
  <c r="G30" i="101"/>
  <c r="H30" i="101" s="1"/>
  <c r="L29" i="101"/>
  <c r="M29" i="101" s="1"/>
  <c r="F29" i="101"/>
  <c r="G29" i="101" s="1"/>
  <c r="H29" i="101" s="1"/>
  <c r="L28" i="101"/>
  <c r="M28" i="101" s="1"/>
  <c r="G28" i="101"/>
  <c r="H28" i="101" s="1"/>
  <c r="U28" i="101" s="1"/>
  <c r="M27" i="101"/>
  <c r="H27" i="101"/>
  <c r="M26" i="101"/>
  <c r="H26" i="101"/>
  <c r="U26" i="101" s="1"/>
  <c r="L25" i="101"/>
  <c r="M25" i="101" s="1"/>
  <c r="H25" i="101"/>
  <c r="L20" i="101"/>
  <c r="M20" i="101" s="1"/>
  <c r="G20" i="101"/>
  <c r="H20" i="101" s="1"/>
  <c r="U20" i="101" s="1"/>
  <c r="L19" i="101"/>
  <c r="M19" i="101" s="1"/>
  <c r="G19" i="101"/>
  <c r="H19" i="101" s="1"/>
  <c r="U19" i="101" s="1"/>
  <c r="L18" i="101"/>
  <c r="M18" i="101" s="1"/>
  <c r="G18" i="101"/>
  <c r="H18" i="101" s="1"/>
  <c r="U18" i="101" s="1"/>
  <c r="M17" i="101"/>
  <c r="H17" i="101"/>
  <c r="M15" i="101"/>
  <c r="H15" i="101"/>
  <c r="U15" i="101" s="1"/>
  <c r="L14" i="101"/>
  <c r="M14" i="101" s="1"/>
  <c r="G14" i="101"/>
  <c r="H14" i="101" s="1"/>
  <c r="U14" i="101" s="1"/>
  <c r="U11" i="101"/>
  <c r="O9" i="108" l="1"/>
  <c r="I8" i="109"/>
  <c r="L13" i="108"/>
  <c r="M39" i="108"/>
  <c r="M36" i="108" s="1"/>
  <c r="J39" i="108"/>
  <c r="J36" i="108" s="1"/>
  <c r="J50" i="108" s="1"/>
  <c r="G46" i="108"/>
  <c r="P9" i="108"/>
  <c r="E40" i="7"/>
  <c r="G41" i="8" s="1"/>
  <c r="F41" i="8"/>
  <c r="P41" i="97"/>
  <c r="P43" i="97"/>
  <c r="P34" i="97"/>
  <c r="P18" i="97"/>
  <c r="U37" i="101"/>
  <c r="U38" i="101"/>
  <c r="U40" i="101"/>
  <c r="U34" i="101"/>
  <c r="U32" i="101"/>
  <c r="U39" i="101"/>
  <c r="U25" i="101"/>
  <c r="U17" i="101"/>
  <c r="U33" i="101"/>
  <c r="U27" i="101"/>
  <c r="L27" i="108"/>
  <c r="O8" i="108"/>
  <c r="O8" i="109"/>
  <c r="H8" i="109"/>
  <c r="P39" i="108"/>
  <c r="P36" i="108" s="1"/>
  <c r="G43" i="108"/>
  <c r="L46" i="108"/>
  <c r="B39" i="108"/>
  <c r="B36" i="108"/>
  <c r="L10" i="108"/>
  <c r="N39" i="108"/>
  <c r="N36" i="108" s="1"/>
  <c r="N50" i="108" s="1"/>
  <c r="L30" i="108"/>
  <c r="I39" i="108"/>
  <c r="I36" i="108" s="1"/>
  <c r="I50" i="108" s="1"/>
  <c r="N8" i="109"/>
  <c r="Q40" i="9"/>
  <c r="J8" i="109"/>
  <c r="M8" i="109"/>
  <c r="L40" i="108"/>
  <c r="O39" i="108"/>
  <c r="O36" i="108" s="1"/>
  <c r="K8" i="109"/>
  <c r="G8" i="109" s="1"/>
  <c r="G9" i="109"/>
  <c r="L43" i="108"/>
  <c r="I40" i="7"/>
  <c r="P40" i="9"/>
  <c r="S40" i="9"/>
  <c r="R40" i="9"/>
  <c r="I40" i="6"/>
  <c r="B8" i="108"/>
  <c r="C50" i="108"/>
  <c r="B50" i="108" s="1"/>
  <c r="M8" i="108"/>
  <c r="H39" i="108"/>
  <c r="G40" i="108"/>
  <c r="K39" i="108"/>
  <c r="K36" i="108" s="1"/>
  <c r="K50" i="108" s="1"/>
  <c r="P8" i="109"/>
  <c r="L8" i="109" s="1"/>
  <c r="L9" i="109"/>
  <c r="U29" i="101"/>
  <c r="U30" i="101"/>
  <c r="U35" i="101"/>
  <c r="K40" i="7" l="1"/>
  <c r="O50" i="108"/>
  <c r="L41" i="8"/>
  <c r="P8" i="108"/>
  <c r="L9" i="108"/>
  <c r="L40" i="7"/>
  <c r="K41" i="8"/>
  <c r="M41" i="8" s="1"/>
  <c r="L39" i="108"/>
  <c r="L36" i="108"/>
  <c r="M40" i="6"/>
  <c r="J40" i="6"/>
  <c r="M50" i="108"/>
  <c r="G39" i="108"/>
  <c r="H36" i="108"/>
  <c r="O39" i="105"/>
  <c r="J39" i="105"/>
  <c r="F39" i="105"/>
  <c r="G39" i="105"/>
  <c r="P50" i="108" l="1"/>
  <c r="L50" i="108" s="1"/>
  <c r="L8" i="108"/>
  <c r="J40" i="7"/>
  <c r="M40" i="7" s="1"/>
  <c r="N40" i="6"/>
  <c r="C40" i="8"/>
  <c r="D41" i="8" s="1"/>
  <c r="G36" i="108"/>
  <c r="H50" i="108"/>
  <c r="G50" i="108" s="1"/>
  <c r="L39" i="125" l="1"/>
  <c r="L30" i="125" s="1"/>
  <c r="C39" i="125"/>
  <c r="C30" i="125" s="1"/>
  <c r="K39" i="125"/>
  <c r="K30" i="125" s="1"/>
  <c r="J39" i="125"/>
  <c r="J30" i="125" s="1"/>
  <c r="G39" i="125"/>
  <c r="G30" i="125" s="1"/>
  <c r="F39" i="125"/>
  <c r="F30" i="125" s="1"/>
  <c r="E39" i="125"/>
  <c r="E30" i="125" s="1"/>
  <c r="D39" i="125"/>
  <c r="D30" i="125" s="1"/>
  <c r="I39" i="110"/>
  <c r="I30" i="110" s="1"/>
  <c r="F33" i="117"/>
  <c r="E33" i="117"/>
  <c r="F32" i="117"/>
  <c r="E32" i="117"/>
  <c r="F31" i="117"/>
  <c r="E31" i="117"/>
  <c r="F30" i="117"/>
  <c r="E30" i="117"/>
  <c r="F29" i="117"/>
  <c r="E29" i="117"/>
  <c r="F28" i="117"/>
  <c r="E28" i="117"/>
  <c r="F27" i="117"/>
  <c r="E27" i="117"/>
  <c r="F26" i="117"/>
  <c r="E26" i="117"/>
  <c r="F25" i="117"/>
  <c r="E25" i="117"/>
  <c r="F24" i="117"/>
  <c r="E24" i="117"/>
  <c r="F23" i="117"/>
  <c r="E23" i="117"/>
  <c r="F22" i="117"/>
  <c r="E22" i="117"/>
  <c r="F21" i="117"/>
  <c r="E21" i="117"/>
  <c r="F20" i="117"/>
  <c r="E20" i="117"/>
  <c r="F19" i="117"/>
  <c r="E19" i="117"/>
  <c r="F18" i="117"/>
  <c r="E18" i="117"/>
  <c r="F17" i="117"/>
  <c r="E17" i="117"/>
  <c r="F16" i="117"/>
  <c r="E16" i="117"/>
  <c r="F15" i="117"/>
  <c r="E15" i="117"/>
  <c r="F14" i="117"/>
  <c r="E14" i="117"/>
  <c r="F13" i="117"/>
  <c r="E13" i="117"/>
  <c r="F16" i="116"/>
  <c r="F32" i="116"/>
  <c r="F30" i="116"/>
  <c r="F27" i="116"/>
  <c r="F21" i="116"/>
  <c r="F14" i="116"/>
  <c r="F13" i="116"/>
  <c r="F33" i="116"/>
  <c r="E33" i="116"/>
  <c r="E32" i="116"/>
  <c r="F31" i="116"/>
  <c r="E31" i="116"/>
  <c r="E30" i="116"/>
  <c r="F29" i="116"/>
  <c r="E29" i="116"/>
  <c r="F28" i="116"/>
  <c r="E28" i="116"/>
  <c r="E27" i="116"/>
  <c r="E26" i="116"/>
  <c r="F25" i="116"/>
  <c r="E25" i="116"/>
  <c r="F24" i="116"/>
  <c r="E24" i="116"/>
  <c r="F23" i="116"/>
  <c r="E23" i="116"/>
  <c r="F22" i="116"/>
  <c r="E22" i="116"/>
  <c r="E21" i="116"/>
  <c r="F20" i="116"/>
  <c r="E20" i="116"/>
  <c r="F19" i="116"/>
  <c r="E19" i="116"/>
  <c r="F18" i="116"/>
  <c r="E18" i="116"/>
  <c r="F17" i="116"/>
  <c r="E17" i="116"/>
  <c r="E16" i="116"/>
  <c r="F15" i="116"/>
  <c r="E15" i="116"/>
  <c r="E14" i="116"/>
  <c r="E13" i="116"/>
  <c r="F29" i="115"/>
  <c r="F33" i="115"/>
  <c r="E33" i="115"/>
  <c r="F32" i="115"/>
  <c r="E32" i="115"/>
  <c r="F31" i="115"/>
  <c r="E31" i="115"/>
  <c r="F30" i="115"/>
  <c r="E30" i="115"/>
  <c r="E29" i="115"/>
  <c r="F28" i="115"/>
  <c r="E28" i="115"/>
  <c r="F27" i="115"/>
  <c r="E27" i="115"/>
  <c r="F26" i="115"/>
  <c r="E26" i="115"/>
  <c r="F25" i="115"/>
  <c r="E25" i="115"/>
  <c r="F24" i="115"/>
  <c r="E24" i="115"/>
  <c r="F23" i="115"/>
  <c r="E23" i="115"/>
  <c r="F22" i="115"/>
  <c r="E22" i="115"/>
  <c r="F21" i="115"/>
  <c r="E21" i="115"/>
  <c r="F20" i="115"/>
  <c r="E20" i="115"/>
  <c r="F19" i="115"/>
  <c r="E19" i="115"/>
  <c r="F18" i="115"/>
  <c r="E18" i="115"/>
  <c r="F17" i="115"/>
  <c r="E17" i="115"/>
  <c r="F16" i="115"/>
  <c r="E16" i="115"/>
  <c r="F15" i="115"/>
  <c r="E15" i="115"/>
  <c r="F14" i="115"/>
  <c r="E14" i="115"/>
  <c r="F13" i="115"/>
  <c r="E13" i="115"/>
  <c r="F13" i="114"/>
  <c r="F15" i="114"/>
  <c r="F28" i="114"/>
  <c r="F29" i="114"/>
  <c r="F30" i="114"/>
  <c r="F31" i="114"/>
  <c r="F32" i="114"/>
  <c r="F33" i="114"/>
  <c r="E33" i="114"/>
  <c r="E32" i="114"/>
  <c r="E31" i="114"/>
  <c r="E30" i="114"/>
  <c r="E29" i="114"/>
  <c r="E28" i="114"/>
  <c r="F27" i="114"/>
  <c r="E27" i="114"/>
  <c r="F26" i="114"/>
  <c r="E26" i="114"/>
  <c r="F25" i="114"/>
  <c r="E25" i="114"/>
  <c r="F24" i="114"/>
  <c r="E24" i="114"/>
  <c r="F23" i="114"/>
  <c r="E23" i="114"/>
  <c r="F22" i="114"/>
  <c r="E22" i="114"/>
  <c r="F21" i="114"/>
  <c r="E21" i="114"/>
  <c r="F20" i="114"/>
  <c r="E20" i="114"/>
  <c r="F19" i="114"/>
  <c r="E19" i="114"/>
  <c r="F18" i="114"/>
  <c r="E18" i="114"/>
  <c r="F17" i="114"/>
  <c r="E17" i="114"/>
  <c r="F16" i="114"/>
  <c r="E16" i="114"/>
  <c r="E15" i="114"/>
  <c r="F14" i="114"/>
  <c r="E14" i="114"/>
  <c r="E13" i="114"/>
  <c r="M39" i="74"/>
  <c r="O39" i="75"/>
  <c r="H39" i="75"/>
  <c r="F39" i="75"/>
  <c r="G39" i="75"/>
  <c r="L39" i="75"/>
  <c r="N39" i="75"/>
  <c r="N39" i="74"/>
  <c r="H39" i="74"/>
  <c r="G39" i="74"/>
  <c r="O39" i="74"/>
  <c r="I39" i="74"/>
  <c r="K39" i="74"/>
  <c r="J39" i="75"/>
  <c r="G39" i="12"/>
  <c r="H39" i="12"/>
  <c r="I39" i="12"/>
  <c r="L39" i="18"/>
  <c r="F39" i="18"/>
  <c r="D39" i="102"/>
  <c r="J39" i="102"/>
  <c r="I39" i="102"/>
  <c r="H39" i="102"/>
  <c r="Q39" i="15"/>
  <c r="O39" i="15"/>
  <c r="H39" i="15"/>
  <c r="L39" i="15"/>
  <c r="K39" i="15"/>
  <c r="F39" i="17"/>
  <c r="F39" i="9" s="1"/>
  <c r="D39" i="94"/>
  <c r="C39" i="94"/>
  <c r="E39" i="94" s="1"/>
  <c r="E78" i="63" s="1"/>
  <c r="E38" i="94"/>
  <c r="E37" i="94"/>
  <c r="E36" i="94"/>
  <c r="D35" i="94"/>
  <c r="C35" i="94"/>
  <c r="E35" i="94" s="1"/>
  <c r="D78" i="63" s="1"/>
  <c r="E34" i="94"/>
  <c r="E33" i="94"/>
  <c r="E32" i="94"/>
  <c r="D31" i="94"/>
  <c r="C31" i="94"/>
  <c r="E31" i="94" s="1"/>
  <c r="C78" i="63" s="1"/>
  <c r="E30" i="94"/>
  <c r="E29" i="94"/>
  <c r="E28" i="94"/>
  <c r="D27" i="94"/>
  <c r="C27" i="94"/>
  <c r="E27" i="94" s="1"/>
  <c r="E26" i="94"/>
  <c r="E25" i="94"/>
  <c r="E24" i="94"/>
  <c r="D23" i="94"/>
  <c r="C23" i="94"/>
  <c r="E23" i="94" s="1"/>
  <c r="E22" i="94"/>
  <c r="E21" i="94"/>
  <c r="E20" i="94"/>
  <c r="D19" i="94"/>
  <c r="C19" i="94"/>
  <c r="E18" i="94"/>
  <c r="E17" i="94"/>
  <c r="E16" i="94"/>
  <c r="D15" i="94"/>
  <c r="C15" i="94"/>
  <c r="E15" i="94" s="1"/>
  <c r="E14" i="94"/>
  <c r="E13" i="94"/>
  <c r="E12" i="94"/>
  <c r="D11" i="94"/>
  <c r="C11" i="94"/>
  <c r="E10" i="94"/>
  <c r="E9" i="94"/>
  <c r="E8" i="94"/>
  <c r="E19" i="94" l="1"/>
  <c r="E11" i="94"/>
  <c r="L30" i="12"/>
  <c r="F38" i="114"/>
  <c r="N39" i="120"/>
  <c r="N30" i="120" s="1"/>
  <c r="O30" i="120" s="1"/>
  <c r="R24" i="113" l="1"/>
  <c r="Q24" i="113"/>
  <c r="P24" i="113"/>
  <c r="O24" i="113"/>
  <c r="N24" i="113"/>
  <c r="M24" i="113"/>
  <c r="L24" i="113"/>
  <c r="K24" i="113"/>
  <c r="J24" i="113"/>
  <c r="I24" i="113"/>
  <c r="H24" i="113"/>
  <c r="G24" i="113"/>
  <c r="F24" i="113"/>
  <c r="E24" i="113"/>
  <c r="D24" i="113"/>
  <c r="C24" i="113"/>
  <c r="R24" i="112"/>
  <c r="Q24" i="112"/>
  <c r="P24" i="112"/>
  <c r="O24" i="112"/>
  <c r="N24" i="112"/>
  <c r="M24" i="112"/>
  <c r="L24" i="112"/>
  <c r="K24" i="112"/>
  <c r="J24" i="112"/>
  <c r="I24" i="112"/>
  <c r="H24" i="112"/>
  <c r="G24" i="112"/>
  <c r="F24" i="112"/>
  <c r="E24" i="112"/>
  <c r="D24" i="112"/>
  <c r="C24" i="112"/>
  <c r="J24" i="111"/>
  <c r="I24" i="111"/>
  <c r="H24" i="111"/>
  <c r="G24" i="111"/>
  <c r="F24" i="111"/>
  <c r="E24" i="111"/>
  <c r="D24" i="111"/>
  <c r="C24" i="111"/>
  <c r="C21" i="111"/>
  <c r="D21" i="111"/>
  <c r="E21" i="111"/>
  <c r="F21" i="111"/>
  <c r="G21" i="111"/>
  <c r="H21" i="111"/>
  <c r="I21" i="111"/>
  <c r="J21" i="111"/>
  <c r="C22" i="111"/>
  <c r="D22" i="111"/>
  <c r="E22" i="111"/>
  <c r="F22" i="111"/>
  <c r="G22" i="111"/>
  <c r="H22" i="111"/>
  <c r="I22" i="111"/>
  <c r="J22" i="111"/>
  <c r="C23" i="111"/>
  <c r="D23" i="111"/>
  <c r="E23" i="111"/>
  <c r="F23" i="111"/>
  <c r="G23" i="111"/>
  <c r="H23" i="111"/>
  <c r="I23" i="111"/>
  <c r="J23" i="111"/>
  <c r="D40" i="98"/>
  <c r="E38" i="115" l="1"/>
  <c r="F38" i="115"/>
  <c r="E38" i="116"/>
  <c r="F38" i="116"/>
  <c r="E38" i="117"/>
  <c r="F38" i="117"/>
  <c r="E38" i="114"/>
  <c r="L39" i="110"/>
  <c r="L30" i="110" s="1"/>
  <c r="Q39" i="77"/>
  <c r="O39" i="77"/>
  <c r="N39" i="77"/>
  <c r="F39" i="74"/>
  <c r="G39" i="72"/>
  <c r="N39" i="18"/>
  <c r="G39" i="18"/>
  <c r="G39" i="17"/>
  <c r="C39" i="102"/>
  <c r="D39" i="12"/>
  <c r="S39" i="80"/>
  <c r="R39" i="80"/>
  <c r="P39" i="80"/>
  <c r="O39" i="80"/>
  <c r="N39" i="80"/>
  <c r="M39" i="80"/>
  <c r="L39" i="80"/>
  <c r="K39" i="80"/>
  <c r="J39" i="80"/>
  <c r="I39" i="80"/>
  <c r="H39" i="80"/>
  <c r="G39" i="80"/>
  <c r="F39" i="80"/>
  <c r="E39" i="80"/>
  <c r="D39" i="80"/>
  <c r="C39" i="80"/>
  <c r="S39" i="128"/>
  <c r="R39" i="128"/>
  <c r="Q39" i="128"/>
  <c r="P39" i="128"/>
  <c r="O39" i="128"/>
  <c r="N39" i="128"/>
  <c r="M39" i="128"/>
  <c r="L39" i="128"/>
  <c r="K39" i="128"/>
  <c r="J39" i="128"/>
  <c r="I39" i="128"/>
  <c r="H39" i="128"/>
  <c r="G39" i="128"/>
  <c r="F39" i="128"/>
  <c r="E39" i="128"/>
  <c r="D39" i="128"/>
  <c r="C39" i="128"/>
  <c r="M39" i="10"/>
  <c r="L39" i="11"/>
  <c r="F39" i="12"/>
  <c r="E39" i="12"/>
  <c r="C39" i="12"/>
  <c r="P30" i="14"/>
  <c r="P39" i="15"/>
  <c r="N39" i="15"/>
  <c r="M39" i="15"/>
  <c r="T30" i="15" s="1"/>
  <c r="J39" i="15"/>
  <c r="I39" i="15"/>
  <c r="G39" i="15"/>
  <c r="F39" i="15"/>
  <c r="E39" i="15"/>
  <c r="D39" i="15"/>
  <c r="C39" i="15"/>
  <c r="L39" i="102"/>
  <c r="K39" i="102"/>
  <c r="N30" i="102" s="1"/>
  <c r="G39" i="102"/>
  <c r="F39" i="102"/>
  <c r="E39" i="102"/>
  <c r="I39" i="61"/>
  <c r="H39" i="61"/>
  <c r="G39" i="61"/>
  <c r="F39" i="61"/>
  <c r="E39" i="61"/>
  <c r="D39" i="61"/>
  <c r="C39" i="61"/>
  <c r="P39" i="105"/>
  <c r="N39" i="105"/>
  <c r="M39" i="105"/>
  <c r="L39" i="105"/>
  <c r="K39" i="105"/>
  <c r="I39" i="105"/>
  <c r="H39" i="105"/>
  <c r="E39" i="105"/>
  <c r="D39" i="105"/>
  <c r="C39" i="105"/>
  <c r="P39" i="106"/>
  <c r="O39" i="106"/>
  <c r="N39" i="106"/>
  <c r="M39" i="106"/>
  <c r="L39" i="106"/>
  <c r="K39" i="106"/>
  <c r="J39" i="106"/>
  <c r="I39" i="106"/>
  <c r="H39" i="106"/>
  <c r="G39" i="106"/>
  <c r="F39" i="106"/>
  <c r="E39" i="106"/>
  <c r="D39" i="106"/>
  <c r="C39" i="106"/>
  <c r="O39" i="17"/>
  <c r="N39" i="17"/>
  <c r="M39" i="17"/>
  <c r="L39" i="17"/>
  <c r="K39" i="17"/>
  <c r="J39" i="17"/>
  <c r="I39" i="17"/>
  <c r="H39" i="17"/>
  <c r="E39" i="17"/>
  <c r="E39" i="9" s="1"/>
  <c r="D39" i="17"/>
  <c r="C39" i="17"/>
  <c r="C39" i="9" s="1"/>
  <c r="O39" i="18"/>
  <c r="M39" i="18"/>
  <c r="K39" i="18"/>
  <c r="J39" i="18"/>
  <c r="I39" i="18"/>
  <c r="H39" i="18"/>
  <c r="E39" i="18"/>
  <c r="D39" i="18"/>
  <c r="C39" i="18"/>
  <c r="Q39" i="72"/>
  <c r="P39" i="72"/>
  <c r="O39" i="72"/>
  <c r="N39" i="72"/>
  <c r="M39" i="72"/>
  <c r="L39" i="72"/>
  <c r="K39" i="72"/>
  <c r="J39" i="72"/>
  <c r="I39" i="72"/>
  <c r="H39" i="72"/>
  <c r="F39" i="72"/>
  <c r="E39" i="72"/>
  <c r="D39" i="72"/>
  <c r="C39" i="72"/>
  <c r="P39" i="75"/>
  <c r="M39" i="75"/>
  <c r="K39" i="75"/>
  <c r="I39" i="75"/>
  <c r="S39" i="75"/>
  <c r="E39" i="75"/>
  <c r="D39" i="75"/>
  <c r="C39" i="75"/>
  <c r="P39" i="74"/>
  <c r="L39" i="74"/>
  <c r="J39" i="74"/>
  <c r="E39" i="74"/>
  <c r="D39" i="74"/>
  <c r="C39" i="74"/>
  <c r="P39" i="77"/>
  <c r="M39" i="77"/>
  <c r="L39" i="77"/>
  <c r="K39" i="77"/>
  <c r="J39" i="77"/>
  <c r="I39" i="77"/>
  <c r="H39" i="77"/>
  <c r="G39" i="77"/>
  <c r="F39" i="77"/>
  <c r="E39" i="77"/>
  <c r="D39" i="77"/>
  <c r="C39" i="77"/>
  <c r="M39" i="110"/>
  <c r="K39" i="110"/>
  <c r="K30" i="110" s="1"/>
  <c r="J39" i="110"/>
  <c r="J30" i="110" s="1"/>
  <c r="H39" i="110"/>
  <c r="H30" i="110" s="1"/>
  <c r="F39" i="110"/>
  <c r="F30" i="110" s="1"/>
  <c r="D39" i="110"/>
  <c r="D30" i="110" s="1"/>
  <c r="C39" i="110"/>
  <c r="C30" i="110" s="1"/>
  <c r="N39" i="122"/>
  <c r="N30" i="122" s="1"/>
  <c r="L39" i="122"/>
  <c r="L30" i="122" s="1"/>
  <c r="K39" i="122"/>
  <c r="K30" i="122" s="1"/>
  <c r="J39" i="122"/>
  <c r="J30" i="122" s="1"/>
  <c r="I39" i="122"/>
  <c r="I30" i="122" s="1"/>
  <c r="H39" i="122"/>
  <c r="H30" i="122" s="1"/>
  <c r="G39" i="122"/>
  <c r="G30" i="122" s="1"/>
  <c r="F39" i="122"/>
  <c r="F30" i="122" s="1"/>
  <c r="E39" i="122"/>
  <c r="E30" i="122" s="1"/>
  <c r="D39" i="122"/>
  <c r="D30" i="122" s="1"/>
  <c r="C39" i="122"/>
  <c r="C30" i="122" s="1"/>
  <c r="N39" i="125"/>
  <c r="I39" i="125"/>
  <c r="I30" i="125" s="1"/>
  <c r="H39" i="125"/>
  <c r="H30" i="125" s="1"/>
  <c r="J39" i="5"/>
  <c r="H39" i="5"/>
  <c r="K39" i="6"/>
  <c r="C39" i="7"/>
  <c r="N39" i="107"/>
  <c r="M39" i="107"/>
  <c r="H39" i="107"/>
  <c r="F39" i="107"/>
  <c r="G39" i="130"/>
  <c r="D39" i="130"/>
  <c r="P39" i="120"/>
  <c r="K39" i="121"/>
  <c r="M39" i="5" l="1"/>
  <c r="P39" i="125"/>
  <c r="N30" i="125"/>
  <c r="O30" i="10"/>
  <c r="N30" i="11"/>
  <c r="K30" i="12"/>
  <c r="M30" i="102"/>
  <c r="R30" i="105"/>
  <c r="S30" i="106"/>
  <c r="K39" i="5"/>
  <c r="N30" i="10"/>
  <c r="M39" i="9"/>
  <c r="V30" i="15"/>
  <c r="U30" i="15"/>
  <c r="E39" i="6"/>
  <c r="S30" i="15"/>
  <c r="D39" i="6"/>
  <c r="R30" i="15"/>
  <c r="R30" i="64"/>
  <c r="S30" i="64"/>
  <c r="S30" i="105"/>
  <c r="Q30" i="105"/>
  <c r="O39" i="9"/>
  <c r="E40" i="8"/>
  <c r="P30" i="18"/>
  <c r="O30" i="14"/>
  <c r="R30" i="106"/>
  <c r="Q30" i="106"/>
  <c r="P30" i="13"/>
  <c r="M30" i="11"/>
  <c r="O30" i="13"/>
  <c r="Q39" i="105"/>
  <c r="M39" i="125"/>
  <c r="M30" i="125" s="1"/>
  <c r="R39" i="77"/>
  <c r="Q39" i="18"/>
  <c r="H39" i="9"/>
  <c r="G39" i="6"/>
  <c r="R39" i="106"/>
  <c r="S39" i="106"/>
  <c r="F39" i="7"/>
  <c r="L39" i="9"/>
  <c r="K39" i="9"/>
  <c r="R39" i="75"/>
  <c r="F39" i="6"/>
  <c r="V39" i="15"/>
  <c r="D39" i="9"/>
  <c r="G39" i="7"/>
  <c r="U39" i="15"/>
  <c r="P39" i="17"/>
  <c r="Q39" i="17"/>
  <c r="K39" i="12"/>
  <c r="O39" i="14"/>
  <c r="O39" i="10"/>
  <c r="L39" i="12"/>
  <c r="H39" i="130"/>
  <c r="Q39" i="74"/>
  <c r="R39" i="17"/>
  <c r="M39" i="102"/>
  <c r="P39" i="13"/>
  <c r="O39" i="120"/>
  <c r="M39" i="122"/>
  <c r="M30" i="122" s="1"/>
  <c r="R39" i="74"/>
  <c r="S39" i="74"/>
  <c r="Q39" i="75"/>
  <c r="S39" i="72"/>
  <c r="P39" i="18"/>
  <c r="R39" i="18"/>
  <c r="N39" i="9"/>
  <c r="R39" i="105"/>
  <c r="S39" i="105"/>
  <c r="P39" i="14"/>
  <c r="R39" i="15"/>
  <c r="S39" i="15"/>
  <c r="N39" i="11"/>
  <c r="S39" i="64"/>
  <c r="T39" i="15"/>
  <c r="O39" i="13"/>
  <c r="G39" i="9"/>
  <c r="N39" i="102"/>
  <c r="S39" i="77"/>
  <c r="R39" i="72"/>
  <c r="Q39" i="106"/>
  <c r="N39" i="10"/>
  <c r="I39" i="9"/>
  <c r="R39" i="64"/>
  <c r="J39" i="9"/>
  <c r="M39" i="11"/>
  <c r="J39" i="61"/>
  <c r="K39" i="61"/>
  <c r="J39" i="12"/>
  <c r="I39" i="7" l="1"/>
  <c r="O39" i="125"/>
  <c r="P30" i="9"/>
  <c r="L39" i="5"/>
  <c r="C39" i="6" s="1"/>
  <c r="Q30" i="18"/>
  <c r="R30" i="18"/>
  <c r="S39" i="73"/>
  <c r="S39" i="78"/>
  <c r="S39" i="65"/>
  <c r="S30" i="65"/>
  <c r="R39" i="73"/>
  <c r="R39" i="65"/>
  <c r="R30" i="65"/>
  <c r="H40" i="8"/>
  <c r="J40" i="8"/>
  <c r="R39" i="78"/>
  <c r="I40" i="8"/>
  <c r="R30" i="9"/>
  <c r="S30" i="9"/>
  <c r="D39" i="7"/>
  <c r="E39" i="7" s="1"/>
  <c r="Q30" i="9"/>
  <c r="P39" i="9"/>
  <c r="Q39" i="9"/>
  <c r="R39" i="9"/>
  <c r="S39" i="9"/>
  <c r="L30" i="7" l="1"/>
  <c r="H30" i="6"/>
  <c r="H39" i="6"/>
  <c r="F40" i="8"/>
  <c r="G40" i="8"/>
  <c r="K30" i="7"/>
  <c r="L39" i="7"/>
  <c r="K40" i="8"/>
  <c r="M40" i="8" s="1"/>
  <c r="K39" i="7"/>
  <c r="L40" i="8" l="1"/>
  <c r="L39" i="6"/>
  <c r="I39" i="6"/>
  <c r="I30" i="6"/>
  <c r="L30" i="6"/>
  <c r="M39" i="6" l="1"/>
  <c r="J39" i="6"/>
  <c r="M30" i="6"/>
  <c r="Y32" i="76"/>
  <c r="Y31" i="76"/>
  <c r="C39" i="8" l="1"/>
  <c r="N39" i="6"/>
  <c r="J39" i="7"/>
  <c r="N30" i="6"/>
  <c r="Y27" i="76"/>
  <c r="Y20" i="76"/>
  <c r="Y30" i="76"/>
  <c r="Y29" i="76"/>
  <c r="Y16" i="76"/>
  <c r="Y28" i="76"/>
  <c r="Y17" i="76"/>
  <c r="Y26" i="76"/>
  <c r="Y19" i="76"/>
  <c r="Y18" i="76"/>
  <c r="T15" i="76"/>
  <c r="U15" i="76"/>
  <c r="Y23" i="76"/>
  <c r="Y33" i="76"/>
  <c r="V15" i="76"/>
  <c r="W15" i="76"/>
  <c r="Y22" i="76"/>
  <c r="X15" i="76"/>
  <c r="Y21" i="76"/>
  <c r="Y25" i="76"/>
  <c r="Y24" i="76"/>
  <c r="D40" i="8" l="1"/>
  <c r="M30" i="7"/>
  <c r="M39" i="7"/>
  <c r="Q38" i="77"/>
  <c r="O38" i="77"/>
  <c r="N38" i="77"/>
  <c r="M38" i="77"/>
  <c r="P38" i="77"/>
  <c r="L38" i="77"/>
  <c r="K38" i="77"/>
  <c r="J38" i="77"/>
  <c r="I38" i="77"/>
  <c r="H38" i="77"/>
  <c r="G38" i="77"/>
  <c r="F38" i="77"/>
  <c r="E38" i="77"/>
  <c r="D38" i="77"/>
  <c r="C38" i="77"/>
  <c r="H38" i="78"/>
  <c r="P38" i="78"/>
  <c r="O38" i="78"/>
  <c r="N38" i="78"/>
  <c r="M38" i="78"/>
  <c r="L38" i="78"/>
  <c r="K38" i="78"/>
  <c r="J38" i="78"/>
  <c r="G38" i="78"/>
  <c r="F38" i="78"/>
  <c r="E38" i="78"/>
  <c r="D38" i="78"/>
  <c r="C38" i="78"/>
  <c r="L38" i="110"/>
  <c r="F38" i="74"/>
  <c r="N38" i="74"/>
  <c r="O38" i="74"/>
  <c r="K38" i="64"/>
  <c r="P38" i="65"/>
  <c r="D33" i="127"/>
  <c r="C38" i="102"/>
  <c r="C33" i="127"/>
  <c r="H38" i="15"/>
  <c r="M38" i="14"/>
  <c r="J38" i="14"/>
  <c r="H38" i="14"/>
  <c r="N38" i="13"/>
  <c r="G38" i="13"/>
  <c r="E38" i="10"/>
  <c r="D38" i="12"/>
  <c r="I38" i="12"/>
  <c r="J38" i="11"/>
  <c r="G38" i="10"/>
  <c r="K25" i="61"/>
  <c r="K24" i="61"/>
  <c r="K23" i="61"/>
  <c r="K20" i="61"/>
  <c r="J20" i="61"/>
  <c r="J25" i="61"/>
  <c r="J24" i="61"/>
  <c r="J23" i="61"/>
  <c r="Q38" i="78" l="1"/>
  <c r="I38" i="78"/>
  <c r="D19" i="93"/>
  <c r="E19" i="93"/>
  <c r="C19" i="93"/>
  <c r="G38" i="72"/>
  <c r="G38" i="73"/>
  <c r="D38" i="73"/>
  <c r="J38" i="73"/>
  <c r="C38" i="73"/>
  <c r="G38" i="18"/>
  <c r="N38" i="18"/>
  <c r="G38" i="17"/>
  <c r="H38" i="17"/>
  <c r="E36" i="125" l="1"/>
  <c r="I37" i="125"/>
  <c r="D22" i="117"/>
  <c r="D26" i="115"/>
  <c r="D30" i="114"/>
  <c r="C38" i="74" l="1"/>
  <c r="C38" i="80"/>
  <c r="J38" i="10" l="1"/>
  <c r="J29" i="10" s="1"/>
  <c r="J22" i="10" s="1"/>
  <c r="I38" i="10"/>
  <c r="I29" i="10" s="1"/>
  <c r="I22" i="10" s="1"/>
  <c r="D38" i="11"/>
  <c r="D29" i="11" s="1"/>
  <c r="D22" i="11" s="1"/>
  <c r="K38" i="15"/>
  <c r="H29" i="15"/>
  <c r="H22" i="15" s="1"/>
  <c r="G38" i="15"/>
  <c r="G29" i="15" s="1"/>
  <c r="G22" i="15" s="1"/>
  <c r="D29" i="127"/>
  <c r="D22" i="127"/>
  <c r="D32" i="127"/>
  <c r="C32" i="127"/>
  <c r="D31" i="127"/>
  <c r="C31" i="127"/>
  <c r="D30" i="127"/>
  <c r="C30" i="127"/>
  <c r="C29" i="127"/>
  <c r="D28" i="127"/>
  <c r="C28" i="127"/>
  <c r="D27" i="127"/>
  <c r="C27" i="127"/>
  <c r="D26" i="127"/>
  <c r="C26" i="127"/>
  <c r="D25" i="127"/>
  <c r="C25" i="127"/>
  <c r="D24" i="127"/>
  <c r="C24" i="127"/>
  <c r="D23" i="127"/>
  <c r="C23" i="127"/>
  <c r="C22" i="127"/>
  <c r="D21" i="127"/>
  <c r="C21" i="127"/>
  <c r="D20" i="127"/>
  <c r="C20" i="127"/>
  <c r="D19" i="127"/>
  <c r="C19" i="127"/>
  <c r="D18" i="127"/>
  <c r="C18" i="127"/>
  <c r="D17" i="127"/>
  <c r="C17" i="127"/>
  <c r="D16" i="127"/>
  <c r="C16" i="127"/>
  <c r="D15" i="127"/>
  <c r="C15" i="127"/>
  <c r="D14" i="127"/>
  <c r="C14" i="127"/>
  <c r="D13" i="127"/>
  <c r="C13" i="127"/>
  <c r="D12" i="127"/>
  <c r="C12" i="127"/>
  <c r="J38" i="64"/>
  <c r="J29" i="64" s="1"/>
  <c r="J22" i="64" s="1"/>
  <c r="I38" i="64"/>
  <c r="I29" i="64" s="1"/>
  <c r="I22" i="64" s="1"/>
  <c r="F38" i="105"/>
  <c r="F29" i="105" s="1"/>
  <c r="F22" i="105" s="1"/>
  <c r="N38" i="106"/>
  <c r="N29" i="106" s="1"/>
  <c r="N22" i="106" s="1"/>
  <c r="L38" i="18"/>
  <c r="L29" i="18" s="1"/>
  <c r="L22" i="18" s="1"/>
  <c r="L38" i="72"/>
  <c r="L29" i="72" s="1"/>
  <c r="L22" i="72" s="1"/>
  <c r="O38" i="75"/>
  <c r="E25" i="63" s="1"/>
  <c r="E26" i="63" s="1"/>
  <c r="N38" i="75"/>
  <c r="N29" i="75" s="1"/>
  <c r="N22" i="75" s="1"/>
  <c r="L38" i="75"/>
  <c r="L29" i="75" s="1"/>
  <c r="L22" i="75" s="1"/>
  <c r="E38" i="74"/>
  <c r="E29" i="74" s="1"/>
  <c r="E22" i="74" s="1"/>
  <c r="M29" i="77"/>
  <c r="M22" i="77" s="1"/>
  <c r="H29" i="119"/>
  <c r="I38" i="110"/>
  <c r="D31" i="114"/>
  <c r="D16" i="115"/>
  <c r="D30" i="116"/>
  <c r="D27" i="116"/>
  <c r="D25" i="117"/>
  <c r="D33" i="114"/>
  <c r="C33" i="114"/>
  <c r="D32" i="114"/>
  <c r="C32" i="114"/>
  <c r="C31" i="114"/>
  <c r="C30" i="114"/>
  <c r="D29" i="114"/>
  <c r="C29" i="114"/>
  <c r="D28" i="114"/>
  <c r="C28" i="114"/>
  <c r="D27" i="114"/>
  <c r="C27" i="114"/>
  <c r="D26" i="114"/>
  <c r="C26" i="114"/>
  <c r="D25" i="114"/>
  <c r="C25" i="114"/>
  <c r="D24" i="114"/>
  <c r="C24" i="114"/>
  <c r="D23" i="114"/>
  <c r="C23" i="114"/>
  <c r="D22" i="114"/>
  <c r="C22" i="114"/>
  <c r="D21" i="114"/>
  <c r="C21" i="114"/>
  <c r="D20" i="114"/>
  <c r="C20" i="114"/>
  <c r="D19" i="114"/>
  <c r="C19" i="114"/>
  <c r="D18" i="114"/>
  <c r="C18" i="114"/>
  <c r="D17" i="114"/>
  <c r="C17" i="114"/>
  <c r="D16" i="114"/>
  <c r="C16" i="114"/>
  <c r="D15" i="114"/>
  <c r="C15" i="114"/>
  <c r="D14" i="114"/>
  <c r="C14" i="114"/>
  <c r="D13" i="114"/>
  <c r="C13" i="114"/>
  <c r="D33" i="115"/>
  <c r="C33" i="115"/>
  <c r="D32" i="115"/>
  <c r="C32" i="115"/>
  <c r="D31" i="115"/>
  <c r="C31" i="115"/>
  <c r="D30" i="115"/>
  <c r="C30" i="115"/>
  <c r="C29" i="115"/>
  <c r="D28" i="115"/>
  <c r="C28" i="115"/>
  <c r="D27" i="115"/>
  <c r="C27" i="115"/>
  <c r="C26" i="115"/>
  <c r="D25" i="115"/>
  <c r="C25" i="115"/>
  <c r="D24" i="115"/>
  <c r="C24" i="115"/>
  <c r="D23" i="115"/>
  <c r="C23" i="115"/>
  <c r="D22" i="115"/>
  <c r="C22" i="115"/>
  <c r="D21" i="115"/>
  <c r="C21" i="115"/>
  <c r="D20" i="115"/>
  <c r="C20" i="115"/>
  <c r="D19" i="115"/>
  <c r="C19" i="115"/>
  <c r="D18" i="115"/>
  <c r="C18" i="115"/>
  <c r="D17" i="115"/>
  <c r="C17" i="115"/>
  <c r="C16" i="115"/>
  <c r="D15" i="115"/>
  <c r="C15" i="115"/>
  <c r="D14" i="115"/>
  <c r="C14" i="115"/>
  <c r="D13" i="115"/>
  <c r="C13" i="115"/>
  <c r="D33" i="116"/>
  <c r="C33" i="116"/>
  <c r="D32" i="116"/>
  <c r="C32" i="116"/>
  <c r="D31" i="116"/>
  <c r="C31" i="116"/>
  <c r="C30" i="116"/>
  <c r="C29" i="116"/>
  <c r="D28" i="116"/>
  <c r="C28" i="116"/>
  <c r="C27" i="116"/>
  <c r="D26" i="116"/>
  <c r="C26" i="116"/>
  <c r="D25" i="116"/>
  <c r="C25" i="116"/>
  <c r="D24" i="116"/>
  <c r="C24" i="116"/>
  <c r="D23" i="116"/>
  <c r="C23" i="116"/>
  <c r="D22" i="116"/>
  <c r="C22" i="116"/>
  <c r="D21" i="116"/>
  <c r="C21" i="116"/>
  <c r="D20" i="116"/>
  <c r="C20" i="116"/>
  <c r="D19" i="116"/>
  <c r="C19" i="116"/>
  <c r="D18" i="116"/>
  <c r="C18" i="116"/>
  <c r="D17" i="116"/>
  <c r="C17" i="116"/>
  <c r="D16" i="116"/>
  <c r="C16" i="116"/>
  <c r="D15" i="116"/>
  <c r="C15" i="116"/>
  <c r="D14" i="116"/>
  <c r="C14" i="116"/>
  <c r="D13" i="116"/>
  <c r="C13" i="116"/>
  <c r="D33" i="117"/>
  <c r="C33" i="117"/>
  <c r="D32" i="117"/>
  <c r="C32" i="117"/>
  <c r="D31" i="117"/>
  <c r="C31" i="117"/>
  <c r="D30" i="117"/>
  <c r="C30" i="117"/>
  <c r="D29" i="117"/>
  <c r="C29" i="117"/>
  <c r="D28" i="117"/>
  <c r="C28" i="117"/>
  <c r="D27" i="117"/>
  <c r="C27" i="117"/>
  <c r="D26" i="117"/>
  <c r="C26" i="117"/>
  <c r="C25" i="117"/>
  <c r="D24" i="117"/>
  <c r="C24" i="117"/>
  <c r="D23" i="117"/>
  <c r="C23" i="117"/>
  <c r="C22" i="117"/>
  <c r="D21" i="117"/>
  <c r="C21" i="117"/>
  <c r="D20" i="117"/>
  <c r="C20" i="117"/>
  <c r="D19" i="117"/>
  <c r="C19" i="117"/>
  <c r="D18" i="117"/>
  <c r="C18" i="117"/>
  <c r="D17" i="117"/>
  <c r="C17" i="117"/>
  <c r="D16" i="117"/>
  <c r="C16" i="117"/>
  <c r="D15" i="117"/>
  <c r="C15" i="117"/>
  <c r="D14" i="117"/>
  <c r="C14" i="117"/>
  <c r="D13" i="117"/>
  <c r="C13" i="117"/>
  <c r="I38" i="125"/>
  <c r="F35" i="93"/>
  <c r="F19" i="93"/>
  <c r="C29" i="80"/>
  <c r="C22" i="80" s="1"/>
  <c r="E103" i="63"/>
  <c r="E102" i="63"/>
  <c r="E100" i="63"/>
  <c r="E99" i="63"/>
  <c r="E98" i="63"/>
  <c r="E97" i="63"/>
  <c r="E95" i="63"/>
  <c r="E94" i="63"/>
  <c r="E51" i="63"/>
  <c r="E50" i="63"/>
  <c r="N29" i="119"/>
  <c r="M29" i="119"/>
  <c r="L29" i="119"/>
  <c r="K29" i="119"/>
  <c r="J29" i="119"/>
  <c r="I29" i="119"/>
  <c r="G29" i="119"/>
  <c r="F29" i="119"/>
  <c r="E29" i="119"/>
  <c r="D29" i="119"/>
  <c r="C29" i="119"/>
  <c r="L29" i="107"/>
  <c r="K29" i="107"/>
  <c r="J29" i="107"/>
  <c r="I29" i="107"/>
  <c r="G29" i="107"/>
  <c r="E29" i="107"/>
  <c r="D29" i="107"/>
  <c r="C29" i="107"/>
  <c r="F29" i="90"/>
  <c r="E29" i="90"/>
  <c r="D29" i="90"/>
  <c r="M29" i="120"/>
  <c r="L29" i="120"/>
  <c r="K29" i="120"/>
  <c r="J29" i="120"/>
  <c r="I29" i="120"/>
  <c r="G29" i="120"/>
  <c r="F29" i="120"/>
  <c r="E29" i="120"/>
  <c r="D29" i="120"/>
  <c r="C29" i="120"/>
  <c r="I29" i="5"/>
  <c r="I22" i="5" s="1"/>
  <c r="G29" i="5"/>
  <c r="G22" i="5" s="1"/>
  <c r="F29" i="5"/>
  <c r="F22" i="5" s="1"/>
  <c r="E29" i="5"/>
  <c r="E22" i="5" s="1"/>
  <c r="D29" i="5"/>
  <c r="D22" i="5" s="1"/>
  <c r="C29" i="5"/>
  <c r="C22" i="5" s="1"/>
  <c r="L29" i="79"/>
  <c r="L22" i="79" s="1"/>
  <c r="K29" i="79"/>
  <c r="K22" i="79" s="1"/>
  <c r="J29" i="79"/>
  <c r="J22" i="79" s="1"/>
  <c r="I29" i="79"/>
  <c r="I22" i="79" s="1"/>
  <c r="H29" i="79"/>
  <c r="H22" i="79" s="1"/>
  <c r="G29" i="79"/>
  <c r="G22" i="79" s="1"/>
  <c r="F29" i="79"/>
  <c r="F22" i="79" s="1"/>
  <c r="E29" i="79"/>
  <c r="E22" i="79" s="1"/>
  <c r="D29" i="79"/>
  <c r="D22" i="79" s="1"/>
  <c r="C29" i="79"/>
  <c r="C22" i="79" s="1"/>
  <c r="Q29" i="80"/>
  <c r="Q22" i="80" s="1"/>
  <c r="F29" i="130"/>
  <c r="F22" i="130" s="1"/>
  <c r="E29" i="130"/>
  <c r="E22" i="130" s="1"/>
  <c r="C29" i="130"/>
  <c r="C22" i="130" s="1"/>
  <c r="I29" i="90"/>
  <c r="I22" i="90" s="1"/>
  <c r="H29" i="90"/>
  <c r="H22" i="90" s="1"/>
  <c r="C29" i="90"/>
  <c r="C22" i="90" s="1"/>
  <c r="J29" i="121"/>
  <c r="J22" i="121" s="1"/>
  <c r="I29" i="121"/>
  <c r="I22" i="121" s="1"/>
  <c r="H29" i="121"/>
  <c r="H22" i="121" s="1"/>
  <c r="G29" i="121"/>
  <c r="G22" i="121" s="1"/>
  <c r="F29" i="121"/>
  <c r="F22" i="121" s="1"/>
  <c r="E29" i="121"/>
  <c r="E22" i="121" s="1"/>
  <c r="D29" i="121"/>
  <c r="D22" i="121" s="1"/>
  <c r="C29" i="121"/>
  <c r="C22" i="121" s="1"/>
  <c r="S38" i="80"/>
  <c r="S29" i="80" s="1"/>
  <c r="S22" i="80" s="1"/>
  <c r="R38" i="80"/>
  <c r="P38" i="80"/>
  <c r="P29" i="80" s="1"/>
  <c r="P22" i="80" s="1"/>
  <c r="O38" i="80"/>
  <c r="O29" i="80" s="1"/>
  <c r="O22" i="80" s="1"/>
  <c r="N38" i="80"/>
  <c r="N29" i="80" s="1"/>
  <c r="N22" i="80" s="1"/>
  <c r="M38" i="80"/>
  <c r="M29" i="80" s="1"/>
  <c r="M22" i="80" s="1"/>
  <c r="L38" i="80"/>
  <c r="L29" i="80" s="1"/>
  <c r="L22" i="80" s="1"/>
  <c r="K38" i="80"/>
  <c r="E54" i="63" s="1"/>
  <c r="J38" i="80"/>
  <c r="J29" i="80" s="1"/>
  <c r="J22" i="80" s="1"/>
  <c r="I38" i="80"/>
  <c r="I29" i="80" s="1"/>
  <c r="I22" i="80" s="1"/>
  <c r="H38" i="80"/>
  <c r="H29" i="80" s="1"/>
  <c r="H22" i="80" s="1"/>
  <c r="G38" i="80"/>
  <c r="G29" i="80" s="1"/>
  <c r="G22" i="80" s="1"/>
  <c r="F38" i="80"/>
  <c r="E38" i="80"/>
  <c r="E29" i="80" s="1"/>
  <c r="E22" i="80" s="1"/>
  <c r="D38" i="80"/>
  <c r="D29" i="80" s="1"/>
  <c r="D22" i="80" s="1"/>
  <c r="S38" i="128"/>
  <c r="S29" i="128" s="1"/>
  <c r="S22" i="128" s="1"/>
  <c r="R38" i="128"/>
  <c r="R29" i="128" s="1"/>
  <c r="R22" i="128" s="1"/>
  <c r="Q38" i="128"/>
  <c r="Q29" i="128" s="1"/>
  <c r="Q22" i="128" s="1"/>
  <c r="P38" i="128"/>
  <c r="P29" i="128" s="1"/>
  <c r="P22" i="128" s="1"/>
  <c r="O38" i="128"/>
  <c r="O29" i="128" s="1"/>
  <c r="O22" i="128" s="1"/>
  <c r="N38" i="128"/>
  <c r="N29" i="128" s="1"/>
  <c r="N22" i="128" s="1"/>
  <c r="M38" i="128"/>
  <c r="M29" i="128" s="1"/>
  <c r="M22" i="128" s="1"/>
  <c r="L38" i="128"/>
  <c r="L29" i="128" s="1"/>
  <c r="L22" i="128" s="1"/>
  <c r="K38" i="128"/>
  <c r="K29" i="128" s="1"/>
  <c r="K22" i="128" s="1"/>
  <c r="J38" i="128"/>
  <c r="J29" i="128" s="1"/>
  <c r="J22" i="128" s="1"/>
  <c r="I38" i="128"/>
  <c r="I29" i="128" s="1"/>
  <c r="I22" i="128" s="1"/>
  <c r="H38" i="128"/>
  <c r="H29" i="128" s="1"/>
  <c r="H22" i="128" s="1"/>
  <c r="G38" i="128"/>
  <c r="G29" i="128" s="1"/>
  <c r="G22" i="128" s="1"/>
  <c r="F38" i="128"/>
  <c r="F29" i="128" s="1"/>
  <c r="F22" i="128" s="1"/>
  <c r="E38" i="128"/>
  <c r="E29" i="128" s="1"/>
  <c r="E22" i="128" s="1"/>
  <c r="D38" i="128"/>
  <c r="D29" i="128" s="1"/>
  <c r="D22" i="128" s="1"/>
  <c r="C38" i="128"/>
  <c r="C29" i="128" s="1"/>
  <c r="C22" i="128" s="1"/>
  <c r="M38" i="10"/>
  <c r="M29" i="10" s="1"/>
  <c r="M22" i="10" s="1"/>
  <c r="L38" i="10"/>
  <c r="L29" i="10" s="1"/>
  <c r="L22" i="10" s="1"/>
  <c r="K38" i="10"/>
  <c r="K29" i="10" s="1"/>
  <c r="K22" i="10" s="1"/>
  <c r="H38" i="10"/>
  <c r="H29" i="10" s="1"/>
  <c r="H22" i="10" s="1"/>
  <c r="G29" i="10"/>
  <c r="G22" i="10" s="1"/>
  <c r="F38" i="10"/>
  <c r="E29" i="10"/>
  <c r="E22" i="10" s="1"/>
  <c r="D38" i="10"/>
  <c r="C38" i="10"/>
  <c r="L38" i="11"/>
  <c r="L29" i="11" s="1"/>
  <c r="L22" i="11" s="1"/>
  <c r="K38" i="11"/>
  <c r="K29" i="11" s="1"/>
  <c r="K22" i="11" s="1"/>
  <c r="J29" i="11"/>
  <c r="J22" i="11" s="1"/>
  <c r="I38" i="11"/>
  <c r="I29" i="11" s="1"/>
  <c r="I22" i="11" s="1"/>
  <c r="H38" i="11"/>
  <c r="H29" i="11" s="1"/>
  <c r="H22" i="11" s="1"/>
  <c r="G38" i="11"/>
  <c r="G29" i="11" s="1"/>
  <c r="G22" i="11" s="1"/>
  <c r="F38" i="11"/>
  <c r="F29" i="11" s="1"/>
  <c r="F22" i="11" s="1"/>
  <c r="E38" i="11"/>
  <c r="E29" i="11" s="1"/>
  <c r="E22" i="11" s="1"/>
  <c r="C38" i="11"/>
  <c r="C29" i="11" s="1"/>
  <c r="C22" i="11" s="1"/>
  <c r="I29" i="12"/>
  <c r="I22" i="12" s="1"/>
  <c r="H38" i="12"/>
  <c r="H29" i="12" s="1"/>
  <c r="H22" i="12" s="1"/>
  <c r="G38" i="12"/>
  <c r="G29" i="12" s="1"/>
  <c r="G22" i="12" s="1"/>
  <c r="F38" i="12"/>
  <c r="F29" i="12" s="1"/>
  <c r="F22" i="12" s="1"/>
  <c r="E38" i="12"/>
  <c r="E29" i="12" s="1"/>
  <c r="E22" i="12" s="1"/>
  <c r="D29" i="12"/>
  <c r="D22" i="12" s="1"/>
  <c r="C38" i="12"/>
  <c r="C29" i="12" s="1"/>
  <c r="C22" i="12" s="1"/>
  <c r="N29" i="13"/>
  <c r="N22" i="13" s="1"/>
  <c r="M38" i="13"/>
  <c r="M29" i="13" s="1"/>
  <c r="M22" i="13" s="1"/>
  <c r="L38" i="13"/>
  <c r="L29" i="13" s="1"/>
  <c r="L22" i="13" s="1"/>
  <c r="K38" i="13"/>
  <c r="K29" i="13" s="1"/>
  <c r="K22" i="13" s="1"/>
  <c r="J38" i="13"/>
  <c r="J29" i="13" s="1"/>
  <c r="J22" i="13" s="1"/>
  <c r="I38" i="13"/>
  <c r="I29" i="13" s="1"/>
  <c r="I22" i="13" s="1"/>
  <c r="H38" i="13"/>
  <c r="H29" i="13" s="1"/>
  <c r="H22" i="13" s="1"/>
  <c r="G29" i="13"/>
  <c r="G22" i="13" s="1"/>
  <c r="F38" i="13"/>
  <c r="F29" i="13" s="1"/>
  <c r="F22" i="13" s="1"/>
  <c r="E38" i="13"/>
  <c r="E29" i="13" s="1"/>
  <c r="E22" i="13" s="1"/>
  <c r="D38" i="13"/>
  <c r="D29" i="13" s="1"/>
  <c r="D22" i="13" s="1"/>
  <c r="C38" i="13"/>
  <c r="C29" i="13" s="1"/>
  <c r="C22" i="13" s="1"/>
  <c r="N38" i="14"/>
  <c r="N29" i="14" s="1"/>
  <c r="N22" i="14" s="1"/>
  <c r="M29" i="14"/>
  <c r="M22" i="14" s="1"/>
  <c r="L38" i="14"/>
  <c r="L29" i="14" s="1"/>
  <c r="L22" i="14" s="1"/>
  <c r="K38" i="14"/>
  <c r="K29" i="14" s="1"/>
  <c r="K22" i="14" s="1"/>
  <c r="J29" i="14"/>
  <c r="J22" i="14" s="1"/>
  <c r="I38" i="14"/>
  <c r="I29" i="14" s="1"/>
  <c r="I22" i="14" s="1"/>
  <c r="H29" i="14"/>
  <c r="H22" i="14" s="1"/>
  <c r="G38" i="14"/>
  <c r="G29" i="14" s="1"/>
  <c r="G22" i="14" s="1"/>
  <c r="F38" i="14"/>
  <c r="F29" i="14" s="1"/>
  <c r="F22" i="14" s="1"/>
  <c r="E38" i="14"/>
  <c r="E29" i="14" s="1"/>
  <c r="E22" i="14" s="1"/>
  <c r="D38" i="14"/>
  <c r="D29" i="14" s="1"/>
  <c r="D22" i="14" s="1"/>
  <c r="C38" i="14"/>
  <c r="C29" i="14" s="1"/>
  <c r="C22" i="14" s="1"/>
  <c r="Q38" i="15"/>
  <c r="P38" i="15"/>
  <c r="P29" i="15" s="1"/>
  <c r="P22" i="15" s="1"/>
  <c r="O38" i="15"/>
  <c r="O29" i="15" s="1"/>
  <c r="O22" i="15" s="1"/>
  <c r="N38" i="15"/>
  <c r="N29" i="15" s="1"/>
  <c r="N22" i="15" s="1"/>
  <c r="M38" i="15"/>
  <c r="M29" i="15" s="1"/>
  <c r="M22" i="15" s="1"/>
  <c r="L38" i="15"/>
  <c r="L29" i="15" s="1"/>
  <c r="J38" i="15"/>
  <c r="J29" i="15" s="1"/>
  <c r="J22" i="15" s="1"/>
  <c r="I38" i="15"/>
  <c r="I29" i="15" s="1"/>
  <c r="I22" i="15" s="1"/>
  <c r="F38" i="15"/>
  <c r="E38" i="15"/>
  <c r="E29" i="15" s="1"/>
  <c r="E22" i="15" s="1"/>
  <c r="D38" i="15"/>
  <c r="D29" i="15" s="1"/>
  <c r="D22" i="15" s="1"/>
  <c r="C38" i="15"/>
  <c r="C29" i="15" s="1"/>
  <c r="C22" i="15" s="1"/>
  <c r="L38" i="102"/>
  <c r="E38" i="63" s="1"/>
  <c r="E39" i="63" s="1"/>
  <c r="K38" i="102"/>
  <c r="K29" i="102" s="1"/>
  <c r="K22" i="102" s="1"/>
  <c r="J38" i="102"/>
  <c r="J29" i="102" s="1"/>
  <c r="J22" i="102" s="1"/>
  <c r="I38" i="102"/>
  <c r="I29" i="102" s="1"/>
  <c r="I22" i="102" s="1"/>
  <c r="H38" i="102"/>
  <c r="H29" i="102" s="1"/>
  <c r="H22" i="102" s="1"/>
  <c r="G38" i="102"/>
  <c r="G29" i="102" s="1"/>
  <c r="G22" i="102" s="1"/>
  <c r="F38" i="102"/>
  <c r="F29" i="102" s="1"/>
  <c r="F22" i="102" s="1"/>
  <c r="E38" i="102"/>
  <c r="E29" i="102" s="1"/>
  <c r="E22" i="102" s="1"/>
  <c r="D38" i="102"/>
  <c r="D29" i="102" s="1"/>
  <c r="D22" i="102" s="1"/>
  <c r="C29" i="102"/>
  <c r="C22" i="102" s="1"/>
  <c r="Q38" i="64"/>
  <c r="Q29" i="64" s="1"/>
  <c r="Q22" i="64" s="1"/>
  <c r="P38" i="64"/>
  <c r="P29" i="64" s="1"/>
  <c r="P22" i="64" s="1"/>
  <c r="O38" i="64"/>
  <c r="O29" i="64" s="1"/>
  <c r="O22" i="64" s="1"/>
  <c r="N38" i="64"/>
  <c r="N29" i="64" s="1"/>
  <c r="N22" i="64" s="1"/>
  <c r="M38" i="64"/>
  <c r="M29" i="64" s="1"/>
  <c r="M22" i="64" s="1"/>
  <c r="L38" i="64"/>
  <c r="L29" i="64" s="1"/>
  <c r="L22" i="64" s="1"/>
  <c r="K29" i="64"/>
  <c r="K22" i="64" s="1"/>
  <c r="H38" i="64"/>
  <c r="H29" i="64" s="1"/>
  <c r="H22" i="64" s="1"/>
  <c r="G38" i="64"/>
  <c r="G29" i="64" s="1"/>
  <c r="G22" i="64" s="1"/>
  <c r="F38" i="64"/>
  <c r="F29" i="64" s="1"/>
  <c r="F22" i="64" s="1"/>
  <c r="E38" i="64"/>
  <c r="E29" i="64" s="1"/>
  <c r="E22" i="64" s="1"/>
  <c r="D38" i="64"/>
  <c r="D29" i="64" s="1"/>
  <c r="D22" i="64" s="1"/>
  <c r="C38" i="64"/>
  <c r="C29" i="64" s="1"/>
  <c r="C22" i="64" s="1"/>
  <c r="I38" i="61"/>
  <c r="I29" i="61" s="1"/>
  <c r="I22" i="61" s="1"/>
  <c r="H38" i="61"/>
  <c r="H29" i="61" s="1"/>
  <c r="H22" i="61" s="1"/>
  <c r="G38" i="61"/>
  <c r="G29" i="61" s="1"/>
  <c r="G22" i="61" s="1"/>
  <c r="F38" i="61"/>
  <c r="F29" i="61" s="1"/>
  <c r="F22" i="61" s="1"/>
  <c r="E38" i="61"/>
  <c r="E29" i="61" s="1"/>
  <c r="E22" i="61" s="1"/>
  <c r="D38" i="61"/>
  <c r="D29" i="61" s="1"/>
  <c r="D22" i="61" s="1"/>
  <c r="C38" i="61"/>
  <c r="C29" i="61" s="1"/>
  <c r="C22" i="61" s="1"/>
  <c r="P38" i="105"/>
  <c r="P29" i="105" s="1"/>
  <c r="P22" i="105" s="1"/>
  <c r="O38" i="105"/>
  <c r="O29" i="105" s="1"/>
  <c r="O22" i="105" s="1"/>
  <c r="N38" i="105"/>
  <c r="N29" i="105" s="1"/>
  <c r="N22" i="105" s="1"/>
  <c r="M38" i="105"/>
  <c r="M29" i="105" s="1"/>
  <c r="M22" i="105" s="1"/>
  <c r="L38" i="105"/>
  <c r="L29" i="105" s="1"/>
  <c r="L22" i="105" s="1"/>
  <c r="K38" i="105"/>
  <c r="K29" i="105" s="1"/>
  <c r="K22" i="105" s="1"/>
  <c r="J38" i="105"/>
  <c r="J29" i="105" s="1"/>
  <c r="J22" i="105" s="1"/>
  <c r="I38" i="105"/>
  <c r="I29" i="105" s="1"/>
  <c r="I22" i="105" s="1"/>
  <c r="H38" i="105"/>
  <c r="H29" i="105" s="1"/>
  <c r="H22" i="105" s="1"/>
  <c r="G38" i="105"/>
  <c r="G29" i="105" s="1"/>
  <c r="G22" i="105" s="1"/>
  <c r="E38" i="105"/>
  <c r="E29" i="105" s="1"/>
  <c r="E22" i="105" s="1"/>
  <c r="D38" i="105"/>
  <c r="D29" i="105" s="1"/>
  <c r="D22" i="105" s="1"/>
  <c r="C38" i="105"/>
  <c r="C29" i="105" s="1"/>
  <c r="C22" i="105" s="1"/>
  <c r="P38" i="106"/>
  <c r="P29" i="106" s="1"/>
  <c r="P22" i="106" s="1"/>
  <c r="O38" i="106"/>
  <c r="O29" i="106" s="1"/>
  <c r="O22" i="106" s="1"/>
  <c r="M38" i="106"/>
  <c r="M29" i="106" s="1"/>
  <c r="M22" i="106" s="1"/>
  <c r="L38" i="106"/>
  <c r="L29" i="106" s="1"/>
  <c r="L22" i="106" s="1"/>
  <c r="K38" i="106"/>
  <c r="K29" i="106" s="1"/>
  <c r="K22" i="106" s="1"/>
  <c r="J38" i="106"/>
  <c r="J29" i="106" s="1"/>
  <c r="J22" i="106" s="1"/>
  <c r="I38" i="106"/>
  <c r="I29" i="106" s="1"/>
  <c r="I22" i="106" s="1"/>
  <c r="H38" i="106"/>
  <c r="H29" i="106" s="1"/>
  <c r="H22" i="106" s="1"/>
  <c r="G38" i="106"/>
  <c r="G29" i="106" s="1"/>
  <c r="G22" i="106" s="1"/>
  <c r="F38" i="106"/>
  <c r="F29" i="106" s="1"/>
  <c r="F22" i="106" s="1"/>
  <c r="E38" i="106"/>
  <c r="E29" i="106" s="1"/>
  <c r="E22" i="106" s="1"/>
  <c r="D38" i="106"/>
  <c r="D29" i="106" s="1"/>
  <c r="D22" i="106" s="1"/>
  <c r="C38" i="106"/>
  <c r="C29" i="106" s="1"/>
  <c r="C22" i="106" s="1"/>
  <c r="O38" i="17"/>
  <c r="O29" i="17" s="1"/>
  <c r="O22" i="17" s="1"/>
  <c r="N38" i="17"/>
  <c r="N29" i="17" s="1"/>
  <c r="N22" i="17" s="1"/>
  <c r="M38" i="17"/>
  <c r="M29" i="17" s="1"/>
  <c r="M22" i="17" s="1"/>
  <c r="L38" i="17"/>
  <c r="L29" i="17" s="1"/>
  <c r="L22" i="17" s="1"/>
  <c r="K38" i="17"/>
  <c r="K29" i="17" s="1"/>
  <c r="K22" i="17" s="1"/>
  <c r="J38" i="17"/>
  <c r="J29" i="17" s="1"/>
  <c r="J22" i="17" s="1"/>
  <c r="I38" i="17"/>
  <c r="I29" i="17" s="1"/>
  <c r="I22" i="17" s="1"/>
  <c r="H29" i="17"/>
  <c r="H22" i="17" s="1"/>
  <c r="G29" i="17"/>
  <c r="G22" i="17" s="1"/>
  <c r="F38" i="17"/>
  <c r="E38" i="17"/>
  <c r="E29" i="17" s="1"/>
  <c r="E22" i="17" s="1"/>
  <c r="D38" i="17"/>
  <c r="D29" i="17" s="1"/>
  <c r="D22" i="17" s="1"/>
  <c r="C38" i="17"/>
  <c r="C29" i="17" s="1"/>
  <c r="C22" i="17" s="1"/>
  <c r="O38" i="18"/>
  <c r="O29" i="18" s="1"/>
  <c r="O22" i="18" s="1"/>
  <c r="N29" i="18"/>
  <c r="N22" i="18" s="1"/>
  <c r="M38" i="18"/>
  <c r="M29" i="18" s="1"/>
  <c r="M22" i="18" s="1"/>
  <c r="K38" i="18"/>
  <c r="K29" i="18" s="1"/>
  <c r="K22" i="18" s="1"/>
  <c r="J38" i="18"/>
  <c r="J29" i="18" s="1"/>
  <c r="J22" i="18" s="1"/>
  <c r="I38" i="18"/>
  <c r="I29" i="18" s="1"/>
  <c r="I22" i="18" s="1"/>
  <c r="H38" i="18"/>
  <c r="H29" i="18" s="1"/>
  <c r="H22" i="18" s="1"/>
  <c r="G29" i="18"/>
  <c r="G22" i="18" s="1"/>
  <c r="F38" i="18"/>
  <c r="F29" i="18" s="1"/>
  <c r="F22" i="18" s="1"/>
  <c r="E38" i="18"/>
  <c r="E29" i="18" s="1"/>
  <c r="E22" i="18" s="1"/>
  <c r="D38" i="18"/>
  <c r="D29" i="18" s="1"/>
  <c r="D22" i="18" s="1"/>
  <c r="C38" i="18"/>
  <c r="C29" i="18" s="1"/>
  <c r="C22" i="18" s="1"/>
  <c r="P38" i="73"/>
  <c r="P29" i="73" s="1"/>
  <c r="P22" i="73" s="1"/>
  <c r="O38" i="73"/>
  <c r="O29" i="73" s="1"/>
  <c r="O22" i="73" s="1"/>
  <c r="N38" i="73"/>
  <c r="N29" i="73" s="1"/>
  <c r="N22" i="73" s="1"/>
  <c r="M38" i="73"/>
  <c r="M29" i="73" s="1"/>
  <c r="M22" i="73" s="1"/>
  <c r="L38" i="73"/>
  <c r="L29" i="73" s="1"/>
  <c r="L22" i="73" s="1"/>
  <c r="K38" i="73"/>
  <c r="J29" i="73"/>
  <c r="J22" i="73" s="1"/>
  <c r="H38" i="73"/>
  <c r="H29" i="73" s="1"/>
  <c r="H22" i="73" s="1"/>
  <c r="G29" i="73"/>
  <c r="G22" i="73" s="1"/>
  <c r="F38" i="73"/>
  <c r="F29" i="73" s="1"/>
  <c r="F22" i="73" s="1"/>
  <c r="E38" i="73"/>
  <c r="D29" i="73"/>
  <c r="D22" i="73" s="1"/>
  <c r="C29" i="73"/>
  <c r="C22" i="73" s="1"/>
  <c r="Q38" i="72"/>
  <c r="Q29" i="72" s="1"/>
  <c r="Q22" i="72" s="1"/>
  <c r="P38" i="72"/>
  <c r="P29" i="72" s="1"/>
  <c r="P22" i="72" s="1"/>
  <c r="O38" i="72"/>
  <c r="O29" i="72" s="1"/>
  <c r="O22" i="72" s="1"/>
  <c r="N38" i="72"/>
  <c r="N29" i="72" s="1"/>
  <c r="N22" i="72" s="1"/>
  <c r="M38" i="72"/>
  <c r="M29" i="72" s="1"/>
  <c r="M22" i="72" s="1"/>
  <c r="K38" i="72"/>
  <c r="K29" i="72" s="1"/>
  <c r="K22" i="72" s="1"/>
  <c r="J38" i="72"/>
  <c r="J29" i="72" s="1"/>
  <c r="J22" i="72" s="1"/>
  <c r="I38" i="72"/>
  <c r="I29" i="72" s="1"/>
  <c r="I22" i="72" s="1"/>
  <c r="H38" i="72"/>
  <c r="H29" i="72" s="1"/>
  <c r="H22" i="72" s="1"/>
  <c r="G29" i="72"/>
  <c r="G22" i="72" s="1"/>
  <c r="F38" i="72"/>
  <c r="F29" i="72" s="1"/>
  <c r="F22" i="72" s="1"/>
  <c r="E38" i="72"/>
  <c r="E29" i="72" s="1"/>
  <c r="E22" i="72" s="1"/>
  <c r="D38" i="72"/>
  <c r="D29" i="72" s="1"/>
  <c r="D22" i="72" s="1"/>
  <c r="C38" i="72"/>
  <c r="C29" i="72" s="1"/>
  <c r="C22" i="72" s="1"/>
  <c r="P38" i="75"/>
  <c r="P29" i="75" s="1"/>
  <c r="P22" i="75" s="1"/>
  <c r="M38" i="75"/>
  <c r="M29" i="75" s="1"/>
  <c r="M22" i="75" s="1"/>
  <c r="K38" i="75"/>
  <c r="K29" i="75" s="1"/>
  <c r="K22" i="75" s="1"/>
  <c r="J38" i="75"/>
  <c r="J29" i="75" s="1"/>
  <c r="J22" i="75" s="1"/>
  <c r="I38" i="75"/>
  <c r="I29" i="75" s="1"/>
  <c r="I22" i="75" s="1"/>
  <c r="H38" i="75"/>
  <c r="H29" i="75" s="1"/>
  <c r="H22" i="75" s="1"/>
  <c r="G38" i="75"/>
  <c r="G29" i="75" s="1"/>
  <c r="G22" i="75" s="1"/>
  <c r="F38" i="75"/>
  <c r="F29" i="75" s="1"/>
  <c r="F22" i="75" s="1"/>
  <c r="E38" i="75"/>
  <c r="E29" i="75" s="1"/>
  <c r="E22" i="75" s="1"/>
  <c r="D38" i="75"/>
  <c r="D29" i="75" s="1"/>
  <c r="D22" i="75" s="1"/>
  <c r="C38" i="75"/>
  <c r="C29" i="75" s="1"/>
  <c r="C22" i="75" s="1"/>
  <c r="P38" i="74"/>
  <c r="P29" i="74" s="1"/>
  <c r="P22" i="74" s="1"/>
  <c r="O29" i="74"/>
  <c r="O22" i="74" s="1"/>
  <c r="N29" i="74"/>
  <c r="N22" i="74" s="1"/>
  <c r="M38" i="74"/>
  <c r="M29" i="74" s="1"/>
  <c r="M22" i="74" s="1"/>
  <c r="L38" i="74"/>
  <c r="L29" i="74" s="1"/>
  <c r="L22" i="74" s="1"/>
  <c r="K38" i="74"/>
  <c r="K29" i="74" s="1"/>
  <c r="K22" i="74" s="1"/>
  <c r="J38" i="74"/>
  <c r="J29" i="74" s="1"/>
  <c r="J22" i="74" s="1"/>
  <c r="I38" i="74"/>
  <c r="I29" i="74" s="1"/>
  <c r="I22" i="74" s="1"/>
  <c r="H38" i="74"/>
  <c r="H29" i="74" s="1"/>
  <c r="H22" i="74" s="1"/>
  <c r="G38" i="74"/>
  <c r="G29" i="74" s="1"/>
  <c r="G22" i="74" s="1"/>
  <c r="F29" i="74"/>
  <c r="F22" i="74" s="1"/>
  <c r="D38" i="74"/>
  <c r="D29" i="74" s="1"/>
  <c r="D22" i="74" s="1"/>
  <c r="C29" i="74"/>
  <c r="C22" i="74" s="1"/>
  <c r="P29" i="78"/>
  <c r="P22" i="78" s="1"/>
  <c r="O29" i="78"/>
  <c r="O22" i="78" s="1"/>
  <c r="N29" i="78"/>
  <c r="N22" i="78" s="1"/>
  <c r="M29" i="78"/>
  <c r="M22" i="78" s="1"/>
  <c r="L29" i="78"/>
  <c r="L22" i="78" s="1"/>
  <c r="K29" i="78"/>
  <c r="K22" i="78" s="1"/>
  <c r="H29" i="78"/>
  <c r="H22" i="78" s="1"/>
  <c r="G29" i="78"/>
  <c r="G22" i="78" s="1"/>
  <c r="F29" i="78"/>
  <c r="F22" i="78" s="1"/>
  <c r="E29" i="78"/>
  <c r="E22" i="78" s="1"/>
  <c r="D29" i="78"/>
  <c r="D22" i="78" s="1"/>
  <c r="C29" i="78"/>
  <c r="C22" i="78" s="1"/>
  <c r="Q29" i="77"/>
  <c r="Q22" i="77" s="1"/>
  <c r="P29" i="77"/>
  <c r="P22" i="77" s="1"/>
  <c r="O29" i="77"/>
  <c r="O22" i="77" s="1"/>
  <c r="N29" i="77"/>
  <c r="N22" i="77" s="1"/>
  <c r="L29" i="77"/>
  <c r="L22" i="77" s="1"/>
  <c r="K29" i="77"/>
  <c r="K22" i="77" s="1"/>
  <c r="J29" i="77"/>
  <c r="J22" i="77" s="1"/>
  <c r="I29" i="77"/>
  <c r="I22" i="77" s="1"/>
  <c r="H29" i="77"/>
  <c r="H22" i="77" s="1"/>
  <c r="G29" i="77"/>
  <c r="G22" i="77" s="1"/>
  <c r="F29" i="77"/>
  <c r="F22" i="77" s="1"/>
  <c r="E29" i="77"/>
  <c r="E22" i="77" s="1"/>
  <c r="D29" i="77"/>
  <c r="D22" i="77" s="1"/>
  <c r="C29" i="77"/>
  <c r="C22" i="77" s="1"/>
  <c r="M38" i="110"/>
  <c r="K38" i="110"/>
  <c r="J38" i="110"/>
  <c r="H38" i="110"/>
  <c r="H29" i="110" s="1"/>
  <c r="G38" i="110"/>
  <c r="F38" i="110"/>
  <c r="D38" i="110"/>
  <c r="C38" i="110"/>
  <c r="N38" i="122"/>
  <c r="L38" i="122"/>
  <c r="K38" i="122"/>
  <c r="J38" i="122"/>
  <c r="I38" i="122"/>
  <c r="H38" i="122"/>
  <c r="G38" i="122"/>
  <c r="F38" i="122"/>
  <c r="E38" i="122"/>
  <c r="D38" i="122"/>
  <c r="C38" i="122"/>
  <c r="N38" i="125"/>
  <c r="L38" i="125"/>
  <c r="K38" i="125"/>
  <c r="J38" i="125"/>
  <c r="G38" i="125"/>
  <c r="F38" i="125"/>
  <c r="E38" i="125"/>
  <c r="D38" i="125"/>
  <c r="C38" i="125"/>
  <c r="P29" i="65"/>
  <c r="P22" i="65" s="1"/>
  <c r="O38" i="65"/>
  <c r="O29" i="65" s="1"/>
  <c r="O22" i="65" s="1"/>
  <c r="N38" i="65"/>
  <c r="N29" i="65" s="1"/>
  <c r="N22" i="65" s="1"/>
  <c r="M38" i="65"/>
  <c r="M29" i="65" s="1"/>
  <c r="M22" i="65" s="1"/>
  <c r="L38" i="65"/>
  <c r="L29" i="65" s="1"/>
  <c r="L22" i="65" s="1"/>
  <c r="K38" i="65"/>
  <c r="K29" i="65" s="1"/>
  <c r="K22" i="65" s="1"/>
  <c r="J38" i="65"/>
  <c r="J29" i="65" s="1"/>
  <c r="J22" i="65" s="1"/>
  <c r="H38" i="65"/>
  <c r="H29" i="65" s="1"/>
  <c r="H22" i="65" s="1"/>
  <c r="G38" i="65"/>
  <c r="G29" i="65" s="1"/>
  <c r="G22" i="65" s="1"/>
  <c r="F38" i="65"/>
  <c r="F29" i="65" s="1"/>
  <c r="F22" i="65" s="1"/>
  <c r="E38" i="65"/>
  <c r="E29" i="65" s="1"/>
  <c r="E22" i="65" s="1"/>
  <c r="D38" i="65"/>
  <c r="D29" i="65" s="1"/>
  <c r="D22" i="65" s="1"/>
  <c r="C38" i="65"/>
  <c r="C29" i="65" s="1"/>
  <c r="C22" i="65" s="1"/>
  <c r="J38" i="5"/>
  <c r="H38" i="5"/>
  <c r="H29" i="5" s="1"/>
  <c r="H22" i="5" s="1"/>
  <c r="K38" i="6"/>
  <c r="K29" i="6" s="1"/>
  <c r="K22" i="6" s="1"/>
  <c r="C38" i="7"/>
  <c r="N38" i="107"/>
  <c r="M38" i="107"/>
  <c r="H38" i="107"/>
  <c r="F38" i="107"/>
  <c r="G38" i="130"/>
  <c r="G29" i="130" s="1"/>
  <c r="G22" i="130" s="1"/>
  <c r="D38" i="130"/>
  <c r="D29" i="130" s="1"/>
  <c r="D22" i="130" s="1"/>
  <c r="N38" i="120"/>
  <c r="P38" i="120" s="1"/>
  <c r="K38" i="121"/>
  <c r="M37" i="77"/>
  <c r="H37" i="78"/>
  <c r="E37" i="74"/>
  <c r="L37" i="75"/>
  <c r="O37" i="75"/>
  <c r="N37" i="75"/>
  <c r="L37" i="72"/>
  <c r="J37" i="73"/>
  <c r="L37" i="18"/>
  <c r="N37" i="106"/>
  <c r="F37" i="105"/>
  <c r="I37" i="64"/>
  <c r="K37" i="64"/>
  <c r="J37" i="64"/>
  <c r="G37" i="15"/>
  <c r="H37" i="15"/>
  <c r="K37" i="15"/>
  <c r="M37" i="14"/>
  <c r="J29" i="5" l="1"/>
  <c r="M38" i="5"/>
  <c r="M29" i="110"/>
  <c r="M22" i="110" s="1"/>
  <c r="P38" i="125"/>
  <c r="N29" i="125"/>
  <c r="E105" i="63"/>
  <c r="F104" i="63"/>
  <c r="C29" i="7"/>
  <c r="E30" i="8" s="1"/>
  <c r="E39" i="8"/>
  <c r="H38" i="7"/>
  <c r="J39" i="8" s="1"/>
  <c r="E36" i="63"/>
  <c r="E37" i="63" s="1"/>
  <c r="J38" i="61"/>
  <c r="J29" i="61" s="1"/>
  <c r="C29" i="10"/>
  <c r="C22" i="10" s="1"/>
  <c r="C38" i="9"/>
  <c r="C29" i="9" s="1"/>
  <c r="C22" i="9" s="1"/>
  <c r="D29" i="10"/>
  <c r="D22" i="10" s="1"/>
  <c r="F29" i="10"/>
  <c r="F22" i="10" s="1"/>
  <c r="D38" i="9"/>
  <c r="D29" i="9" s="1"/>
  <c r="D22" i="9" s="1"/>
  <c r="J29" i="78"/>
  <c r="J22" i="78" s="1"/>
  <c r="Q29" i="15"/>
  <c r="Q22" i="15" s="1"/>
  <c r="V22" i="15" s="1"/>
  <c r="K38" i="61"/>
  <c r="K29" i="61" s="1"/>
  <c r="K29" i="73"/>
  <c r="K22" i="73" s="1"/>
  <c r="Q38" i="73"/>
  <c r="Q29" i="73" s="1"/>
  <c r="Q22" i="73" s="1"/>
  <c r="E29" i="73"/>
  <c r="E22" i="73" s="1"/>
  <c r="I38" i="73"/>
  <c r="D38" i="6"/>
  <c r="D29" i="6" s="1"/>
  <c r="D22" i="6" s="1"/>
  <c r="S22" i="64"/>
  <c r="L22" i="12"/>
  <c r="C38" i="127"/>
  <c r="D38" i="127"/>
  <c r="K22" i="12"/>
  <c r="Q38" i="65"/>
  <c r="P22" i="14"/>
  <c r="F38" i="9"/>
  <c r="F29" i="9" s="1"/>
  <c r="F22" i="9" s="1"/>
  <c r="K38" i="9"/>
  <c r="K29" i="9" s="1"/>
  <c r="K22" i="9" s="1"/>
  <c r="M38" i="9"/>
  <c r="M29" i="9" s="1"/>
  <c r="M22" i="9" s="1"/>
  <c r="C38" i="116"/>
  <c r="D38" i="116"/>
  <c r="O22" i="14"/>
  <c r="O22" i="13"/>
  <c r="M22" i="11"/>
  <c r="O22" i="10"/>
  <c r="K22" i="15"/>
  <c r="R22" i="15" s="1"/>
  <c r="P22" i="13"/>
  <c r="K29" i="15"/>
  <c r="N22" i="11"/>
  <c r="S22" i="105"/>
  <c r="Q22" i="105"/>
  <c r="Q22" i="106"/>
  <c r="R22" i="105"/>
  <c r="R22" i="106"/>
  <c r="S22" i="106"/>
  <c r="P22" i="18"/>
  <c r="Q22" i="18"/>
  <c r="R22" i="18"/>
  <c r="D38" i="117"/>
  <c r="D38" i="114"/>
  <c r="C38" i="115"/>
  <c r="C38" i="117"/>
  <c r="D38" i="115"/>
  <c r="C38" i="114"/>
  <c r="R22" i="64"/>
  <c r="E9" i="63"/>
  <c r="E21" i="63"/>
  <c r="E22" i="63" s="1"/>
  <c r="E23" i="63"/>
  <c r="E24" i="63" s="1"/>
  <c r="G38" i="7"/>
  <c r="O29" i="75"/>
  <c r="O22" i="75" s="1"/>
  <c r="L29" i="102"/>
  <c r="K29" i="80"/>
  <c r="K22" i="80" s="1"/>
  <c r="F29" i="17"/>
  <c r="F22" i="17" s="1"/>
  <c r="E53" i="63"/>
  <c r="R29" i="80"/>
  <c r="R22" i="80" s="1"/>
  <c r="E55" i="63"/>
  <c r="F29" i="80"/>
  <c r="F22" i="80" s="1"/>
  <c r="E38" i="6"/>
  <c r="E29" i="6" s="1"/>
  <c r="E22" i="6" s="1"/>
  <c r="F29" i="15"/>
  <c r="F22" i="15" s="1"/>
  <c r="L22" i="15" s="1"/>
  <c r="U22" i="15" s="1"/>
  <c r="M29" i="107"/>
  <c r="F29" i="107"/>
  <c r="S38" i="75"/>
  <c r="S38" i="105"/>
  <c r="R38" i="77"/>
  <c r="S38" i="106"/>
  <c r="H38" i="9"/>
  <c r="H29" i="9" s="1"/>
  <c r="H22" i="9" s="1"/>
  <c r="H29" i="107"/>
  <c r="S38" i="77"/>
  <c r="S38" i="15"/>
  <c r="I38" i="65"/>
  <c r="I29" i="65" s="1"/>
  <c r="I22" i="65" s="1"/>
  <c r="R22" i="65" s="1"/>
  <c r="R38" i="75"/>
  <c r="O38" i="120"/>
  <c r="H38" i="130"/>
  <c r="H29" i="130" s="1"/>
  <c r="H22" i="130" s="1"/>
  <c r="P38" i="18"/>
  <c r="R38" i="15"/>
  <c r="T38" i="15"/>
  <c r="N38" i="10"/>
  <c r="N38" i="11"/>
  <c r="Q38" i="105"/>
  <c r="N38" i="9"/>
  <c r="N29" i="9" s="1"/>
  <c r="N22" i="9" s="1"/>
  <c r="R38" i="18"/>
  <c r="P38" i="17"/>
  <c r="O38" i="13"/>
  <c r="S38" i="64"/>
  <c r="K38" i="12"/>
  <c r="O38" i="10"/>
  <c r="L38" i="12"/>
  <c r="N38" i="102"/>
  <c r="M38" i="102"/>
  <c r="G38" i="6"/>
  <c r="G29" i="6" s="1"/>
  <c r="G22" i="6" s="1"/>
  <c r="U38" i="15"/>
  <c r="V38" i="15"/>
  <c r="O38" i="14"/>
  <c r="F38" i="6"/>
  <c r="F29" i="6" s="1"/>
  <c r="F22" i="6" s="1"/>
  <c r="P38" i="14"/>
  <c r="P38" i="13"/>
  <c r="M38" i="122"/>
  <c r="M38" i="125"/>
  <c r="O38" i="125" s="1"/>
  <c r="Q29" i="78"/>
  <c r="Q22" i="78" s="1"/>
  <c r="R38" i="74"/>
  <c r="Q38" i="75"/>
  <c r="I29" i="78"/>
  <c r="I22" i="78" s="1"/>
  <c r="S38" i="74"/>
  <c r="S38" i="72"/>
  <c r="R38" i="17"/>
  <c r="J38" i="9"/>
  <c r="J29" i="9" s="1"/>
  <c r="J22" i="9" s="1"/>
  <c r="Q38" i="17"/>
  <c r="O38" i="9"/>
  <c r="E38" i="9"/>
  <c r="E29" i="9" s="1"/>
  <c r="E22" i="9" s="1"/>
  <c r="L38" i="9"/>
  <c r="L29" i="9" s="1"/>
  <c r="L22" i="9" s="1"/>
  <c r="Q38" i="106"/>
  <c r="R38" i="105"/>
  <c r="R38" i="106"/>
  <c r="G38" i="9"/>
  <c r="I38" i="9"/>
  <c r="Q38" i="18"/>
  <c r="J38" i="12"/>
  <c r="M38" i="11"/>
  <c r="R38" i="72"/>
  <c r="K38" i="5"/>
  <c r="Q38" i="74"/>
  <c r="R38" i="64"/>
  <c r="F38" i="7"/>
  <c r="D37" i="11"/>
  <c r="I37" i="10"/>
  <c r="J37" i="10"/>
  <c r="J22" i="5" l="1"/>
  <c r="M22" i="5" s="1"/>
  <c r="M29" i="5"/>
  <c r="C22" i="7"/>
  <c r="H29" i="7"/>
  <c r="J30" i="8" s="1"/>
  <c r="L22" i="102"/>
  <c r="M22" i="102" s="1"/>
  <c r="C40" i="98"/>
  <c r="E40" i="98" s="1"/>
  <c r="G29" i="7"/>
  <c r="I30" i="8" s="1"/>
  <c r="I39" i="8"/>
  <c r="F29" i="7"/>
  <c r="H30" i="8" s="1"/>
  <c r="H39" i="8"/>
  <c r="N22" i="10"/>
  <c r="I38" i="7"/>
  <c r="J22" i="61"/>
  <c r="K22" i="61"/>
  <c r="R38" i="78"/>
  <c r="S22" i="15"/>
  <c r="T22" i="15"/>
  <c r="R38" i="65"/>
  <c r="S38" i="73"/>
  <c r="D38" i="7"/>
  <c r="E35" i="63"/>
  <c r="J29" i="12"/>
  <c r="J22" i="12" s="1"/>
  <c r="S38" i="78"/>
  <c r="E19" i="63"/>
  <c r="E20" i="63" s="1"/>
  <c r="I29" i="9"/>
  <c r="I22" i="9" s="1"/>
  <c r="L38" i="5"/>
  <c r="L29" i="5" s="1"/>
  <c r="L22" i="5" s="1"/>
  <c r="K29" i="5"/>
  <c r="K22" i="5" s="1"/>
  <c r="R38" i="73"/>
  <c r="I29" i="73"/>
  <c r="I22" i="73" s="1"/>
  <c r="S38" i="65"/>
  <c r="Q29" i="65"/>
  <c r="Q22" i="65" s="1"/>
  <c r="S22" i="65" s="1"/>
  <c r="E29" i="63"/>
  <c r="E31" i="63" s="1"/>
  <c r="O29" i="9"/>
  <c r="O22" i="9" s="1"/>
  <c r="G29" i="9"/>
  <c r="G22" i="9" s="1"/>
  <c r="E27" i="63"/>
  <c r="E28" i="63" s="1"/>
  <c r="Q38" i="9"/>
  <c r="S38" i="9"/>
  <c r="R38" i="9"/>
  <c r="P38" i="9"/>
  <c r="K32" i="121"/>
  <c r="K33" i="121"/>
  <c r="K34" i="121"/>
  <c r="K35" i="121"/>
  <c r="K36" i="121"/>
  <c r="K37" i="121"/>
  <c r="E37" i="125"/>
  <c r="E29" i="125" s="1"/>
  <c r="P37" i="78"/>
  <c r="J37" i="78"/>
  <c r="D37" i="74"/>
  <c r="F37" i="75"/>
  <c r="P37" i="72"/>
  <c r="N37" i="72"/>
  <c r="C37" i="72"/>
  <c r="J37" i="72"/>
  <c r="L37" i="73"/>
  <c r="K37" i="73"/>
  <c r="N37" i="18"/>
  <c r="H37" i="18"/>
  <c r="F37" i="18"/>
  <c r="D37" i="17"/>
  <c r="E37" i="106"/>
  <c r="O37" i="105"/>
  <c r="L37" i="64"/>
  <c r="H37" i="64"/>
  <c r="M37" i="65"/>
  <c r="D39" i="98"/>
  <c r="F37" i="102"/>
  <c r="E37" i="15"/>
  <c r="D37" i="6" s="1"/>
  <c r="D37" i="15"/>
  <c r="N37" i="13"/>
  <c r="L37" i="13"/>
  <c r="H37" i="12"/>
  <c r="F37" i="11"/>
  <c r="L37" i="10"/>
  <c r="S37" i="80"/>
  <c r="R37" i="80"/>
  <c r="P37" i="80"/>
  <c r="O37" i="80"/>
  <c r="N37" i="80"/>
  <c r="M37" i="80"/>
  <c r="L37" i="80"/>
  <c r="K37" i="80"/>
  <c r="J37" i="80"/>
  <c r="I37" i="80"/>
  <c r="H37" i="80"/>
  <c r="G37" i="80"/>
  <c r="F37" i="80"/>
  <c r="E37" i="80"/>
  <c r="D37" i="80"/>
  <c r="C37" i="80"/>
  <c r="S37" i="128"/>
  <c r="R37" i="128"/>
  <c r="Q37" i="128"/>
  <c r="P37" i="128"/>
  <c r="O37" i="128"/>
  <c r="N37" i="128"/>
  <c r="M37" i="128"/>
  <c r="L37" i="128"/>
  <c r="K37" i="128"/>
  <c r="J37" i="128"/>
  <c r="I37" i="128"/>
  <c r="H37" i="128"/>
  <c r="G37" i="128"/>
  <c r="F37" i="128"/>
  <c r="E37" i="128"/>
  <c r="D37" i="128"/>
  <c r="C37" i="128"/>
  <c r="M37" i="10"/>
  <c r="K37" i="10"/>
  <c r="H37" i="10"/>
  <c r="G37" i="10"/>
  <c r="F37" i="10"/>
  <c r="G37" i="7" s="1"/>
  <c r="I38" i="8" s="1"/>
  <c r="E37" i="10"/>
  <c r="D37" i="10"/>
  <c r="C37" i="10"/>
  <c r="K37" i="5" s="1"/>
  <c r="L37" i="11"/>
  <c r="K37" i="11"/>
  <c r="J37" i="11"/>
  <c r="I37" i="11"/>
  <c r="H37" i="11"/>
  <c r="G37" i="11"/>
  <c r="E37" i="11"/>
  <c r="C37" i="11"/>
  <c r="I37" i="12"/>
  <c r="G37" i="12"/>
  <c r="F37" i="12"/>
  <c r="E37" i="12"/>
  <c r="D37" i="12"/>
  <c r="C37" i="12"/>
  <c r="M37" i="13"/>
  <c r="K37" i="13"/>
  <c r="J37" i="13"/>
  <c r="I37" i="13"/>
  <c r="H37" i="13"/>
  <c r="G37" i="13"/>
  <c r="F37" i="13"/>
  <c r="E37" i="13"/>
  <c r="D37" i="13"/>
  <c r="C37" i="13"/>
  <c r="N37" i="14"/>
  <c r="L37" i="14"/>
  <c r="K37" i="14"/>
  <c r="J37" i="14"/>
  <c r="I37" i="14"/>
  <c r="H37" i="14"/>
  <c r="G37" i="14"/>
  <c r="F37" i="14"/>
  <c r="E37" i="14"/>
  <c r="D37" i="14"/>
  <c r="C37" i="14"/>
  <c r="Q37" i="15"/>
  <c r="P37" i="15"/>
  <c r="O37" i="15"/>
  <c r="N37" i="15"/>
  <c r="M37" i="15"/>
  <c r="L37" i="15"/>
  <c r="J37" i="15"/>
  <c r="I37" i="15"/>
  <c r="F37" i="15"/>
  <c r="E37" i="6" s="1"/>
  <c r="C37" i="15"/>
  <c r="L37" i="102"/>
  <c r="K37" i="102"/>
  <c r="J37" i="102"/>
  <c r="I37" i="102"/>
  <c r="H37" i="102"/>
  <c r="G37" i="102"/>
  <c r="E37" i="102"/>
  <c r="D37" i="102"/>
  <c r="C37" i="102"/>
  <c r="P37" i="65"/>
  <c r="O37" i="65"/>
  <c r="N37" i="65"/>
  <c r="L37" i="65"/>
  <c r="K37" i="65"/>
  <c r="J37" i="65"/>
  <c r="H37" i="65"/>
  <c r="G37" i="65"/>
  <c r="F37" i="65"/>
  <c r="E37" i="65"/>
  <c r="D37" i="65"/>
  <c r="C37" i="65"/>
  <c r="Q37" i="64"/>
  <c r="P37" i="64"/>
  <c r="O37" i="64"/>
  <c r="N37" i="64"/>
  <c r="M37" i="64"/>
  <c r="G37" i="64"/>
  <c r="F37" i="64"/>
  <c r="E37" i="64"/>
  <c r="D37" i="64"/>
  <c r="C37" i="64"/>
  <c r="I37" i="61"/>
  <c r="H37" i="61"/>
  <c r="G37" i="61"/>
  <c r="F37" i="61"/>
  <c r="E37" i="61"/>
  <c r="D37" i="61"/>
  <c r="C37" i="61"/>
  <c r="P37" i="105"/>
  <c r="N37" i="105"/>
  <c r="M37" i="105"/>
  <c r="L37" i="105"/>
  <c r="K37" i="105"/>
  <c r="J37" i="105"/>
  <c r="I37" i="105"/>
  <c r="H37" i="105"/>
  <c r="G37" i="105"/>
  <c r="E37" i="105"/>
  <c r="D37" i="105"/>
  <c r="C37" i="105"/>
  <c r="P37" i="106"/>
  <c r="O37" i="106"/>
  <c r="M37" i="106"/>
  <c r="L37" i="106"/>
  <c r="K37" i="106"/>
  <c r="J37" i="106"/>
  <c r="I37" i="106"/>
  <c r="H37" i="106"/>
  <c r="G37" i="106"/>
  <c r="F37" i="106"/>
  <c r="D37" i="106"/>
  <c r="C37" i="106"/>
  <c r="O37" i="17"/>
  <c r="N37" i="17"/>
  <c r="M37" i="17"/>
  <c r="L37" i="17"/>
  <c r="K37" i="17"/>
  <c r="J37" i="17"/>
  <c r="I37" i="17"/>
  <c r="H37" i="17"/>
  <c r="G37" i="17"/>
  <c r="F37" i="17"/>
  <c r="F37" i="9" s="1"/>
  <c r="E37" i="17"/>
  <c r="C37" i="17"/>
  <c r="O37" i="18"/>
  <c r="M37" i="18"/>
  <c r="K37" i="18"/>
  <c r="J37" i="18"/>
  <c r="I37" i="18"/>
  <c r="G37" i="18"/>
  <c r="E37" i="18"/>
  <c r="D37" i="18"/>
  <c r="C37" i="18"/>
  <c r="P37" i="73"/>
  <c r="O37" i="73"/>
  <c r="N37" i="73"/>
  <c r="M37" i="73"/>
  <c r="H37" i="73"/>
  <c r="G37" i="73"/>
  <c r="F37" i="73"/>
  <c r="E37" i="73"/>
  <c r="D37" i="73"/>
  <c r="C37" i="73"/>
  <c r="Q37" i="72"/>
  <c r="O37" i="72"/>
  <c r="M37" i="72"/>
  <c r="K37" i="72"/>
  <c r="I37" i="72"/>
  <c r="H37" i="72"/>
  <c r="G37" i="72"/>
  <c r="F37" i="72"/>
  <c r="E37" i="72"/>
  <c r="D37" i="72"/>
  <c r="P37" i="75"/>
  <c r="M37" i="75"/>
  <c r="K37" i="75"/>
  <c r="J37" i="75"/>
  <c r="I37" i="75"/>
  <c r="H37" i="75"/>
  <c r="G37" i="75"/>
  <c r="E37" i="75"/>
  <c r="D37" i="75"/>
  <c r="C37" i="75"/>
  <c r="P37" i="74"/>
  <c r="O37" i="74"/>
  <c r="N37" i="74"/>
  <c r="M37" i="74"/>
  <c r="L37" i="74"/>
  <c r="K37" i="74"/>
  <c r="J37" i="74"/>
  <c r="I37" i="74"/>
  <c r="H37" i="74"/>
  <c r="G37" i="74"/>
  <c r="F37" i="74"/>
  <c r="C37" i="74"/>
  <c r="O37" i="78"/>
  <c r="N37" i="78"/>
  <c r="M37" i="78"/>
  <c r="L37" i="78"/>
  <c r="K37" i="78"/>
  <c r="G37" i="78"/>
  <c r="F37" i="78"/>
  <c r="E37" i="78"/>
  <c r="D37" i="78"/>
  <c r="C37" i="78"/>
  <c r="Q37" i="77"/>
  <c r="P37" i="77"/>
  <c r="O37" i="77"/>
  <c r="N37" i="77"/>
  <c r="L37" i="77"/>
  <c r="K37" i="77"/>
  <c r="J37" i="77"/>
  <c r="I37" i="77"/>
  <c r="H37" i="77"/>
  <c r="G37" i="77"/>
  <c r="F37" i="77"/>
  <c r="E37" i="77"/>
  <c r="D37" i="77"/>
  <c r="C37" i="77"/>
  <c r="M37" i="110"/>
  <c r="L37" i="110"/>
  <c r="K37" i="110"/>
  <c r="J37" i="110"/>
  <c r="G37" i="110"/>
  <c r="G29" i="110" s="1"/>
  <c r="F37" i="110"/>
  <c r="D37" i="110"/>
  <c r="C37" i="110"/>
  <c r="N37" i="122"/>
  <c r="L37" i="122"/>
  <c r="K37" i="122"/>
  <c r="J37" i="122"/>
  <c r="I37" i="122"/>
  <c r="H37" i="122"/>
  <c r="G37" i="122"/>
  <c r="F37" i="122"/>
  <c r="E37" i="122"/>
  <c r="D37" i="122"/>
  <c r="C37" i="122"/>
  <c r="L37" i="125"/>
  <c r="K37" i="125"/>
  <c r="J37" i="125"/>
  <c r="G37" i="125"/>
  <c r="F37" i="125"/>
  <c r="D37" i="125"/>
  <c r="C37" i="125"/>
  <c r="C29" i="125" s="1"/>
  <c r="J37" i="5"/>
  <c r="H37" i="5"/>
  <c r="K37" i="6"/>
  <c r="C37" i="7"/>
  <c r="E38" i="8" s="1"/>
  <c r="N37" i="107"/>
  <c r="M37" i="107"/>
  <c r="H37" i="107"/>
  <c r="F37" i="107"/>
  <c r="G37" i="130"/>
  <c r="D37" i="130"/>
  <c r="N37" i="120"/>
  <c r="M37" i="5" l="1"/>
  <c r="H22" i="7"/>
  <c r="G22" i="7"/>
  <c r="F22" i="7"/>
  <c r="O37" i="120"/>
  <c r="F37" i="7"/>
  <c r="H38" i="8" s="1"/>
  <c r="I29" i="7"/>
  <c r="K30" i="8" s="1"/>
  <c r="K39" i="8"/>
  <c r="M39" i="8" s="1"/>
  <c r="D29" i="7"/>
  <c r="F30" i="8" s="1"/>
  <c r="F39" i="8"/>
  <c r="K37" i="61"/>
  <c r="J37" i="61"/>
  <c r="C38" i="6"/>
  <c r="C29" i="6" s="1"/>
  <c r="C22" i="6" s="1"/>
  <c r="H22" i="6" s="1"/>
  <c r="E38" i="7"/>
  <c r="E33" i="63"/>
  <c r="E30" i="63"/>
  <c r="L38" i="7"/>
  <c r="Q37" i="78"/>
  <c r="S37" i="78" s="1"/>
  <c r="J37" i="12"/>
  <c r="D37" i="7" s="1"/>
  <c r="F38" i="8" s="1"/>
  <c r="K37" i="9"/>
  <c r="M37" i="9"/>
  <c r="Q37" i="65"/>
  <c r="S37" i="65" s="1"/>
  <c r="J37" i="9"/>
  <c r="R37" i="74"/>
  <c r="O37" i="9"/>
  <c r="S37" i="106"/>
  <c r="E37" i="9"/>
  <c r="N37" i="9"/>
  <c r="H37" i="7"/>
  <c r="J38" i="8" s="1"/>
  <c r="M37" i="125"/>
  <c r="P37" i="120"/>
  <c r="P37" i="13"/>
  <c r="O37" i="10"/>
  <c r="S37" i="77"/>
  <c r="I37" i="65"/>
  <c r="R37" i="65" s="1"/>
  <c r="R37" i="15"/>
  <c r="R37" i="75"/>
  <c r="H37" i="130"/>
  <c r="Q37" i="18"/>
  <c r="Q37" i="74"/>
  <c r="R37" i="18"/>
  <c r="P37" i="18"/>
  <c r="R37" i="105"/>
  <c r="R37" i="106"/>
  <c r="H37" i="9"/>
  <c r="Q37" i="75"/>
  <c r="I37" i="78"/>
  <c r="R37" i="78" s="1"/>
  <c r="S37" i="74"/>
  <c r="R37" i="77"/>
  <c r="Q37" i="17"/>
  <c r="R37" i="17"/>
  <c r="P37" i="17"/>
  <c r="S37" i="72"/>
  <c r="R37" i="72"/>
  <c r="L37" i="9"/>
  <c r="Q37" i="106"/>
  <c r="S37" i="105"/>
  <c r="Q37" i="105"/>
  <c r="S37" i="64"/>
  <c r="N37" i="11"/>
  <c r="N37" i="102"/>
  <c r="L37" i="12"/>
  <c r="C37" i="9"/>
  <c r="M37" i="102"/>
  <c r="R37" i="64"/>
  <c r="G37" i="6"/>
  <c r="T37" i="15"/>
  <c r="M37" i="11"/>
  <c r="V37" i="15"/>
  <c r="O37" i="14"/>
  <c r="O37" i="13"/>
  <c r="S37" i="15"/>
  <c r="U37" i="15"/>
  <c r="P37" i="14"/>
  <c r="F37" i="6"/>
  <c r="K37" i="12"/>
  <c r="N37" i="10"/>
  <c r="M37" i="122"/>
  <c r="S37" i="75"/>
  <c r="I37" i="73"/>
  <c r="R37" i="73" s="1"/>
  <c r="D37" i="9"/>
  <c r="G37" i="9"/>
  <c r="I37" i="9"/>
  <c r="Q37" i="73"/>
  <c r="S37" i="73" s="1"/>
  <c r="L37" i="5"/>
  <c r="C37" i="6" s="1"/>
  <c r="H37" i="6" s="1"/>
  <c r="L37" i="6" s="1"/>
  <c r="P30" i="120" l="1"/>
  <c r="I22" i="7"/>
  <c r="L22" i="7" s="1"/>
  <c r="M30" i="8"/>
  <c r="D22" i="7"/>
  <c r="O37" i="125"/>
  <c r="O30" i="125"/>
  <c r="H38" i="6"/>
  <c r="E11" i="63" s="1"/>
  <c r="F12" i="63" s="1"/>
  <c r="E29" i="7"/>
  <c r="G30" i="8" s="1"/>
  <c r="G39" i="8"/>
  <c r="L39" i="8" s="1"/>
  <c r="K38" i="7"/>
  <c r="L22" i="6"/>
  <c r="I22" i="6"/>
  <c r="M22" i="6" s="1"/>
  <c r="E37" i="7"/>
  <c r="G38" i="8" s="1"/>
  <c r="L38" i="8" s="1"/>
  <c r="P37" i="9"/>
  <c r="Q37" i="9"/>
  <c r="I37" i="7"/>
  <c r="S37" i="9"/>
  <c r="R37" i="9"/>
  <c r="I37" i="6"/>
  <c r="E36" i="15"/>
  <c r="D36" i="15"/>
  <c r="E22" i="7" l="1"/>
  <c r="K22" i="7" s="1"/>
  <c r="L30" i="8"/>
  <c r="L38" i="6"/>
  <c r="I38" i="6"/>
  <c r="E13" i="63" s="1"/>
  <c r="K37" i="7"/>
  <c r="L37" i="7"/>
  <c r="K38" i="8"/>
  <c r="M38" i="8" s="1"/>
  <c r="M37" i="6"/>
  <c r="J37" i="6"/>
  <c r="E15" i="63" l="1"/>
  <c r="F14" i="63"/>
  <c r="J38" i="6"/>
  <c r="E16" i="63" s="1"/>
  <c r="F17" i="63" s="1"/>
  <c r="M38" i="6"/>
  <c r="C37" i="8"/>
  <c r="N37" i="6"/>
  <c r="J37" i="7"/>
  <c r="M37" i="7" s="1"/>
  <c r="J29" i="6" l="1"/>
  <c r="J22" i="6" s="1"/>
  <c r="N22" i="6" s="1"/>
  <c r="N38" i="6"/>
  <c r="C38" i="8"/>
  <c r="D38" i="8" s="1"/>
  <c r="J38" i="7"/>
  <c r="M38" i="7" l="1"/>
  <c r="J29" i="7"/>
  <c r="J22" i="7" s="1"/>
  <c r="M22" i="7" s="1"/>
  <c r="D39" i="8"/>
  <c r="C29" i="8"/>
  <c r="P36" i="78"/>
  <c r="D36" i="74"/>
  <c r="F36" i="75"/>
  <c r="N36" i="75"/>
  <c r="J36" i="78"/>
  <c r="O36" i="75"/>
  <c r="N36" i="72"/>
  <c r="P36" i="72"/>
  <c r="Q36" i="72"/>
  <c r="L36" i="72"/>
  <c r="C36" i="72"/>
  <c r="J36" i="72"/>
  <c r="L36" i="73"/>
  <c r="K36" i="73"/>
  <c r="J36" i="73"/>
  <c r="H36" i="18"/>
  <c r="F36" i="18"/>
  <c r="N36" i="18"/>
  <c r="D36" i="17"/>
  <c r="E36" i="106"/>
  <c r="O36" i="105"/>
  <c r="H36" i="64"/>
  <c r="L36" i="64"/>
  <c r="K36" i="64"/>
  <c r="Q36" i="64"/>
  <c r="M36" i="65"/>
  <c r="F36" i="102"/>
  <c r="N36" i="13"/>
  <c r="L36" i="13"/>
  <c r="H36" i="12"/>
  <c r="F36" i="11"/>
  <c r="L36" i="10"/>
  <c r="C22" i="8" l="1"/>
  <c r="D30" i="8"/>
  <c r="J36" i="10"/>
  <c r="E36" i="11"/>
  <c r="G36" i="12"/>
  <c r="D36" i="13"/>
  <c r="H36" i="14"/>
  <c r="I36" i="14"/>
  <c r="K36" i="14"/>
  <c r="N36" i="14"/>
  <c r="Q36" i="15"/>
  <c r="G36" i="102"/>
  <c r="J36" i="65"/>
  <c r="C36" i="65"/>
  <c r="D36" i="64"/>
  <c r="J36" i="64"/>
  <c r="H36" i="105"/>
  <c r="S29" i="105" s="1"/>
  <c r="N36" i="106"/>
  <c r="K36" i="106"/>
  <c r="O36" i="74"/>
  <c r="N36" i="74"/>
  <c r="I36" i="74"/>
  <c r="F36" i="78"/>
  <c r="D36" i="78"/>
  <c r="Q36" i="77"/>
  <c r="I36" i="125"/>
  <c r="I29" i="125" s="1"/>
  <c r="G36" i="125"/>
  <c r="G29" i="125" s="1"/>
  <c r="S36" i="80"/>
  <c r="R36" i="80"/>
  <c r="P36" i="80"/>
  <c r="O36" i="80"/>
  <c r="N36" i="80"/>
  <c r="M36" i="80"/>
  <c r="L36" i="80"/>
  <c r="K36" i="80"/>
  <c r="J36" i="80"/>
  <c r="I36" i="80"/>
  <c r="H36" i="80"/>
  <c r="G36" i="80"/>
  <c r="F36" i="80"/>
  <c r="E36" i="80"/>
  <c r="D36" i="80"/>
  <c r="C36" i="80"/>
  <c r="S36" i="128"/>
  <c r="R36" i="128"/>
  <c r="Q36" i="128"/>
  <c r="P36" i="128"/>
  <c r="O36" i="128"/>
  <c r="N36" i="128"/>
  <c r="M36" i="128"/>
  <c r="L36" i="128"/>
  <c r="K36" i="128"/>
  <c r="J36" i="128"/>
  <c r="I36" i="128"/>
  <c r="H36" i="128"/>
  <c r="G36" i="128"/>
  <c r="F36" i="128"/>
  <c r="E36" i="128"/>
  <c r="D36" i="128"/>
  <c r="C36" i="128"/>
  <c r="M36" i="10"/>
  <c r="K36" i="10"/>
  <c r="O29" i="10" s="1"/>
  <c r="I36" i="10"/>
  <c r="H36" i="10"/>
  <c r="G36" i="10"/>
  <c r="F36" i="10"/>
  <c r="E36" i="10"/>
  <c r="D36" i="10"/>
  <c r="C36" i="10"/>
  <c r="L36" i="11"/>
  <c r="K36" i="11"/>
  <c r="J36" i="11"/>
  <c r="I36" i="11"/>
  <c r="H36" i="11"/>
  <c r="G36" i="11"/>
  <c r="D36" i="11"/>
  <c r="C36" i="11"/>
  <c r="I36" i="12"/>
  <c r="L29" i="12" s="1"/>
  <c r="F36" i="12"/>
  <c r="E36" i="12"/>
  <c r="D36" i="12"/>
  <c r="C36" i="12"/>
  <c r="M36" i="13"/>
  <c r="K36" i="13"/>
  <c r="J36" i="13"/>
  <c r="I36" i="13"/>
  <c r="H36" i="13"/>
  <c r="G36" i="13"/>
  <c r="F36" i="13"/>
  <c r="E36" i="13"/>
  <c r="C36" i="13"/>
  <c r="M36" i="14"/>
  <c r="L36" i="14"/>
  <c r="J36" i="14"/>
  <c r="G36" i="14"/>
  <c r="F36" i="14"/>
  <c r="E36" i="14"/>
  <c r="D36" i="14"/>
  <c r="C36" i="14"/>
  <c r="P36" i="15"/>
  <c r="O36" i="15"/>
  <c r="N36" i="15"/>
  <c r="M36" i="15"/>
  <c r="L36" i="15"/>
  <c r="K36" i="15"/>
  <c r="J36" i="15"/>
  <c r="I36" i="15"/>
  <c r="H36" i="15"/>
  <c r="G36" i="15"/>
  <c r="F36" i="15"/>
  <c r="D36" i="6"/>
  <c r="C36" i="15"/>
  <c r="L36" i="102"/>
  <c r="K36" i="102"/>
  <c r="J36" i="102"/>
  <c r="I36" i="102"/>
  <c r="H36" i="102"/>
  <c r="E36" i="102"/>
  <c r="D36" i="102"/>
  <c r="C36" i="102"/>
  <c r="P36" i="65"/>
  <c r="O36" i="65"/>
  <c r="N36" i="65"/>
  <c r="L36" i="65"/>
  <c r="K36" i="65"/>
  <c r="H36" i="65"/>
  <c r="G36" i="65"/>
  <c r="F36" i="65"/>
  <c r="E36" i="65"/>
  <c r="D36" i="65"/>
  <c r="P36" i="64"/>
  <c r="O36" i="64"/>
  <c r="N36" i="64"/>
  <c r="M36" i="64"/>
  <c r="I36" i="64"/>
  <c r="G36" i="64"/>
  <c r="F36" i="64"/>
  <c r="E36" i="64"/>
  <c r="C36" i="64"/>
  <c r="I36" i="61"/>
  <c r="H36" i="61"/>
  <c r="G36" i="61"/>
  <c r="F36" i="61"/>
  <c r="E36" i="61"/>
  <c r="D36" i="61"/>
  <c r="C36" i="61"/>
  <c r="P36" i="105"/>
  <c r="N36" i="105"/>
  <c r="M36" i="105"/>
  <c r="L36" i="105"/>
  <c r="K36" i="105"/>
  <c r="J36" i="105"/>
  <c r="I36" i="105"/>
  <c r="G36" i="105"/>
  <c r="F36" i="105"/>
  <c r="E36" i="105"/>
  <c r="D36" i="105"/>
  <c r="C36" i="105"/>
  <c r="P36" i="106"/>
  <c r="O36" i="106"/>
  <c r="S29" i="106" s="1"/>
  <c r="M36" i="106"/>
  <c r="L36" i="106"/>
  <c r="J36" i="106"/>
  <c r="I36" i="106"/>
  <c r="H36" i="106"/>
  <c r="G36" i="106"/>
  <c r="F36" i="106"/>
  <c r="D36" i="106"/>
  <c r="C36" i="106"/>
  <c r="O36" i="17"/>
  <c r="N36" i="17"/>
  <c r="M36" i="17"/>
  <c r="L36" i="17"/>
  <c r="K36" i="17"/>
  <c r="J36" i="17"/>
  <c r="I36" i="17"/>
  <c r="H36" i="17"/>
  <c r="G36" i="17"/>
  <c r="F36" i="17"/>
  <c r="E36" i="17"/>
  <c r="C36" i="17"/>
  <c r="O36" i="18"/>
  <c r="M36" i="18"/>
  <c r="L36" i="18"/>
  <c r="K36" i="18"/>
  <c r="J36" i="18"/>
  <c r="I36" i="18"/>
  <c r="G36" i="18"/>
  <c r="E36" i="18"/>
  <c r="D36" i="18"/>
  <c r="C36" i="18"/>
  <c r="P36" i="73"/>
  <c r="O36" i="73"/>
  <c r="N36" i="73"/>
  <c r="M36" i="73"/>
  <c r="H36" i="73"/>
  <c r="G36" i="73"/>
  <c r="F36" i="73"/>
  <c r="E36" i="73"/>
  <c r="D36" i="73"/>
  <c r="C36" i="73"/>
  <c r="O36" i="72"/>
  <c r="M36" i="72"/>
  <c r="K36" i="72"/>
  <c r="I36" i="72"/>
  <c r="H36" i="72"/>
  <c r="G36" i="72"/>
  <c r="F36" i="72"/>
  <c r="E36" i="72"/>
  <c r="D36" i="72"/>
  <c r="P36" i="75"/>
  <c r="M36" i="75"/>
  <c r="L36" i="75"/>
  <c r="K36" i="75"/>
  <c r="J36" i="75"/>
  <c r="I36" i="75"/>
  <c r="H36" i="75"/>
  <c r="G36" i="75"/>
  <c r="E36" i="75"/>
  <c r="D36" i="75"/>
  <c r="C36" i="75"/>
  <c r="P36" i="74"/>
  <c r="M36" i="74"/>
  <c r="L36" i="74"/>
  <c r="K36" i="74"/>
  <c r="J36" i="74"/>
  <c r="H36" i="74"/>
  <c r="G36" i="74"/>
  <c r="F36" i="74"/>
  <c r="E36" i="74"/>
  <c r="C36" i="74"/>
  <c r="O36" i="78"/>
  <c r="N36" i="78"/>
  <c r="M36" i="78"/>
  <c r="L36" i="78"/>
  <c r="K36" i="78"/>
  <c r="H36" i="78"/>
  <c r="G36" i="78"/>
  <c r="E36" i="78"/>
  <c r="C36" i="78"/>
  <c r="P36" i="77"/>
  <c r="O36" i="77"/>
  <c r="N36" i="77"/>
  <c r="M36" i="77"/>
  <c r="L36" i="77"/>
  <c r="K36" i="77"/>
  <c r="J36" i="77"/>
  <c r="I36" i="77"/>
  <c r="H36" i="77"/>
  <c r="G36" i="77"/>
  <c r="F36" i="77"/>
  <c r="E36" i="77"/>
  <c r="D36" i="77"/>
  <c r="C36" i="77"/>
  <c r="M36" i="110"/>
  <c r="L36" i="110"/>
  <c r="L29" i="110" s="1"/>
  <c r="K36" i="110"/>
  <c r="K29" i="110" s="1"/>
  <c r="J36" i="110"/>
  <c r="J29" i="110" s="1"/>
  <c r="I36" i="110"/>
  <c r="I29" i="110" s="1"/>
  <c r="F36" i="110"/>
  <c r="F29" i="110" s="1"/>
  <c r="D36" i="110"/>
  <c r="D29" i="110" s="1"/>
  <c r="C36" i="110"/>
  <c r="C29" i="110" s="1"/>
  <c r="N36" i="122"/>
  <c r="N29" i="122" s="1"/>
  <c r="L36" i="122"/>
  <c r="L29" i="122" s="1"/>
  <c r="K36" i="122"/>
  <c r="K29" i="122" s="1"/>
  <c r="J36" i="122"/>
  <c r="J29" i="122" s="1"/>
  <c r="I36" i="122"/>
  <c r="I29" i="122" s="1"/>
  <c r="H36" i="122"/>
  <c r="H29" i="122" s="1"/>
  <c r="G36" i="122"/>
  <c r="G29" i="122" s="1"/>
  <c r="F36" i="122"/>
  <c r="F29" i="122" s="1"/>
  <c r="E36" i="122"/>
  <c r="E29" i="122" s="1"/>
  <c r="D36" i="122"/>
  <c r="D29" i="122" s="1"/>
  <c r="C36" i="122"/>
  <c r="C29" i="122" s="1"/>
  <c r="L36" i="125"/>
  <c r="L29" i="125" s="1"/>
  <c r="K36" i="125"/>
  <c r="K29" i="125" s="1"/>
  <c r="J36" i="125"/>
  <c r="J29" i="125" s="1"/>
  <c r="H36" i="125"/>
  <c r="H29" i="125" s="1"/>
  <c r="F36" i="125"/>
  <c r="F29" i="125" s="1"/>
  <c r="D36" i="125"/>
  <c r="J36" i="5"/>
  <c r="H36" i="5"/>
  <c r="K36" i="6"/>
  <c r="C36" i="7"/>
  <c r="N36" i="107"/>
  <c r="M36" i="107"/>
  <c r="H36" i="107"/>
  <c r="F36" i="107"/>
  <c r="G36" i="130"/>
  <c r="D36" i="130"/>
  <c r="N36" i="120"/>
  <c r="M36" i="5" l="1"/>
  <c r="D29" i="125"/>
  <c r="M36" i="125"/>
  <c r="K36" i="61"/>
  <c r="J36" i="61"/>
  <c r="P36" i="120"/>
  <c r="N29" i="120"/>
  <c r="M29" i="102"/>
  <c r="U29" i="15"/>
  <c r="P29" i="13"/>
  <c r="R29" i="18"/>
  <c r="K29" i="12"/>
  <c r="Q29" i="105"/>
  <c r="G36" i="6"/>
  <c r="S36" i="75"/>
  <c r="E37" i="8"/>
  <c r="E36" i="6"/>
  <c r="S29" i="15"/>
  <c r="S36" i="74"/>
  <c r="G36" i="9"/>
  <c r="M29" i="11"/>
  <c r="L36" i="9"/>
  <c r="P29" i="18"/>
  <c r="Q29" i="106"/>
  <c r="O29" i="13"/>
  <c r="N29" i="11"/>
  <c r="R29" i="105"/>
  <c r="Q29" i="18"/>
  <c r="T29" i="15"/>
  <c r="R29" i="106"/>
  <c r="R29" i="15"/>
  <c r="O29" i="14"/>
  <c r="S29" i="64"/>
  <c r="R29" i="64"/>
  <c r="V29" i="15"/>
  <c r="N29" i="102"/>
  <c r="G36" i="7"/>
  <c r="N29" i="10"/>
  <c r="P29" i="14"/>
  <c r="M36" i="9"/>
  <c r="M36" i="122"/>
  <c r="M29" i="122" s="1"/>
  <c r="O36" i="9"/>
  <c r="H36" i="130"/>
  <c r="Q36" i="106"/>
  <c r="R36" i="74"/>
  <c r="E36" i="9"/>
  <c r="V36" i="15"/>
  <c r="P36" i="13"/>
  <c r="I36" i="78"/>
  <c r="R36" i="75"/>
  <c r="F36" i="9"/>
  <c r="R36" i="105"/>
  <c r="Q36" i="105"/>
  <c r="S36" i="15"/>
  <c r="M36" i="102"/>
  <c r="C36" i="9"/>
  <c r="J36" i="9"/>
  <c r="O36" i="13"/>
  <c r="Q36" i="75"/>
  <c r="R36" i="17"/>
  <c r="H36" i="7"/>
  <c r="R36" i="18"/>
  <c r="L36" i="12"/>
  <c r="M29" i="125"/>
  <c r="P36" i="17"/>
  <c r="I36" i="73"/>
  <c r="P36" i="18"/>
  <c r="N36" i="102"/>
  <c r="N36" i="9"/>
  <c r="I36" i="65"/>
  <c r="U36" i="15"/>
  <c r="O36" i="14"/>
  <c r="Q36" i="73"/>
  <c r="O36" i="120"/>
  <c r="S36" i="77"/>
  <c r="Q36" i="78"/>
  <c r="R36" i="77"/>
  <c r="Q36" i="74"/>
  <c r="Q36" i="18"/>
  <c r="Q36" i="17"/>
  <c r="S36" i="72"/>
  <c r="S36" i="106"/>
  <c r="R36" i="106"/>
  <c r="S36" i="105"/>
  <c r="O36" i="10"/>
  <c r="P36" i="14"/>
  <c r="N36" i="11"/>
  <c r="Q36" i="65"/>
  <c r="R36" i="15"/>
  <c r="N36" i="10"/>
  <c r="S36" i="64"/>
  <c r="K36" i="12"/>
  <c r="F36" i="6"/>
  <c r="K36" i="9"/>
  <c r="T36" i="15"/>
  <c r="I36" i="9"/>
  <c r="S29" i="9" s="1"/>
  <c r="K36" i="5"/>
  <c r="F36" i="7"/>
  <c r="D36" i="9"/>
  <c r="H36" i="9"/>
  <c r="R36" i="72"/>
  <c r="R36" i="64"/>
  <c r="J36" i="12"/>
  <c r="M36" i="11"/>
  <c r="H35" i="128"/>
  <c r="F34" i="93"/>
  <c r="O36" i="125" l="1"/>
  <c r="R29" i="9"/>
  <c r="S36" i="73"/>
  <c r="R36" i="73"/>
  <c r="I37" i="8"/>
  <c r="R36" i="65"/>
  <c r="R29" i="65"/>
  <c r="L36" i="5"/>
  <c r="J37" i="8"/>
  <c r="P29" i="9"/>
  <c r="H37" i="8"/>
  <c r="D36" i="7"/>
  <c r="E36" i="7" s="1"/>
  <c r="S36" i="65"/>
  <c r="S29" i="65"/>
  <c r="S36" i="78"/>
  <c r="R36" i="78"/>
  <c r="Q29" i="9"/>
  <c r="Q36" i="9"/>
  <c r="R36" i="9"/>
  <c r="P36" i="9"/>
  <c r="S36" i="9"/>
  <c r="I36" i="7"/>
  <c r="G28" i="107"/>
  <c r="D28" i="107"/>
  <c r="N28" i="119"/>
  <c r="H28" i="119"/>
  <c r="J28" i="119"/>
  <c r="G37" i="8" l="1"/>
  <c r="C36" i="6"/>
  <c r="K37" i="8"/>
  <c r="M37" i="8" s="1"/>
  <c r="F37" i="8"/>
  <c r="L29" i="7"/>
  <c r="L36" i="7"/>
  <c r="K36" i="7"/>
  <c r="J35" i="125"/>
  <c r="G35" i="125"/>
  <c r="F35" i="125"/>
  <c r="L37" i="8" l="1"/>
  <c r="H36" i="6"/>
  <c r="H29" i="6"/>
  <c r="K29" i="7"/>
  <c r="Q35" i="77"/>
  <c r="F35" i="78"/>
  <c r="D35" i="78"/>
  <c r="J35" i="78"/>
  <c r="I35" i="74"/>
  <c r="N35" i="74"/>
  <c r="O35" i="74"/>
  <c r="N35" i="75"/>
  <c r="O35" i="75"/>
  <c r="Q35" i="72"/>
  <c r="J35" i="73"/>
  <c r="K35" i="73"/>
  <c r="N35" i="18"/>
  <c r="K35" i="106"/>
  <c r="N35" i="106"/>
  <c r="H35" i="105"/>
  <c r="Q35" i="64"/>
  <c r="D35" i="64"/>
  <c r="J35" i="64"/>
  <c r="J35" i="65"/>
  <c r="C35" i="65"/>
  <c r="G35" i="102"/>
  <c r="Q35" i="15"/>
  <c r="N35" i="14"/>
  <c r="K35" i="14"/>
  <c r="L35" i="14"/>
  <c r="I35" i="14"/>
  <c r="H35" i="14"/>
  <c r="N35" i="13"/>
  <c r="D35" i="13"/>
  <c r="G35" i="12"/>
  <c r="E35" i="11"/>
  <c r="J35" i="10"/>
  <c r="L36" i="6" l="1"/>
  <c r="I36" i="6"/>
  <c r="L29" i="6"/>
  <c r="I29" i="6"/>
  <c r="M29" i="6" s="1"/>
  <c r="H35" i="80"/>
  <c r="H28" i="80" s="1"/>
  <c r="D32" i="63"/>
  <c r="L35" i="10"/>
  <c r="L28" i="10" s="1"/>
  <c r="D103" i="63"/>
  <c r="D102" i="63"/>
  <c r="D100" i="63"/>
  <c r="D99" i="63"/>
  <c r="D98" i="63"/>
  <c r="D97" i="63"/>
  <c r="D25" i="63"/>
  <c r="D26" i="63" s="1"/>
  <c r="D95" i="63"/>
  <c r="D94" i="63"/>
  <c r="D51" i="63"/>
  <c r="D50" i="63"/>
  <c r="L35" i="125"/>
  <c r="I35" i="110"/>
  <c r="D35" i="77"/>
  <c r="D28" i="77" s="1"/>
  <c r="O35" i="78"/>
  <c r="O28" i="78" s="1"/>
  <c r="F28" i="78"/>
  <c r="I28" i="74"/>
  <c r="H35" i="75"/>
  <c r="H28" i="75" s="1"/>
  <c r="M35" i="72"/>
  <c r="M28" i="72" s="1"/>
  <c r="O35" i="73"/>
  <c r="O28" i="73" s="1"/>
  <c r="M35" i="18"/>
  <c r="M28" i="18" s="1"/>
  <c r="K35" i="18"/>
  <c r="K28" i="18" s="1"/>
  <c r="H35" i="17"/>
  <c r="H28" i="17" s="1"/>
  <c r="J35" i="106"/>
  <c r="J28" i="106" s="1"/>
  <c r="G35" i="105"/>
  <c r="G28" i="105" s="1"/>
  <c r="O35" i="64"/>
  <c r="O28" i="64" s="1"/>
  <c r="J28" i="64"/>
  <c r="H35" i="64"/>
  <c r="H28" i="64" s="1"/>
  <c r="N35" i="65"/>
  <c r="N28" i="65" s="1"/>
  <c r="N35" i="15"/>
  <c r="N28" i="15" s="1"/>
  <c r="N28" i="14"/>
  <c r="J35" i="14"/>
  <c r="J28" i="14" s="1"/>
  <c r="N28" i="13"/>
  <c r="J35" i="13"/>
  <c r="J28" i="13" s="1"/>
  <c r="I35" i="12"/>
  <c r="I28" i="12" s="1"/>
  <c r="G28" i="12"/>
  <c r="C35" i="12"/>
  <c r="C28" i="12" s="1"/>
  <c r="K35" i="11"/>
  <c r="K28" i="11" s="1"/>
  <c r="J35" i="11"/>
  <c r="J28" i="11" s="1"/>
  <c r="M28" i="119"/>
  <c r="L28" i="119"/>
  <c r="K28" i="119"/>
  <c r="I28" i="119"/>
  <c r="G28" i="119"/>
  <c r="F28" i="119"/>
  <c r="E28" i="119"/>
  <c r="D28" i="119"/>
  <c r="C28" i="119"/>
  <c r="K28" i="107"/>
  <c r="J28" i="107"/>
  <c r="I28" i="107"/>
  <c r="E28" i="107"/>
  <c r="C28" i="107"/>
  <c r="F28" i="90"/>
  <c r="E28" i="90"/>
  <c r="D28" i="90"/>
  <c r="M28" i="120"/>
  <c r="L28" i="120"/>
  <c r="K28" i="120"/>
  <c r="J28" i="120"/>
  <c r="I28" i="120"/>
  <c r="G28" i="120"/>
  <c r="F28" i="120"/>
  <c r="E28" i="120"/>
  <c r="D28" i="120"/>
  <c r="C28" i="120"/>
  <c r="I28" i="5"/>
  <c r="G28" i="5"/>
  <c r="F28" i="5"/>
  <c r="E28" i="5"/>
  <c r="D28" i="5"/>
  <c r="C28" i="5"/>
  <c r="L28" i="79"/>
  <c r="K28" i="79"/>
  <c r="J28" i="79"/>
  <c r="I28" i="79"/>
  <c r="H28" i="79"/>
  <c r="G28" i="79"/>
  <c r="F28" i="79"/>
  <c r="E28" i="79"/>
  <c r="D28" i="79"/>
  <c r="C28" i="79"/>
  <c r="Q28" i="80"/>
  <c r="L28" i="14"/>
  <c r="H28" i="105"/>
  <c r="N28" i="18"/>
  <c r="J28" i="73"/>
  <c r="O28" i="75"/>
  <c r="N28" i="74"/>
  <c r="F28" i="130"/>
  <c r="E28" i="130"/>
  <c r="C28" i="130"/>
  <c r="I28" i="90"/>
  <c r="H28" i="90"/>
  <c r="C28" i="90"/>
  <c r="J28" i="121"/>
  <c r="I28" i="121"/>
  <c r="H28" i="121"/>
  <c r="G28" i="121"/>
  <c r="F28" i="121"/>
  <c r="E28" i="121"/>
  <c r="D28" i="121"/>
  <c r="C28" i="121"/>
  <c r="S35" i="80"/>
  <c r="S28" i="80" s="1"/>
  <c r="R35" i="80"/>
  <c r="R28" i="80" s="1"/>
  <c r="P35" i="80"/>
  <c r="P28" i="80" s="1"/>
  <c r="O35" i="80"/>
  <c r="O28" i="80" s="1"/>
  <c r="N35" i="80"/>
  <c r="N28" i="80" s="1"/>
  <c r="M35" i="80"/>
  <c r="M28" i="80" s="1"/>
  <c r="L35" i="80"/>
  <c r="L28" i="80" s="1"/>
  <c r="K35" i="80"/>
  <c r="D54" i="63" s="1"/>
  <c r="J35" i="80"/>
  <c r="J28" i="80" s="1"/>
  <c r="I35" i="80"/>
  <c r="I28" i="80" s="1"/>
  <c r="G35" i="80"/>
  <c r="G28" i="80" s="1"/>
  <c r="F35" i="80"/>
  <c r="F28" i="80" s="1"/>
  <c r="E35" i="80"/>
  <c r="E28" i="80" s="1"/>
  <c r="D35" i="80"/>
  <c r="D28" i="80" s="1"/>
  <c r="C35" i="80"/>
  <c r="C28" i="80" s="1"/>
  <c r="S35" i="128"/>
  <c r="S28" i="128" s="1"/>
  <c r="R35" i="128"/>
  <c r="R28" i="128" s="1"/>
  <c r="Q35" i="128"/>
  <c r="Q28" i="128" s="1"/>
  <c r="P35" i="128"/>
  <c r="P28" i="128" s="1"/>
  <c r="O35" i="128"/>
  <c r="O28" i="128" s="1"/>
  <c r="N35" i="128"/>
  <c r="N28" i="128" s="1"/>
  <c r="M35" i="128"/>
  <c r="M28" i="128" s="1"/>
  <c r="L35" i="128"/>
  <c r="L28" i="128" s="1"/>
  <c r="K35" i="128"/>
  <c r="K28" i="128" s="1"/>
  <c r="J35" i="128"/>
  <c r="J28" i="128" s="1"/>
  <c r="I35" i="128"/>
  <c r="I28" i="128" s="1"/>
  <c r="H28" i="128"/>
  <c r="G35" i="128"/>
  <c r="G28" i="128" s="1"/>
  <c r="F35" i="128"/>
  <c r="F28" i="128" s="1"/>
  <c r="E35" i="128"/>
  <c r="E28" i="128" s="1"/>
  <c r="D35" i="128"/>
  <c r="D28" i="128" s="1"/>
  <c r="C35" i="128"/>
  <c r="C28" i="128" s="1"/>
  <c r="M35" i="10"/>
  <c r="M28" i="10" s="1"/>
  <c r="K35" i="10"/>
  <c r="K28" i="10" s="1"/>
  <c r="J28" i="10"/>
  <c r="I35" i="10"/>
  <c r="H35" i="10"/>
  <c r="H28" i="10" s="1"/>
  <c r="G35" i="10"/>
  <c r="F35" i="10"/>
  <c r="E35" i="10"/>
  <c r="E28" i="10" s="1"/>
  <c r="D35" i="10"/>
  <c r="C35" i="10"/>
  <c r="L35" i="11"/>
  <c r="L28" i="11" s="1"/>
  <c r="I35" i="11"/>
  <c r="I28" i="11" s="1"/>
  <c r="H35" i="11"/>
  <c r="H28" i="11" s="1"/>
  <c r="G35" i="11"/>
  <c r="G28" i="11" s="1"/>
  <c r="F35" i="11"/>
  <c r="F28" i="11" s="1"/>
  <c r="E28" i="11"/>
  <c r="D35" i="11"/>
  <c r="D28" i="11" s="1"/>
  <c r="C35" i="11"/>
  <c r="H35" i="12"/>
  <c r="H28" i="12" s="1"/>
  <c r="F35" i="12"/>
  <c r="F28" i="12" s="1"/>
  <c r="E35" i="12"/>
  <c r="E28" i="12" s="1"/>
  <c r="D35" i="12"/>
  <c r="D28" i="12" s="1"/>
  <c r="M35" i="13"/>
  <c r="M28" i="13" s="1"/>
  <c r="L35" i="13"/>
  <c r="L28" i="13" s="1"/>
  <c r="K35" i="13"/>
  <c r="K28" i="13" s="1"/>
  <c r="I35" i="13"/>
  <c r="I28" i="13" s="1"/>
  <c r="H35" i="13"/>
  <c r="H28" i="13" s="1"/>
  <c r="G35" i="13"/>
  <c r="G28" i="13" s="1"/>
  <c r="F35" i="13"/>
  <c r="F28" i="13" s="1"/>
  <c r="E35" i="13"/>
  <c r="E28" i="13" s="1"/>
  <c r="D28" i="13"/>
  <c r="C35" i="13"/>
  <c r="C28" i="13" s="1"/>
  <c r="M35" i="14"/>
  <c r="M28" i="14" s="1"/>
  <c r="K28" i="14"/>
  <c r="I28" i="14"/>
  <c r="H28" i="14"/>
  <c r="G35" i="14"/>
  <c r="G28" i="14" s="1"/>
  <c r="F35" i="14"/>
  <c r="F28" i="14" s="1"/>
  <c r="E35" i="14"/>
  <c r="E28" i="14" s="1"/>
  <c r="D35" i="14"/>
  <c r="D28" i="14" s="1"/>
  <c r="C35" i="14"/>
  <c r="C28" i="14" s="1"/>
  <c r="Q28" i="15"/>
  <c r="P35" i="15"/>
  <c r="P28" i="15" s="1"/>
  <c r="O35" i="15"/>
  <c r="O28" i="15" s="1"/>
  <c r="M35" i="15"/>
  <c r="M28" i="15" s="1"/>
  <c r="L35" i="15"/>
  <c r="L28" i="15" s="1"/>
  <c r="K35" i="15"/>
  <c r="K28" i="15" s="1"/>
  <c r="J35" i="15"/>
  <c r="J28" i="15" s="1"/>
  <c r="I35" i="15"/>
  <c r="I28" i="15" s="1"/>
  <c r="H35" i="15"/>
  <c r="G35" i="15"/>
  <c r="G28" i="15" s="1"/>
  <c r="F35" i="15"/>
  <c r="F28" i="15" s="1"/>
  <c r="E35" i="15"/>
  <c r="E28" i="15" s="1"/>
  <c r="D35" i="15"/>
  <c r="D28" i="15" s="1"/>
  <c r="C35" i="15"/>
  <c r="C28" i="15" s="1"/>
  <c r="L35" i="102"/>
  <c r="D38" i="63" s="1"/>
  <c r="D39" i="63" s="1"/>
  <c r="K35" i="102"/>
  <c r="K28" i="102" s="1"/>
  <c r="J35" i="102"/>
  <c r="J28" i="102" s="1"/>
  <c r="I35" i="102"/>
  <c r="I28" i="102" s="1"/>
  <c r="H35" i="102"/>
  <c r="H28" i="102" s="1"/>
  <c r="G28" i="102"/>
  <c r="F35" i="102"/>
  <c r="F28" i="102" s="1"/>
  <c r="E35" i="102"/>
  <c r="E28" i="102" s="1"/>
  <c r="D35" i="102"/>
  <c r="D28" i="102" s="1"/>
  <c r="C35" i="102"/>
  <c r="C28" i="102" s="1"/>
  <c r="P35" i="65"/>
  <c r="P28" i="65" s="1"/>
  <c r="O35" i="65"/>
  <c r="O28" i="65" s="1"/>
  <c r="M35" i="65"/>
  <c r="M28" i="65" s="1"/>
  <c r="L35" i="65"/>
  <c r="L28" i="65" s="1"/>
  <c r="K35" i="65"/>
  <c r="K28" i="65" s="1"/>
  <c r="J28" i="65"/>
  <c r="H35" i="65"/>
  <c r="H28" i="65" s="1"/>
  <c r="G35" i="65"/>
  <c r="G28" i="65" s="1"/>
  <c r="F35" i="65"/>
  <c r="F28" i="65" s="1"/>
  <c r="E35" i="65"/>
  <c r="E28" i="65" s="1"/>
  <c r="D35" i="65"/>
  <c r="D28" i="65" s="1"/>
  <c r="C28" i="65"/>
  <c r="Q28" i="64"/>
  <c r="P35" i="64"/>
  <c r="P28" i="64" s="1"/>
  <c r="N35" i="64"/>
  <c r="N28" i="64" s="1"/>
  <c r="M35" i="64"/>
  <c r="M28" i="64" s="1"/>
  <c r="L35" i="64"/>
  <c r="L28" i="64" s="1"/>
  <c r="K35" i="64"/>
  <c r="K28" i="64" s="1"/>
  <c r="I35" i="64"/>
  <c r="I28" i="64" s="1"/>
  <c r="G35" i="64"/>
  <c r="G28" i="64" s="1"/>
  <c r="F35" i="64"/>
  <c r="F28" i="64" s="1"/>
  <c r="E35" i="64"/>
  <c r="E28" i="64" s="1"/>
  <c r="D28" i="64"/>
  <c r="C35" i="64"/>
  <c r="C28" i="64" s="1"/>
  <c r="I35" i="61"/>
  <c r="I28" i="61" s="1"/>
  <c r="H35" i="61"/>
  <c r="H28" i="61" s="1"/>
  <c r="G35" i="61"/>
  <c r="G28" i="61" s="1"/>
  <c r="F35" i="61"/>
  <c r="F28" i="61" s="1"/>
  <c r="E35" i="61"/>
  <c r="E28" i="61" s="1"/>
  <c r="D35" i="61"/>
  <c r="D28" i="61" s="1"/>
  <c r="C35" i="61"/>
  <c r="C28" i="61" s="1"/>
  <c r="P35" i="105"/>
  <c r="P28" i="105" s="1"/>
  <c r="O35" i="105"/>
  <c r="O28" i="105" s="1"/>
  <c r="N35" i="105"/>
  <c r="N28" i="105" s="1"/>
  <c r="M35" i="105"/>
  <c r="M28" i="105" s="1"/>
  <c r="L35" i="105"/>
  <c r="L28" i="105" s="1"/>
  <c r="K35" i="105"/>
  <c r="K28" i="105" s="1"/>
  <c r="J35" i="105"/>
  <c r="J28" i="105" s="1"/>
  <c r="I35" i="105"/>
  <c r="I28" i="105" s="1"/>
  <c r="F35" i="105"/>
  <c r="F28" i="105" s="1"/>
  <c r="E35" i="105"/>
  <c r="E28" i="105" s="1"/>
  <c r="D35" i="105"/>
  <c r="D28" i="105" s="1"/>
  <c r="C35" i="105"/>
  <c r="C28" i="105" s="1"/>
  <c r="P35" i="106"/>
  <c r="P28" i="106" s="1"/>
  <c r="O35" i="106"/>
  <c r="O28" i="106" s="1"/>
  <c r="N28" i="106"/>
  <c r="M35" i="106"/>
  <c r="M28" i="106" s="1"/>
  <c r="L35" i="106"/>
  <c r="L28" i="106" s="1"/>
  <c r="K28" i="106"/>
  <c r="I35" i="106"/>
  <c r="I28" i="106" s="1"/>
  <c r="H35" i="106"/>
  <c r="H28" i="106" s="1"/>
  <c r="G35" i="106"/>
  <c r="G28" i="106" s="1"/>
  <c r="F35" i="106"/>
  <c r="F28" i="106" s="1"/>
  <c r="E35" i="106"/>
  <c r="E28" i="106" s="1"/>
  <c r="D35" i="106"/>
  <c r="D28" i="106" s="1"/>
  <c r="C35" i="106"/>
  <c r="C28" i="106" s="1"/>
  <c r="O35" i="17"/>
  <c r="O28" i="17" s="1"/>
  <c r="N35" i="17"/>
  <c r="N28" i="17" s="1"/>
  <c r="M35" i="17"/>
  <c r="M28" i="17" s="1"/>
  <c r="L35" i="17"/>
  <c r="L28" i="17" s="1"/>
  <c r="K35" i="17"/>
  <c r="K28" i="17" s="1"/>
  <c r="J35" i="17"/>
  <c r="J28" i="17" s="1"/>
  <c r="I35" i="17"/>
  <c r="I28" i="17" s="1"/>
  <c r="G35" i="17"/>
  <c r="G28" i="17" s="1"/>
  <c r="F35" i="17"/>
  <c r="F28" i="17" s="1"/>
  <c r="E35" i="17"/>
  <c r="E28" i="17" s="1"/>
  <c r="D35" i="17"/>
  <c r="D28" i="17" s="1"/>
  <c r="C35" i="17"/>
  <c r="O35" i="18"/>
  <c r="O28" i="18" s="1"/>
  <c r="L35" i="18"/>
  <c r="L28" i="18" s="1"/>
  <c r="J35" i="18"/>
  <c r="J28" i="18" s="1"/>
  <c r="I35" i="18"/>
  <c r="I28" i="18" s="1"/>
  <c r="H35" i="18"/>
  <c r="H28" i="18" s="1"/>
  <c r="G35" i="18"/>
  <c r="G28" i="18" s="1"/>
  <c r="F35" i="18"/>
  <c r="F28" i="18" s="1"/>
  <c r="E35" i="18"/>
  <c r="E28" i="18" s="1"/>
  <c r="D35" i="18"/>
  <c r="D28" i="18" s="1"/>
  <c r="C35" i="18"/>
  <c r="C28" i="18" s="1"/>
  <c r="P35" i="73"/>
  <c r="P28" i="73" s="1"/>
  <c r="N35" i="73"/>
  <c r="N28" i="73" s="1"/>
  <c r="M35" i="73"/>
  <c r="M28" i="73" s="1"/>
  <c r="L35" i="73"/>
  <c r="L28" i="73" s="1"/>
  <c r="K28" i="73"/>
  <c r="H35" i="73"/>
  <c r="H28" i="73" s="1"/>
  <c r="G35" i="73"/>
  <c r="G28" i="73" s="1"/>
  <c r="F35" i="73"/>
  <c r="F28" i="73" s="1"/>
  <c r="E35" i="73"/>
  <c r="E28" i="73" s="1"/>
  <c r="D35" i="73"/>
  <c r="D28" i="73" s="1"/>
  <c r="C35" i="73"/>
  <c r="C28" i="73" s="1"/>
  <c r="Q28" i="72"/>
  <c r="P35" i="72"/>
  <c r="P28" i="72" s="1"/>
  <c r="O35" i="72"/>
  <c r="O28" i="72" s="1"/>
  <c r="N35" i="72"/>
  <c r="N28" i="72" s="1"/>
  <c r="L35" i="72"/>
  <c r="L28" i="72" s="1"/>
  <c r="K35" i="72"/>
  <c r="K28" i="72" s="1"/>
  <c r="J35" i="72"/>
  <c r="J28" i="72" s="1"/>
  <c r="I35" i="72"/>
  <c r="I28" i="72" s="1"/>
  <c r="H35" i="72"/>
  <c r="H28" i="72" s="1"/>
  <c r="G35" i="72"/>
  <c r="G28" i="72" s="1"/>
  <c r="F35" i="72"/>
  <c r="F28" i="72" s="1"/>
  <c r="E35" i="72"/>
  <c r="E28" i="72" s="1"/>
  <c r="D35" i="72"/>
  <c r="D28" i="72" s="1"/>
  <c r="C35" i="72"/>
  <c r="C28" i="72" s="1"/>
  <c r="P35" i="75"/>
  <c r="P28" i="75" s="1"/>
  <c r="M35" i="75"/>
  <c r="M28" i="75" s="1"/>
  <c r="L35" i="75"/>
  <c r="L28" i="75" s="1"/>
  <c r="K35" i="75"/>
  <c r="K28" i="75" s="1"/>
  <c r="J35" i="75"/>
  <c r="J28" i="75" s="1"/>
  <c r="I35" i="75"/>
  <c r="I28" i="75" s="1"/>
  <c r="G35" i="75"/>
  <c r="G28" i="75" s="1"/>
  <c r="F35" i="75"/>
  <c r="F28" i="75" s="1"/>
  <c r="E35" i="75"/>
  <c r="E28" i="75" s="1"/>
  <c r="D35" i="75"/>
  <c r="D28" i="75" s="1"/>
  <c r="C35" i="75"/>
  <c r="C28" i="75" s="1"/>
  <c r="P35" i="74"/>
  <c r="P28" i="74" s="1"/>
  <c r="O28" i="74"/>
  <c r="M35" i="74"/>
  <c r="M28" i="74" s="1"/>
  <c r="L35" i="74"/>
  <c r="L28" i="74" s="1"/>
  <c r="K35" i="74"/>
  <c r="K28" i="74" s="1"/>
  <c r="J35" i="74"/>
  <c r="J28" i="74" s="1"/>
  <c r="H35" i="74"/>
  <c r="G35" i="74"/>
  <c r="G28" i="74" s="1"/>
  <c r="F35" i="74"/>
  <c r="F28" i="74" s="1"/>
  <c r="E35" i="74"/>
  <c r="E28" i="74" s="1"/>
  <c r="D35" i="74"/>
  <c r="D28" i="74" s="1"/>
  <c r="C35" i="74"/>
  <c r="C28" i="74" s="1"/>
  <c r="P35" i="78"/>
  <c r="P28" i="78" s="1"/>
  <c r="N35" i="78"/>
  <c r="N28" i="78" s="1"/>
  <c r="M35" i="78"/>
  <c r="M28" i="78" s="1"/>
  <c r="L35" i="78"/>
  <c r="L28" i="78" s="1"/>
  <c r="K35" i="78"/>
  <c r="K28" i="78" s="1"/>
  <c r="J28" i="78"/>
  <c r="H35" i="78"/>
  <c r="H28" i="78" s="1"/>
  <c r="G35" i="78"/>
  <c r="G28" i="78" s="1"/>
  <c r="E35" i="78"/>
  <c r="E28" i="78" s="1"/>
  <c r="D28" i="78"/>
  <c r="C35" i="78"/>
  <c r="C28" i="78" s="1"/>
  <c r="Q28" i="77"/>
  <c r="P35" i="77"/>
  <c r="P28" i="77" s="1"/>
  <c r="O35" i="77"/>
  <c r="O28" i="77" s="1"/>
  <c r="N35" i="77"/>
  <c r="N28" i="77" s="1"/>
  <c r="M35" i="77"/>
  <c r="M28" i="77" s="1"/>
  <c r="L35" i="77"/>
  <c r="L28" i="77" s="1"/>
  <c r="K35" i="77"/>
  <c r="K28" i="77" s="1"/>
  <c r="J35" i="77"/>
  <c r="J28" i="77" s="1"/>
  <c r="I35" i="77"/>
  <c r="I28" i="77" s="1"/>
  <c r="H35" i="77"/>
  <c r="H28" i="77" s="1"/>
  <c r="G35" i="77"/>
  <c r="G28" i="77" s="1"/>
  <c r="F35" i="77"/>
  <c r="F28" i="77" s="1"/>
  <c r="E35" i="77"/>
  <c r="E28" i="77" s="1"/>
  <c r="C35" i="77"/>
  <c r="C28" i="77" s="1"/>
  <c r="N35" i="122"/>
  <c r="L35" i="122"/>
  <c r="K35" i="122"/>
  <c r="J35" i="122"/>
  <c r="I35" i="122"/>
  <c r="H35" i="122"/>
  <c r="G35" i="122"/>
  <c r="F35" i="122"/>
  <c r="E35" i="122"/>
  <c r="D35" i="122"/>
  <c r="C35" i="122"/>
  <c r="N35" i="125"/>
  <c r="K35" i="125"/>
  <c r="H35" i="125"/>
  <c r="E35" i="125"/>
  <c r="D35" i="125"/>
  <c r="C35" i="125"/>
  <c r="M35" i="110"/>
  <c r="M28" i="110" s="1"/>
  <c r="L35" i="110"/>
  <c r="K35" i="110"/>
  <c r="J35" i="110"/>
  <c r="H35" i="110"/>
  <c r="F35" i="110"/>
  <c r="D35" i="110"/>
  <c r="C35" i="110"/>
  <c r="J35" i="5"/>
  <c r="M35" i="5" s="1"/>
  <c r="H35" i="5"/>
  <c r="H28" i="5" s="1"/>
  <c r="K35" i="6"/>
  <c r="K28" i="6" s="1"/>
  <c r="C35" i="7"/>
  <c r="E36" i="8" s="1"/>
  <c r="M35" i="107"/>
  <c r="N35" i="107"/>
  <c r="H35" i="107"/>
  <c r="F35" i="107"/>
  <c r="G35" i="130"/>
  <c r="G28" i="130" s="1"/>
  <c r="D35" i="130"/>
  <c r="D28" i="130" s="1"/>
  <c r="N35" i="120"/>
  <c r="O35" i="120" s="1"/>
  <c r="I34" i="110"/>
  <c r="L34" i="125"/>
  <c r="G34" i="125"/>
  <c r="H33" i="125"/>
  <c r="H34" i="125"/>
  <c r="P35" i="125" l="1"/>
  <c r="H28" i="125"/>
  <c r="J35" i="61"/>
  <c r="J28" i="61" s="1"/>
  <c r="K35" i="61"/>
  <c r="K28" i="61" s="1"/>
  <c r="D105" i="63"/>
  <c r="E104" i="63"/>
  <c r="M36" i="6"/>
  <c r="J36" i="6"/>
  <c r="C28" i="10"/>
  <c r="C35" i="9"/>
  <c r="C28" i="9" s="1"/>
  <c r="G28" i="10"/>
  <c r="E35" i="9"/>
  <c r="E28" i="9" s="1"/>
  <c r="C28" i="11"/>
  <c r="J35" i="9"/>
  <c r="J28" i="9" s="1"/>
  <c r="D21" i="63"/>
  <c r="D22" i="63" s="1"/>
  <c r="I28" i="10"/>
  <c r="F35" i="9"/>
  <c r="F28" i="9" s="1"/>
  <c r="I35" i="65"/>
  <c r="R35" i="75"/>
  <c r="Q35" i="73"/>
  <c r="Q28" i="73" s="1"/>
  <c r="O35" i="9"/>
  <c r="O28" i="9" s="1"/>
  <c r="U35" i="15"/>
  <c r="L35" i="9"/>
  <c r="L28" i="9" s="1"/>
  <c r="D35" i="9"/>
  <c r="D28" i="9" s="1"/>
  <c r="F35" i="6"/>
  <c r="F28" i="6" s="1"/>
  <c r="K35" i="9"/>
  <c r="K28" i="9" s="1"/>
  <c r="D35" i="6"/>
  <c r="D28" i="6" s="1"/>
  <c r="S35" i="106"/>
  <c r="E35" i="6"/>
  <c r="E28" i="6" s="1"/>
  <c r="S35" i="74"/>
  <c r="N28" i="75"/>
  <c r="L28" i="102"/>
  <c r="C39" i="98" s="1"/>
  <c r="E39" i="98" s="1"/>
  <c r="H35" i="7"/>
  <c r="D23" i="63"/>
  <c r="D24" i="63" s="1"/>
  <c r="H28" i="74"/>
  <c r="R35" i="74"/>
  <c r="R35" i="77"/>
  <c r="D9" i="63"/>
  <c r="K28" i="80"/>
  <c r="D53" i="63"/>
  <c r="D55" i="63"/>
  <c r="G35" i="7"/>
  <c r="D28" i="10"/>
  <c r="D36" i="63"/>
  <c r="D37" i="63" s="1"/>
  <c r="F28" i="10"/>
  <c r="H28" i="15"/>
  <c r="R35" i="15"/>
  <c r="N35" i="9"/>
  <c r="N28" i="9" s="1"/>
  <c r="C28" i="17"/>
  <c r="P35" i="120"/>
  <c r="O35" i="10"/>
  <c r="J28" i="5"/>
  <c r="M28" i="5" s="1"/>
  <c r="C28" i="7"/>
  <c r="E29" i="8" s="1"/>
  <c r="H35" i="130"/>
  <c r="H28" i="130" s="1"/>
  <c r="R35" i="18"/>
  <c r="R35" i="106"/>
  <c r="K35" i="12"/>
  <c r="M35" i="122"/>
  <c r="M35" i="125"/>
  <c r="Q35" i="78"/>
  <c r="Q28" i="78" s="1"/>
  <c r="S35" i="77"/>
  <c r="Q35" i="75"/>
  <c r="S35" i="75"/>
  <c r="I35" i="78"/>
  <c r="Q35" i="17"/>
  <c r="H35" i="9"/>
  <c r="H28" i="9" s="1"/>
  <c r="R35" i="17"/>
  <c r="I35" i="9"/>
  <c r="D19" i="63" s="1"/>
  <c r="D20" i="63" s="1"/>
  <c r="P35" i="18"/>
  <c r="S35" i="72"/>
  <c r="P35" i="17"/>
  <c r="I35" i="73"/>
  <c r="Q35" i="18"/>
  <c r="M35" i="9"/>
  <c r="M28" i="9" s="1"/>
  <c r="O35" i="14"/>
  <c r="N35" i="11"/>
  <c r="L35" i="12"/>
  <c r="N35" i="102"/>
  <c r="M35" i="11"/>
  <c r="G35" i="6"/>
  <c r="G28" i="6" s="1"/>
  <c r="T35" i="15"/>
  <c r="O35" i="13"/>
  <c r="V35" i="15"/>
  <c r="P35" i="14"/>
  <c r="P35" i="13"/>
  <c r="N35" i="10"/>
  <c r="S35" i="64"/>
  <c r="J35" i="12"/>
  <c r="D35" i="63" s="1"/>
  <c r="R35" i="105"/>
  <c r="Q35" i="105"/>
  <c r="S35" i="105"/>
  <c r="Q35" i="106"/>
  <c r="G35" i="9"/>
  <c r="M35" i="102"/>
  <c r="R35" i="72"/>
  <c r="S35" i="15"/>
  <c r="Q35" i="74"/>
  <c r="R35" i="64"/>
  <c r="Q35" i="65"/>
  <c r="K35" i="5"/>
  <c r="F35" i="7"/>
  <c r="H28" i="107"/>
  <c r="M28" i="107"/>
  <c r="F28" i="107"/>
  <c r="D34" i="98"/>
  <c r="D31" i="98"/>
  <c r="L34" i="107"/>
  <c r="D34" i="77"/>
  <c r="O34" i="78"/>
  <c r="F34" i="78"/>
  <c r="I34" i="74"/>
  <c r="N34" i="74"/>
  <c r="H34" i="75"/>
  <c r="O34" i="75"/>
  <c r="M34" i="72"/>
  <c r="O34" i="73"/>
  <c r="J34" i="73"/>
  <c r="K34" i="18"/>
  <c r="M34" i="18"/>
  <c r="N34" i="18"/>
  <c r="H34" i="17"/>
  <c r="J34" i="106"/>
  <c r="G34" i="105"/>
  <c r="O34" i="64"/>
  <c r="H34" i="64"/>
  <c r="N34" i="65"/>
  <c r="J34" i="64"/>
  <c r="N34" i="15"/>
  <c r="M34" i="15"/>
  <c r="N34" i="14"/>
  <c r="L34" i="14"/>
  <c r="J34" i="14"/>
  <c r="N34" i="13"/>
  <c r="J34" i="13"/>
  <c r="C34" i="12"/>
  <c r="G34" i="12"/>
  <c r="I34" i="12"/>
  <c r="J34" i="11"/>
  <c r="K34" i="11"/>
  <c r="G32" i="10"/>
  <c r="G33" i="10"/>
  <c r="G34" i="10"/>
  <c r="L34" i="10"/>
  <c r="H34" i="110"/>
  <c r="L28" i="107" l="1"/>
  <c r="N28" i="107" s="1"/>
  <c r="N29" i="107"/>
  <c r="N29" i="6"/>
  <c r="C36" i="8"/>
  <c r="J36" i="7"/>
  <c r="N36" i="6"/>
  <c r="D29" i="63"/>
  <c r="D31" i="63" s="1"/>
  <c r="H28" i="7"/>
  <c r="J29" i="8" s="1"/>
  <c r="J36" i="8"/>
  <c r="G28" i="7"/>
  <c r="I29" i="8" s="1"/>
  <c r="I36" i="8"/>
  <c r="F28" i="7"/>
  <c r="H29" i="8" s="1"/>
  <c r="H36" i="8"/>
  <c r="S35" i="73"/>
  <c r="R35" i="65"/>
  <c r="I28" i="65"/>
  <c r="L35" i="5"/>
  <c r="C35" i="6" s="1"/>
  <c r="K28" i="5"/>
  <c r="D27" i="63"/>
  <c r="D28" i="63" s="1"/>
  <c r="G28" i="9"/>
  <c r="D33" i="63"/>
  <c r="O35" i="125"/>
  <c r="S35" i="78"/>
  <c r="R35" i="78"/>
  <c r="I28" i="78"/>
  <c r="R35" i="73"/>
  <c r="I28" i="73"/>
  <c r="S35" i="65"/>
  <c r="Q28" i="65"/>
  <c r="D35" i="7"/>
  <c r="E35" i="7" s="1"/>
  <c r="G36" i="8" s="1"/>
  <c r="J28" i="12"/>
  <c r="S35" i="9"/>
  <c r="I28" i="9"/>
  <c r="Q35" i="9"/>
  <c r="R35" i="9"/>
  <c r="P35" i="9"/>
  <c r="I35" i="7"/>
  <c r="M36" i="7" l="1"/>
  <c r="M29" i="7"/>
  <c r="D37" i="8"/>
  <c r="D30" i="63"/>
  <c r="D28" i="7"/>
  <c r="F29" i="8" s="1"/>
  <c r="F36" i="8"/>
  <c r="L36" i="8" s="1"/>
  <c r="I28" i="7"/>
  <c r="K29" i="8" s="1"/>
  <c r="M29" i="8" s="1"/>
  <c r="K36" i="8"/>
  <c r="M36" i="8" s="1"/>
  <c r="L28" i="5"/>
  <c r="H35" i="6"/>
  <c r="D11" i="63" s="1"/>
  <c r="E12" i="63" s="1"/>
  <c r="C28" i="6"/>
  <c r="K35" i="7"/>
  <c r="E28" i="7"/>
  <c r="G29" i="8" s="1"/>
  <c r="L35" i="7"/>
  <c r="D38" i="98"/>
  <c r="L29" i="8" l="1"/>
  <c r="L35" i="6"/>
  <c r="I35" i="6"/>
  <c r="D13" i="63" s="1"/>
  <c r="D15" i="63" s="1"/>
  <c r="L34" i="77"/>
  <c r="I34" i="77"/>
  <c r="J34" i="78"/>
  <c r="M34" i="74"/>
  <c r="G34" i="74"/>
  <c r="P34" i="72"/>
  <c r="J34" i="72"/>
  <c r="G34" i="72"/>
  <c r="P34" i="73"/>
  <c r="F34" i="18"/>
  <c r="L34" i="17"/>
  <c r="Q34" i="64"/>
  <c r="P34" i="64"/>
  <c r="J34" i="65"/>
  <c r="C34" i="65"/>
  <c r="E14" i="63" l="1"/>
  <c r="M35" i="6"/>
  <c r="J35" i="6"/>
  <c r="D16" i="63" s="1"/>
  <c r="E17" i="63" s="1"/>
  <c r="I34" i="102"/>
  <c r="D34" i="102"/>
  <c r="L34" i="15"/>
  <c r="F34" i="13"/>
  <c r="J28" i="6" l="1"/>
  <c r="J35" i="7"/>
  <c r="C35" i="8"/>
  <c r="N35" i="6"/>
  <c r="N34" i="122"/>
  <c r="L34" i="122"/>
  <c r="K34" i="122"/>
  <c r="J34" i="122"/>
  <c r="I34" i="122"/>
  <c r="H34" i="122"/>
  <c r="G34" i="122"/>
  <c r="F34" i="122"/>
  <c r="E34" i="122"/>
  <c r="D34" i="122"/>
  <c r="C34" i="122"/>
  <c r="N34" i="125"/>
  <c r="P34" i="125" s="1"/>
  <c r="K34" i="125"/>
  <c r="J34" i="125"/>
  <c r="I34" i="125"/>
  <c r="F34" i="125"/>
  <c r="E34" i="125"/>
  <c r="D34" i="125"/>
  <c r="C34" i="125"/>
  <c r="S34" i="80"/>
  <c r="R34" i="80"/>
  <c r="P34" i="80"/>
  <c r="O34" i="80"/>
  <c r="N34" i="80"/>
  <c r="M34" i="80"/>
  <c r="L34" i="80"/>
  <c r="K34" i="80"/>
  <c r="J34" i="80"/>
  <c r="I34" i="80"/>
  <c r="H34" i="80"/>
  <c r="G34" i="80"/>
  <c r="F34" i="80"/>
  <c r="E34" i="80"/>
  <c r="D34" i="80"/>
  <c r="C34" i="80"/>
  <c r="S34" i="128"/>
  <c r="R34" i="128"/>
  <c r="Q34" i="128"/>
  <c r="P34" i="128"/>
  <c r="O34" i="128"/>
  <c r="N34" i="128"/>
  <c r="M34" i="128"/>
  <c r="L34" i="128"/>
  <c r="K34" i="128"/>
  <c r="J34" i="128"/>
  <c r="I34" i="128"/>
  <c r="H34" i="128"/>
  <c r="G34" i="128"/>
  <c r="F34" i="128"/>
  <c r="E34" i="128"/>
  <c r="D34" i="128"/>
  <c r="C34" i="128"/>
  <c r="M34" i="10"/>
  <c r="K34" i="10"/>
  <c r="J34" i="10"/>
  <c r="I34" i="10"/>
  <c r="H34" i="10"/>
  <c r="F34" i="10"/>
  <c r="G34" i="7" s="1"/>
  <c r="I35" i="8" s="1"/>
  <c r="E34" i="10"/>
  <c r="D34" i="10"/>
  <c r="C34" i="10"/>
  <c r="L34" i="11"/>
  <c r="I34" i="11"/>
  <c r="H34" i="11"/>
  <c r="G34" i="11"/>
  <c r="F34" i="11"/>
  <c r="E34" i="11"/>
  <c r="D34" i="11"/>
  <c r="C34" i="11"/>
  <c r="H34" i="12"/>
  <c r="F34" i="12"/>
  <c r="E34" i="12"/>
  <c r="D34" i="12"/>
  <c r="M34" i="13"/>
  <c r="L34" i="13"/>
  <c r="K34" i="13"/>
  <c r="I34" i="13"/>
  <c r="H34" i="13"/>
  <c r="G34" i="13"/>
  <c r="E34" i="13"/>
  <c r="D34" i="13"/>
  <c r="C34" i="13"/>
  <c r="M34" i="14"/>
  <c r="K34" i="14"/>
  <c r="I34" i="14"/>
  <c r="H34" i="14"/>
  <c r="G34" i="14"/>
  <c r="F34" i="14"/>
  <c r="E34" i="14"/>
  <c r="D34" i="14"/>
  <c r="C34" i="14"/>
  <c r="Q34" i="15"/>
  <c r="P34" i="15"/>
  <c r="O34" i="15"/>
  <c r="K34" i="15"/>
  <c r="J34" i="15"/>
  <c r="I34" i="15"/>
  <c r="H34" i="15"/>
  <c r="G34" i="15"/>
  <c r="F34" i="15"/>
  <c r="E34" i="6" s="1"/>
  <c r="E34" i="15"/>
  <c r="D34" i="6" s="1"/>
  <c r="D34" i="15"/>
  <c r="C34" i="15"/>
  <c r="L34" i="102"/>
  <c r="K34" i="102"/>
  <c r="J34" i="102"/>
  <c r="H34" i="102"/>
  <c r="G34" i="102"/>
  <c r="F34" i="102"/>
  <c r="E34" i="102"/>
  <c r="C34" i="102"/>
  <c r="P34" i="65"/>
  <c r="O34" i="65"/>
  <c r="M34" i="65"/>
  <c r="L34" i="65"/>
  <c r="K34" i="65"/>
  <c r="H34" i="65"/>
  <c r="G34" i="65"/>
  <c r="F34" i="65"/>
  <c r="E34" i="65"/>
  <c r="D34" i="65"/>
  <c r="N34" i="64"/>
  <c r="M34" i="64"/>
  <c r="L34" i="64"/>
  <c r="K34" i="64"/>
  <c r="I34" i="64"/>
  <c r="G34" i="64"/>
  <c r="F34" i="64"/>
  <c r="E34" i="64"/>
  <c r="D34" i="64"/>
  <c r="C34" i="64"/>
  <c r="I34" i="61"/>
  <c r="H34" i="61"/>
  <c r="G34" i="61"/>
  <c r="F34" i="61"/>
  <c r="E34" i="61"/>
  <c r="D34" i="61"/>
  <c r="C34" i="61"/>
  <c r="P34" i="105"/>
  <c r="O34" i="105"/>
  <c r="N34" i="105"/>
  <c r="M34" i="105"/>
  <c r="L34" i="105"/>
  <c r="K34" i="105"/>
  <c r="J34" i="105"/>
  <c r="I34" i="105"/>
  <c r="H34" i="105"/>
  <c r="F34" i="105"/>
  <c r="E34" i="105"/>
  <c r="D34" i="105"/>
  <c r="C34" i="105"/>
  <c r="P34" i="106"/>
  <c r="O34" i="106"/>
  <c r="N34" i="106"/>
  <c r="M34" i="106"/>
  <c r="L34" i="106"/>
  <c r="K34" i="106"/>
  <c r="I34" i="106"/>
  <c r="H34" i="106"/>
  <c r="G34" i="106"/>
  <c r="F34" i="106"/>
  <c r="E34" i="106"/>
  <c r="D34" i="106"/>
  <c r="C34" i="106"/>
  <c r="O34" i="17"/>
  <c r="N34" i="17"/>
  <c r="M34" i="17"/>
  <c r="K34" i="17"/>
  <c r="J34" i="17"/>
  <c r="I34" i="17"/>
  <c r="G34" i="17"/>
  <c r="F34" i="17"/>
  <c r="E34" i="17"/>
  <c r="D34" i="17"/>
  <c r="C34" i="17"/>
  <c r="O34" i="18"/>
  <c r="L34" i="18"/>
  <c r="J34" i="18"/>
  <c r="I34" i="18"/>
  <c r="H34" i="18"/>
  <c r="G34" i="18"/>
  <c r="E34" i="18"/>
  <c r="D34" i="18"/>
  <c r="C34" i="18"/>
  <c r="N34" i="73"/>
  <c r="M34" i="73"/>
  <c r="L34" i="73"/>
  <c r="K34" i="73"/>
  <c r="H34" i="73"/>
  <c r="G34" i="73"/>
  <c r="F34" i="73"/>
  <c r="E34" i="73"/>
  <c r="D34" i="73"/>
  <c r="C34" i="73"/>
  <c r="Q34" i="72"/>
  <c r="O34" i="72"/>
  <c r="N34" i="72"/>
  <c r="L34" i="72"/>
  <c r="K34" i="72"/>
  <c r="I34" i="72"/>
  <c r="H34" i="72"/>
  <c r="F34" i="72"/>
  <c r="E34" i="72"/>
  <c r="D34" i="72"/>
  <c r="C34" i="72"/>
  <c r="P34" i="75"/>
  <c r="N34" i="75"/>
  <c r="M34" i="75"/>
  <c r="L34" i="75"/>
  <c r="K34" i="75"/>
  <c r="J34" i="75"/>
  <c r="I34" i="75"/>
  <c r="G34" i="75"/>
  <c r="F34" i="75"/>
  <c r="E34" i="75"/>
  <c r="D34" i="75"/>
  <c r="C34" i="75"/>
  <c r="P34" i="74"/>
  <c r="O34" i="74"/>
  <c r="L34" i="74"/>
  <c r="K34" i="74"/>
  <c r="J34" i="74"/>
  <c r="H34" i="74"/>
  <c r="F34" i="74"/>
  <c r="E34" i="74"/>
  <c r="D34" i="74"/>
  <c r="C34" i="74"/>
  <c r="P34" i="78"/>
  <c r="N34" i="78"/>
  <c r="M34" i="78"/>
  <c r="L34" i="78"/>
  <c r="K34" i="78"/>
  <c r="H34" i="78"/>
  <c r="G34" i="78"/>
  <c r="E34" i="78"/>
  <c r="D34" i="78"/>
  <c r="C34" i="78"/>
  <c r="Q34" i="77"/>
  <c r="P34" i="77"/>
  <c r="O34" i="77"/>
  <c r="N34" i="77"/>
  <c r="M34" i="77"/>
  <c r="K34" i="77"/>
  <c r="J34" i="77"/>
  <c r="H34" i="77"/>
  <c r="G34" i="77"/>
  <c r="F34" i="77"/>
  <c r="E34" i="77"/>
  <c r="C34" i="77"/>
  <c r="M34" i="110"/>
  <c r="L34" i="110"/>
  <c r="K34" i="110"/>
  <c r="J34" i="110"/>
  <c r="G34" i="110"/>
  <c r="F34" i="110"/>
  <c r="E34" i="110"/>
  <c r="D34" i="110"/>
  <c r="C34" i="110"/>
  <c r="J34" i="5"/>
  <c r="H34" i="5"/>
  <c r="K34" i="6"/>
  <c r="C34" i="7"/>
  <c r="E35" i="8" s="1"/>
  <c r="N34" i="107"/>
  <c r="M34" i="107"/>
  <c r="H34" i="107"/>
  <c r="F34" i="107"/>
  <c r="G34" i="130"/>
  <c r="D34" i="130"/>
  <c r="N34" i="120"/>
  <c r="M34" i="5" l="1"/>
  <c r="K34" i="61"/>
  <c r="J34" i="61"/>
  <c r="P34" i="120"/>
  <c r="C28" i="8"/>
  <c r="D29" i="8" s="1"/>
  <c r="D36" i="8"/>
  <c r="L34" i="9"/>
  <c r="M35" i="7"/>
  <c r="J28" i="7"/>
  <c r="G34" i="9"/>
  <c r="Q34" i="78"/>
  <c r="S34" i="78" s="1"/>
  <c r="H34" i="130"/>
  <c r="F34" i="9"/>
  <c r="V34" i="15"/>
  <c r="L34" i="12"/>
  <c r="R34" i="18"/>
  <c r="S34" i="74"/>
  <c r="O34" i="120"/>
  <c r="M34" i="125"/>
  <c r="N34" i="9"/>
  <c r="H34" i="7"/>
  <c r="J35" i="8" s="1"/>
  <c r="K34" i="9"/>
  <c r="F34" i="7"/>
  <c r="H35" i="8" s="1"/>
  <c r="M34" i="122"/>
  <c r="R34" i="72"/>
  <c r="D34" i="9"/>
  <c r="Q34" i="105"/>
  <c r="Q34" i="106"/>
  <c r="S34" i="15"/>
  <c r="K34" i="12"/>
  <c r="P34" i="14"/>
  <c r="O34" i="9"/>
  <c r="I34" i="73"/>
  <c r="R34" i="73" s="1"/>
  <c r="Q34" i="75"/>
  <c r="R34" i="74"/>
  <c r="I34" i="78"/>
  <c r="R34" i="78" s="1"/>
  <c r="R34" i="75"/>
  <c r="S34" i="77"/>
  <c r="S34" i="75"/>
  <c r="R34" i="17"/>
  <c r="P34" i="18"/>
  <c r="C34" i="9"/>
  <c r="S34" i="72"/>
  <c r="P34" i="17"/>
  <c r="Q34" i="17"/>
  <c r="Q34" i="73"/>
  <c r="S34" i="73" s="1"/>
  <c r="R34" i="105"/>
  <c r="S34" i="106"/>
  <c r="S34" i="105"/>
  <c r="R34" i="106"/>
  <c r="N34" i="102"/>
  <c r="M34" i="102"/>
  <c r="G34" i="6"/>
  <c r="T34" i="15"/>
  <c r="J34" i="9"/>
  <c r="N34" i="10"/>
  <c r="Q34" i="65"/>
  <c r="S34" i="65" s="1"/>
  <c r="U34" i="15"/>
  <c r="O34" i="13"/>
  <c r="O34" i="14"/>
  <c r="P34" i="13"/>
  <c r="F34" i="6"/>
  <c r="S34" i="64"/>
  <c r="H34" i="9"/>
  <c r="M34" i="9"/>
  <c r="O34" i="10"/>
  <c r="Q34" i="18"/>
  <c r="I34" i="65"/>
  <c r="R34" i="65" s="1"/>
  <c r="E34" i="9"/>
  <c r="R34" i="15"/>
  <c r="R34" i="64"/>
  <c r="I34" i="9"/>
  <c r="Q34" i="74"/>
  <c r="J34" i="12"/>
  <c r="D34" i="7" s="1"/>
  <c r="F35" i="8" s="1"/>
  <c r="R34" i="77"/>
  <c r="M34" i="11"/>
  <c r="N34" i="11"/>
  <c r="K34" i="5"/>
  <c r="L34" i="5" s="1"/>
  <c r="C34" i="6" s="1"/>
  <c r="H34" i="6" s="1"/>
  <c r="L34" i="6" s="1"/>
  <c r="O34" i="125" l="1"/>
  <c r="O29" i="125"/>
  <c r="O29" i="120"/>
  <c r="P29" i="120"/>
  <c r="I34" i="7"/>
  <c r="Q34" i="9"/>
  <c r="P34" i="9"/>
  <c r="S34" i="9"/>
  <c r="R34" i="9"/>
  <c r="E34" i="7"/>
  <c r="G35" i="8" s="1"/>
  <c r="L35" i="8" s="1"/>
  <c r="I34" i="6"/>
  <c r="L33" i="77"/>
  <c r="I33" i="77"/>
  <c r="O33" i="78"/>
  <c r="M33" i="74"/>
  <c r="G33" i="74"/>
  <c r="J33" i="78"/>
  <c r="P33" i="72"/>
  <c r="G33" i="72"/>
  <c r="P33" i="73"/>
  <c r="F33" i="18"/>
  <c r="L33" i="17"/>
  <c r="J33" i="72"/>
  <c r="K32" i="106"/>
  <c r="J33" i="106"/>
  <c r="Q33" i="64"/>
  <c r="P33" i="64"/>
  <c r="J33" i="64"/>
  <c r="C33" i="65"/>
  <c r="J33" i="65"/>
  <c r="I33" i="102"/>
  <c r="K33" i="102"/>
  <c r="D33" i="102"/>
  <c r="L33" i="15"/>
  <c r="L34" i="7" l="1"/>
  <c r="K35" i="8"/>
  <c r="M35" i="8" s="1"/>
  <c r="K34" i="7"/>
  <c r="M34" i="6"/>
  <c r="J34" i="6"/>
  <c r="J33" i="14"/>
  <c r="N33" i="13"/>
  <c r="F33" i="13"/>
  <c r="C33" i="12"/>
  <c r="I33" i="12"/>
  <c r="G33" i="12"/>
  <c r="J33" i="11"/>
  <c r="F33" i="125"/>
  <c r="F28" i="125" s="1"/>
  <c r="C34" i="8" l="1"/>
  <c r="D35" i="8" s="1"/>
  <c r="N34" i="6"/>
  <c r="J34" i="7"/>
  <c r="M34" i="7" s="1"/>
  <c r="E33" i="10"/>
  <c r="M33" i="13"/>
  <c r="N33" i="14"/>
  <c r="M33" i="14"/>
  <c r="C33" i="15"/>
  <c r="P33" i="15"/>
  <c r="H33" i="102"/>
  <c r="M33" i="65"/>
  <c r="O33" i="64"/>
  <c r="L33" i="64"/>
  <c r="I33" i="64"/>
  <c r="C33" i="64"/>
  <c r="N33" i="106"/>
  <c r="K33" i="106"/>
  <c r="F33" i="17"/>
  <c r="M33" i="18"/>
  <c r="O33" i="73"/>
  <c r="N33" i="73"/>
  <c r="J33" i="73"/>
  <c r="M33" i="75"/>
  <c r="F33" i="75"/>
  <c r="N33" i="74"/>
  <c r="C33" i="78"/>
  <c r="E33" i="78"/>
  <c r="N33" i="77"/>
  <c r="J33" i="77"/>
  <c r="H33" i="77"/>
  <c r="G33" i="110"/>
  <c r="G28" i="110" s="1"/>
  <c r="P32" i="78"/>
  <c r="O32" i="78"/>
  <c r="N32" i="78"/>
  <c r="M32" i="78"/>
  <c r="L32" i="78"/>
  <c r="K32" i="78"/>
  <c r="J32" i="78"/>
  <c r="H32" i="78"/>
  <c r="G32" i="78"/>
  <c r="F32" i="78"/>
  <c r="E32" i="78"/>
  <c r="D32" i="78"/>
  <c r="C32" i="78"/>
  <c r="P32" i="74"/>
  <c r="O32" i="74"/>
  <c r="N32" i="74"/>
  <c r="M32" i="74"/>
  <c r="L32" i="74"/>
  <c r="K32" i="74"/>
  <c r="J32" i="74"/>
  <c r="I32" i="74"/>
  <c r="H32" i="74"/>
  <c r="G32" i="74"/>
  <c r="F32" i="74"/>
  <c r="E32" i="74"/>
  <c r="D32" i="74"/>
  <c r="C32" i="74"/>
  <c r="P32" i="75"/>
  <c r="O32" i="75"/>
  <c r="N32" i="75"/>
  <c r="M32" i="75"/>
  <c r="L32" i="75"/>
  <c r="K32" i="75"/>
  <c r="J32" i="75"/>
  <c r="I32" i="75"/>
  <c r="H32" i="75"/>
  <c r="G32" i="75"/>
  <c r="F32" i="75"/>
  <c r="E32" i="75"/>
  <c r="D32" i="75"/>
  <c r="C32" i="75"/>
  <c r="Q32" i="77"/>
  <c r="P32" i="77"/>
  <c r="O32" i="77"/>
  <c r="N32" i="77"/>
  <c r="M32" i="77"/>
  <c r="L32" i="77"/>
  <c r="K32" i="77"/>
  <c r="J32" i="77"/>
  <c r="I32" i="77"/>
  <c r="H32" i="77"/>
  <c r="G32" i="77"/>
  <c r="F32" i="77"/>
  <c r="E32" i="77"/>
  <c r="D32" i="77"/>
  <c r="C32" i="77"/>
  <c r="K33" i="77"/>
  <c r="S33" i="128" l="1"/>
  <c r="R33" i="128"/>
  <c r="Q33" i="128"/>
  <c r="P33" i="128"/>
  <c r="O33" i="128"/>
  <c r="N33" i="128"/>
  <c r="M33" i="128"/>
  <c r="L33" i="128"/>
  <c r="K33" i="128"/>
  <c r="J33" i="128"/>
  <c r="I33" i="128"/>
  <c r="H33" i="128"/>
  <c r="G33" i="128"/>
  <c r="F33" i="128"/>
  <c r="E33" i="128"/>
  <c r="D33" i="128"/>
  <c r="C33" i="128"/>
  <c r="M33" i="10"/>
  <c r="L33" i="10"/>
  <c r="K33" i="10"/>
  <c r="J33" i="10"/>
  <c r="I33" i="10"/>
  <c r="H33" i="10"/>
  <c r="F33" i="10"/>
  <c r="D33" i="10"/>
  <c r="C33" i="10"/>
  <c r="L33" i="11"/>
  <c r="K33" i="11"/>
  <c r="I33" i="11"/>
  <c r="H33" i="11"/>
  <c r="G33" i="11"/>
  <c r="F33" i="11"/>
  <c r="E33" i="11"/>
  <c r="D33" i="11"/>
  <c r="C33" i="11"/>
  <c r="H33" i="12"/>
  <c r="F33" i="12"/>
  <c r="E33" i="12"/>
  <c r="K28" i="12" s="1"/>
  <c r="D33" i="12"/>
  <c r="L33" i="13"/>
  <c r="K33" i="13"/>
  <c r="J33" i="13"/>
  <c r="I33" i="13"/>
  <c r="H33" i="13"/>
  <c r="G33" i="13"/>
  <c r="E33" i="13"/>
  <c r="D33" i="13"/>
  <c r="C33" i="13"/>
  <c r="L33" i="14"/>
  <c r="K33" i="14"/>
  <c r="I33" i="14"/>
  <c r="H33" i="14"/>
  <c r="G33" i="14"/>
  <c r="F33" i="14"/>
  <c r="E33" i="14"/>
  <c r="D33" i="14"/>
  <c r="C33" i="14"/>
  <c r="Q33" i="15"/>
  <c r="O33" i="15"/>
  <c r="N33" i="15"/>
  <c r="M33" i="15"/>
  <c r="K33" i="15"/>
  <c r="J33" i="15"/>
  <c r="I33" i="15"/>
  <c r="H33" i="15"/>
  <c r="G33" i="15"/>
  <c r="F33" i="15"/>
  <c r="E33" i="15"/>
  <c r="D33" i="15"/>
  <c r="L33" i="102"/>
  <c r="M28" i="102" s="1"/>
  <c r="J33" i="102"/>
  <c r="G33" i="102"/>
  <c r="F33" i="102"/>
  <c r="E33" i="102"/>
  <c r="N28" i="102" s="1"/>
  <c r="C33" i="102"/>
  <c r="P33" i="65"/>
  <c r="O33" i="65"/>
  <c r="N33" i="65"/>
  <c r="L33" i="65"/>
  <c r="K33" i="65"/>
  <c r="H33" i="65"/>
  <c r="G33" i="65"/>
  <c r="F33" i="65"/>
  <c r="E33" i="65"/>
  <c r="D33" i="65"/>
  <c r="N33" i="64"/>
  <c r="M33" i="64"/>
  <c r="K33" i="64"/>
  <c r="H33" i="64"/>
  <c r="G33" i="64"/>
  <c r="F33" i="64"/>
  <c r="E33" i="64"/>
  <c r="D33" i="64"/>
  <c r="I33" i="61"/>
  <c r="H33" i="61"/>
  <c r="G33" i="61"/>
  <c r="F33" i="61"/>
  <c r="E33" i="61"/>
  <c r="D33" i="61"/>
  <c r="C33" i="61"/>
  <c r="P33" i="105"/>
  <c r="O33" i="105"/>
  <c r="N33" i="105"/>
  <c r="M33" i="105"/>
  <c r="L33" i="105"/>
  <c r="K33" i="105"/>
  <c r="J33" i="105"/>
  <c r="I33" i="105"/>
  <c r="H33" i="105"/>
  <c r="G33" i="105"/>
  <c r="F33" i="105"/>
  <c r="E33" i="105"/>
  <c r="D33" i="105"/>
  <c r="C33" i="105"/>
  <c r="P33" i="106"/>
  <c r="O33" i="106"/>
  <c r="M33" i="106"/>
  <c r="L33" i="106"/>
  <c r="I33" i="106"/>
  <c r="R28" i="106" s="1"/>
  <c r="H33" i="106"/>
  <c r="G33" i="106"/>
  <c r="F33" i="106"/>
  <c r="E33" i="106"/>
  <c r="D33" i="106"/>
  <c r="C33" i="106"/>
  <c r="O33" i="17"/>
  <c r="N33" i="17"/>
  <c r="M33" i="17"/>
  <c r="K33" i="17"/>
  <c r="J33" i="17"/>
  <c r="I33" i="17"/>
  <c r="H33" i="17"/>
  <c r="G33" i="17"/>
  <c r="E33" i="17"/>
  <c r="D33" i="17"/>
  <c r="C33" i="17"/>
  <c r="O33" i="18"/>
  <c r="N33" i="18"/>
  <c r="R28" i="18" s="1"/>
  <c r="O33" i="9"/>
  <c r="L33" i="18"/>
  <c r="K33" i="18"/>
  <c r="J33" i="18"/>
  <c r="I33" i="18"/>
  <c r="H33" i="18"/>
  <c r="Q28" i="18" s="1"/>
  <c r="G33" i="18"/>
  <c r="E33" i="18"/>
  <c r="D33" i="18"/>
  <c r="C33" i="18"/>
  <c r="M33" i="73"/>
  <c r="L33" i="73"/>
  <c r="K33" i="73"/>
  <c r="H33" i="73"/>
  <c r="G33" i="73"/>
  <c r="F33" i="73"/>
  <c r="E33" i="73"/>
  <c r="D33" i="73"/>
  <c r="C33" i="73"/>
  <c r="Q33" i="72"/>
  <c r="O33" i="72"/>
  <c r="N33" i="72"/>
  <c r="M33" i="72"/>
  <c r="L33" i="72"/>
  <c r="K33" i="72"/>
  <c r="I33" i="72"/>
  <c r="H33" i="72"/>
  <c r="F33" i="72"/>
  <c r="E33" i="72"/>
  <c r="D33" i="72"/>
  <c r="C33" i="72"/>
  <c r="P33" i="75"/>
  <c r="O33" i="75"/>
  <c r="N33" i="75"/>
  <c r="L33" i="75"/>
  <c r="K33" i="75"/>
  <c r="J33" i="75"/>
  <c r="I33" i="75"/>
  <c r="H33" i="75"/>
  <c r="G33" i="75"/>
  <c r="E33" i="75"/>
  <c r="D33" i="75"/>
  <c r="C33" i="75"/>
  <c r="P33" i="74"/>
  <c r="O33" i="74"/>
  <c r="L33" i="74"/>
  <c r="K33" i="74"/>
  <c r="J33" i="74"/>
  <c r="I33" i="74"/>
  <c r="H33" i="74"/>
  <c r="F33" i="74"/>
  <c r="E33" i="74"/>
  <c r="D33" i="74"/>
  <c r="C33" i="74"/>
  <c r="P33" i="78"/>
  <c r="N33" i="78"/>
  <c r="M33" i="78"/>
  <c r="L33" i="78"/>
  <c r="K33" i="78"/>
  <c r="H33" i="78"/>
  <c r="G33" i="78"/>
  <c r="F33" i="78"/>
  <c r="D33" i="78"/>
  <c r="Q33" i="77"/>
  <c r="P33" i="77"/>
  <c r="O33" i="77"/>
  <c r="M33" i="77"/>
  <c r="G33" i="77"/>
  <c r="F33" i="77"/>
  <c r="E33" i="77"/>
  <c r="D33" i="77"/>
  <c r="C33" i="77"/>
  <c r="M33" i="110"/>
  <c r="L33" i="110"/>
  <c r="L28" i="110" s="1"/>
  <c r="K33" i="110"/>
  <c r="K28" i="110" s="1"/>
  <c r="J33" i="110"/>
  <c r="J28" i="110" s="1"/>
  <c r="I33" i="110"/>
  <c r="I28" i="110" s="1"/>
  <c r="H33" i="110"/>
  <c r="H28" i="110" s="1"/>
  <c r="F33" i="110"/>
  <c r="F28" i="110" s="1"/>
  <c r="E33" i="110"/>
  <c r="E28" i="110" s="1"/>
  <c r="D33" i="110"/>
  <c r="D28" i="110" s="1"/>
  <c r="C33" i="110"/>
  <c r="C28" i="110" s="1"/>
  <c r="N33" i="122"/>
  <c r="N28" i="122" s="1"/>
  <c r="L33" i="122"/>
  <c r="L28" i="122" s="1"/>
  <c r="K33" i="122"/>
  <c r="K28" i="122" s="1"/>
  <c r="J33" i="122"/>
  <c r="J28" i="122" s="1"/>
  <c r="I33" i="122"/>
  <c r="I28" i="122" s="1"/>
  <c r="H33" i="122"/>
  <c r="H28" i="122" s="1"/>
  <c r="G33" i="122"/>
  <c r="G28" i="122" s="1"/>
  <c r="F33" i="122"/>
  <c r="F28" i="122" s="1"/>
  <c r="E33" i="122"/>
  <c r="E28" i="122" s="1"/>
  <c r="D33" i="122"/>
  <c r="D28" i="122" s="1"/>
  <c r="C33" i="122"/>
  <c r="C28" i="122" s="1"/>
  <c r="N33" i="125"/>
  <c r="L33" i="125"/>
  <c r="L28" i="125" s="1"/>
  <c r="K33" i="125"/>
  <c r="K28" i="125" s="1"/>
  <c r="J33" i="125"/>
  <c r="J28" i="125" s="1"/>
  <c r="I33" i="125"/>
  <c r="I28" i="125" s="1"/>
  <c r="G33" i="125"/>
  <c r="G28" i="125" s="1"/>
  <c r="E33" i="125"/>
  <c r="E28" i="125" s="1"/>
  <c r="D33" i="125"/>
  <c r="D28" i="125" s="1"/>
  <c r="C33" i="125"/>
  <c r="C28" i="125" s="1"/>
  <c r="S33" i="80"/>
  <c r="R33" i="80"/>
  <c r="P33" i="80"/>
  <c r="O33" i="80"/>
  <c r="N33" i="80"/>
  <c r="M33" i="80"/>
  <c r="L33" i="80"/>
  <c r="K33" i="80"/>
  <c r="J33" i="80"/>
  <c r="I33" i="80"/>
  <c r="H33" i="80"/>
  <c r="G33" i="80"/>
  <c r="F33" i="80"/>
  <c r="E33" i="80"/>
  <c r="D33" i="80"/>
  <c r="C33" i="80"/>
  <c r="J33" i="5"/>
  <c r="H33" i="5"/>
  <c r="K33" i="6"/>
  <c r="C33" i="7"/>
  <c r="N33" i="107"/>
  <c r="M33" i="107"/>
  <c r="H33" i="107"/>
  <c r="F33" i="107"/>
  <c r="G33" i="130"/>
  <c r="D33" i="130"/>
  <c r="N33" i="120"/>
  <c r="D37" i="98"/>
  <c r="H32" i="102"/>
  <c r="K32" i="102"/>
  <c r="D32" i="102"/>
  <c r="M33" i="5" l="1"/>
  <c r="P33" i="125"/>
  <c r="N28" i="125"/>
  <c r="K33" i="61"/>
  <c r="J33" i="61"/>
  <c r="P33" i="120"/>
  <c r="N28" i="120"/>
  <c r="V28" i="15"/>
  <c r="P28" i="14"/>
  <c r="O28" i="10"/>
  <c r="O28" i="14"/>
  <c r="S28" i="64"/>
  <c r="E33" i="6"/>
  <c r="S28" i="15"/>
  <c r="D33" i="6"/>
  <c r="R28" i="15"/>
  <c r="R28" i="64"/>
  <c r="Q28" i="106"/>
  <c r="N28" i="11"/>
  <c r="P28" i="18"/>
  <c r="S28" i="105"/>
  <c r="Q28" i="105"/>
  <c r="K33" i="5"/>
  <c r="U33" i="15"/>
  <c r="U28" i="15"/>
  <c r="O28" i="13"/>
  <c r="L33" i="12"/>
  <c r="L28" i="12"/>
  <c r="T28" i="15"/>
  <c r="P28" i="13"/>
  <c r="M28" i="11"/>
  <c r="E34" i="8"/>
  <c r="S28" i="106"/>
  <c r="F33" i="9"/>
  <c r="I33" i="9"/>
  <c r="R28" i="105"/>
  <c r="K33" i="12"/>
  <c r="H33" i="7"/>
  <c r="H33" i="9"/>
  <c r="J33" i="9"/>
  <c r="H33" i="130"/>
  <c r="K33" i="9"/>
  <c r="G33" i="7"/>
  <c r="D33" i="9"/>
  <c r="N33" i="11"/>
  <c r="J33" i="12"/>
  <c r="P33" i="18"/>
  <c r="M33" i="9"/>
  <c r="R33" i="15"/>
  <c r="N33" i="102"/>
  <c r="O33" i="13"/>
  <c r="O33" i="14"/>
  <c r="S33" i="105"/>
  <c r="Q33" i="106"/>
  <c r="R33" i="64"/>
  <c r="F33" i="6"/>
  <c r="F33" i="7"/>
  <c r="E33" i="9"/>
  <c r="R33" i="74"/>
  <c r="P33" i="13"/>
  <c r="Q33" i="17"/>
  <c r="T33" i="15"/>
  <c r="P33" i="14"/>
  <c r="L33" i="9"/>
  <c r="O33" i="10"/>
  <c r="Q33" i="75"/>
  <c r="I33" i="65"/>
  <c r="S33" i="106"/>
  <c r="Q33" i="73"/>
  <c r="S33" i="72"/>
  <c r="Q33" i="18"/>
  <c r="P33" i="17"/>
  <c r="R33" i="18"/>
  <c r="I33" i="78"/>
  <c r="M33" i="122"/>
  <c r="M28" i="122" s="1"/>
  <c r="M33" i="125"/>
  <c r="M28" i="125" s="1"/>
  <c r="O33" i="120"/>
  <c r="S33" i="74"/>
  <c r="S33" i="75"/>
  <c r="S33" i="77"/>
  <c r="Q33" i="78"/>
  <c r="R33" i="77"/>
  <c r="R33" i="75"/>
  <c r="R33" i="17"/>
  <c r="Q33" i="105"/>
  <c r="R33" i="105"/>
  <c r="R33" i="106"/>
  <c r="G33" i="6"/>
  <c r="M33" i="11"/>
  <c r="V33" i="15"/>
  <c r="S33" i="64"/>
  <c r="G33" i="9"/>
  <c r="I33" i="73"/>
  <c r="Q33" i="65"/>
  <c r="N33" i="10"/>
  <c r="M33" i="102"/>
  <c r="N33" i="9"/>
  <c r="C33" i="9"/>
  <c r="R33" i="72"/>
  <c r="S33" i="15"/>
  <c r="Q33" i="74"/>
  <c r="O33" i="125" l="1"/>
  <c r="R28" i="9"/>
  <c r="N28" i="10"/>
  <c r="L33" i="5"/>
  <c r="C33" i="6" s="1"/>
  <c r="R33" i="73"/>
  <c r="S33" i="78"/>
  <c r="S33" i="73"/>
  <c r="D33" i="7"/>
  <c r="P28" i="9"/>
  <c r="H34" i="8"/>
  <c r="R33" i="65"/>
  <c r="R28" i="65"/>
  <c r="I34" i="8"/>
  <c r="S28" i="9"/>
  <c r="Q28" i="9"/>
  <c r="R33" i="78"/>
  <c r="J34" i="8"/>
  <c r="S33" i="65"/>
  <c r="S28" i="65"/>
  <c r="R33" i="9"/>
  <c r="I33" i="7"/>
  <c r="Q33" i="9"/>
  <c r="S33" i="9"/>
  <c r="P33" i="9"/>
  <c r="C32" i="15"/>
  <c r="F34" i="8" l="1"/>
  <c r="E33" i="7"/>
  <c r="K33" i="7" s="1"/>
  <c r="L28" i="7"/>
  <c r="H28" i="6"/>
  <c r="H33" i="6"/>
  <c r="L33" i="7"/>
  <c r="K34" i="8"/>
  <c r="M34" i="8" s="1"/>
  <c r="F32" i="125"/>
  <c r="G32" i="110"/>
  <c r="G34" i="8" l="1"/>
  <c r="L34" i="8" s="1"/>
  <c r="L28" i="6"/>
  <c r="I28" i="6"/>
  <c r="M28" i="6" s="1"/>
  <c r="L33" i="6"/>
  <c r="I33" i="6"/>
  <c r="O32" i="73"/>
  <c r="N32" i="73"/>
  <c r="J32" i="73"/>
  <c r="M32" i="18"/>
  <c r="O32" i="64"/>
  <c r="L32" i="64"/>
  <c r="I32" i="64"/>
  <c r="C32" i="64"/>
  <c r="J32" i="64"/>
  <c r="M32" i="65"/>
  <c r="P32" i="15"/>
  <c r="N32" i="14"/>
  <c r="M32" i="14"/>
  <c r="M32" i="13"/>
  <c r="E32" i="10"/>
  <c r="M33" i="6" l="1"/>
  <c r="J33" i="6"/>
  <c r="K28" i="7"/>
  <c r="C32" i="63"/>
  <c r="C103" i="63"/>
  <c r="C102" i="63"/>
  <c r="C100" i="63"/>
  <c r="C99" i="63"/>
  <c r="C98" i="63"/>
  <c r="C97" i="63"/>
  <c r="C95" i="63"/>
  <c r="C94" i="63"/>
  <c r="C51" i="63"/>
  <c r="C50" i="63"/>
  <c r="C105" i="63" l="1"/>
  <c r="D104" i="63"/>
  <c r="J33" i="7"/>
  <c r="N28" i="6"/>
  <c r="C33" i="8"/>
  <c r="N33" i="6"/>
  <c r="M33" i="7" l="1"/>
  <c r="M28" i="7"/>
  <c r="D34" i="8"/>
  <c r="F33" i="93"/>
  <c r="P32" i="72"/>
  <c r="I32" i="72"/>
  <c r="F32" i="72"/>
  <c r="J32" i="72"/>
  <c r="H32" i="73"/>
  <c r="L32" i="18"/>
  <c r="L32" i="17"/>
  <c r="F32" i="17"/>
  <c r="H32" i="17"/>
  <c r="N32" i="106" l="1"/>
  <c r="H32" i="105"/>
  <c r="P32" i="64"/>
  <c r="K32" i="64"/>
  <c r="F32" i="64"/>
  <c r="C32" i="65"/>
  <c r="K32" i="65"/>
  <c r="I32" i="13"/>
  <c r="H32" i="13"/>
  <c r="H32" i="12"/>
  <c r="S32" i="80" l="1"/>
  <c r="R32" i="80"/>
  <c r="C53" i="63" s="1"/>
  <c r="P32" i="80"/>
  <c r="O32" i="80"/>
  <c r="N32" i="80"/>
  <c r="M32" i="80"/>
  <c r="L32" i="80"/>
  <c r="K32" i="80"/>
  <c r="C54" i="63" s="1"/>
  <c r="J32" i="80"/>
  <c r="I32" i="80"/>
  <c r="H32" i="80"/>
  <c r="G32" i="80"/>
  <c r="F32" i="80"/>
  <c r="C55" i="63" s="1"/>
  <c r="E32" i="80"/>
  <c r="D32" i="80"/>
  <c r="C32" i="80"/>
  <c r="S32" i="128"/>
  <c r="R32" i="128"/>
  <c r="Q32" i="128"/>
  <c r="P32" i="128"/>
  <c r="O32" i="128"/>
  <c r="N32" i="128"/>
  <c r="M32" i="128"/>
  <c r="L32" i="128"/>
  <c r="K32" i="128"/>
  <c r="J32" i="128"/>
  <c r="I32" i="128"/>
  <c r="H32" i="128"/>
  <c r="G32" i="128"/>
  <c r="F32" i="128"/>
  <c r="E32" i="128"/>
  <c r="D32" i="128"/>
  <c r="C32" i="128"/>
  <c r="M32" i="10"/>
  <c r="L32" i="10"/>
  <c r="C21" i="63" s="1"/>
  <c r="C22" i="63" s="1"/>
  <c r="K32" i="10"/>
  <c r="J32" i="10"/>
  <c r="I32" i="10"/>
  <c r="F32" i="9" s="1"/>
  <c r="H32" i="10"/>
  <c r="F32" i="10"/>
  <c r="D32" i="10"/>
  <c r="C32" i="10"/>
  <c r="L32" i="11"/>
  <c r="K32" i="11"/>
  <c r="J32" i="11"/>
  <c r="I32" i="11"/>
  <c r="H32" i="11"/>
  <c r="G32" i="11"/>
  <c r="F32" i="11"/>
  <c r="E32" i="11"/>
  <c r="D32" i="11"/>
  <c r="C32" i="11"/>
  <c r="I32" i="12"/>
  <c r="G32" i="12"/>
  <c r="F32" i="12"/>
  <c r="E32" i="12"/>
  <c r="D32" i="12"/>
  <c r="C32" i="12"/>
  <c r="N32" i="13"/>
  <c r="L32" i="13"/>
  <c r="K32" i="13"/>
  <c r="J32" i="13"/>
  <c r="G32" i="13"/>
  <c r="F32" i="13"/>
  <c r="E32" i="13"/>
  <c r="D32" i="13"/>
  <c r="C32" i="13"/>
  <c r="L32" i="14"/>
  <c r="K32" i="14"/>
  <c r="J32" i="14"/>
  <c r="I32" i="14"/>
  <c r="H32" i="14"/>
  <c r="G32" i="14"/>
  <c r="F32" i="14"/>
  <c r="E32" i="14"/>
  <c r="D32" i="14"/>
  <c r="C32" i="14"/>
  <c r="Q32" i="15"/>
  <c r="O32" i="15"/>
  <c r="N32" i="15"/>
  <c r="M32" i="15"/>
  <c r="L32" i="15"/>
  <c r="K32" i="15"/>
  <c r="J32" i="15"/>
  <c r="I32" i="15"/>
  <c r="H32" i="15"/>
  <c r="G32" i="15"/>
  <c r="F32" i="15"/>
  <c r="E32" i="15"/>
  <c r="D32" i="6" s="1"/>
  <c r="D32" i="15"/>
  <c r="L32" i="102"/>
  <c r="C38" i="63" s="1"/>
  <c r="C39" i="63" s="1"/>
  <c r="J32" i="102"/>
  <c r="I32" i="102"/>
  <c r="G32" i="102"/>
  <c r="F32" i="102"/>
  <c r="E32" i="102"/>
  <c r="C32" i="102"/>
  <c r="P32" i="65"/>
  <c r="O32" i="65"/>
  <c r="N32" i="65"/>
  <c r="L32" i="65"/>
  <c r="J32" i="65"/>
  <c r="H32" i="65"/>
  <c r="G32" i="65"/>
  <c r="F32" i="65"/>
  <c r="E32" i="65"/>
  <c r="D32" i="65"/>
  <c r="Q32" i="64"/>
  <c r="N32" i="64"/>
  <c r="M32" i="64"/>
  <c r="H32" i="64"/>
  <c r="G32" i="64"/>
  <c r="E32" i="64"/>
  <c r="D32" i="64"/>
  <c r="I32" i="61"/>
  <c r="H32" i="61"/>
  <c r="G32" i="61"/>
  <c r="F32" i="61"/>
  <c r="E32" i="61"/>
  <c r="D32" i="61"/>
  <c r="C32" i="61"/>
  <c r="P32" i="105"/>
  <c r="O32" i="105"/>
  <c r="N32" i="105"/>
  <c r="M32" i="105"/>
  <c r="L32" i="105"/>
  <c r="K32" i="105"/>
  <c r="J32" i="105"/>
  <c r="I32" i="105"/>
  <c r="G32" i="105"/>
  <c r="F32" i="105"/>
  <c r="E32" i="105"/>
  <c r="D32" i="105"/>
  <c r="C32" i="105"/>
  <c r="P32" i="106"/>
  <c r="O32" i="106"/>
  <c r="M32" i="106"/>
  <c r="L32" i="106"/>
  <c r="J32" i="106"/>
  <c r="I32" i="106"/>
  <c r="H32" i="106"/>
  <c r="G32" i="106"/>
  <c r="F32" i="106"/>
  <c r="E32" i="106"/>
  <c r="D32" i="106"/>
  <c r="C32" i="106"/>
  <c r="O32" i="17"/>
  <c r="N32" i="17"/>
  <c r="C23" i="63" s="1"/>
  <c r="C24" i="63" s="1"/>
  <c r="M32" i="17"/>
  <c r="K32" i="17"/>
  <c r="J32" i="17"/>
  <c r="I32" i="17"/>
  <c r="G32" i="17"/>
  <c r="E32" i="17"/>
  <c r="D32" i="17"/>
  <c r="C32" i="17"/>
  <c r="O32" i="18"/>
  <c r="N32" i="18"/>
  <c r="K32" i="18"/>
  <c r="J32" i="18"/>
  <c r="I32" i="18"/>
  <c r="H32" i="18"/>
  <c r="G32" i="18"/>
  <c r="F32" i="18"/>
  <c r="E32" i="18"/>
  <c r="D32" i="18"/>
  <c r="C32" i="18"/>
  <c r="P32" i="73"/>
  <c r="M32" i="73"/>
  <c r="L32" i="73"/>
  <c r="K32" i="73"/>
  <c r="G32" i="73"/>
  <c r="F32" i="73"/>
  <c r="E32" i="73"/>
  <c r="D32" i="73"/>
  <c r="C32" i="73"/>
  <c r="Q32" i="72"/>
  <c r="O32" i="72"/>
  <c r="N32" i="72"/>
  <c r="M32" i="72"/>
  <c r="L32" i="72"/>
  <c r="K32" i="72"/>
  <c r="H32" i="72"/>
  <c r="G32" i="72"/>
  <c r="E32" i="72"/>
  <c r="D32" i="72"/>
  <c r="C32" i="72"/>
  <c r="M32" i="110"/>
  <c r="L32" i="110"/>
  <c r="K32" i="110"/>
  <c r="J32" i="110"/>
  <c r="I32" i="110"/>
  <c r="H32" i="110"/>
  <c r="F32" i="110"/>
  <c r="E32" i="110"/>
  <c r="D32" i="110"/>
  <c r="C32" i="110"/>
  <c r="N32" i="122"/>
  <c r="L32" i="122"/>
  <c r="K32" i="122"/>
  <c r="J32" i="122"/>
  <c r="I32" i="122"/>
  <c r="H32" i="122"/>
  <c r="G32" i="122"/>
  <c r="F32" i="122"/>
  <c r="E32" i="122"/>
  <c r="D32" i="122"/>
  <c r="C32" i="122"/>
  <c r="N32" i="125"/>
  <c r="L32" i="125"/>
  <c r="K32" i="125"/>
  <c r="J32" i="125"/>
  <c r="I32" i="125"/>
  <c r="H32" i="125"/>
  <c r="G32" i="125"/>
  <c r="E32" i="125"/>
  <c r="D32" i="125"/>
  <c r="C32" i="125"/>
  <c r="C25" i="63"/>
  <c r="C26" i="63" s="1"/>
  <c r="J32" i="5"/>
  <c r="H32" i="5"/>
  <c r="K32" i="6"/>
  <c r="C32" i="7"/>
  <c r="N32" i="107"/>
  <c r="M32" i="107"/>
  <c r="H32" i="107"/>
  <c r="F32" i="107"/>
  <c r="G32" i="130"/>
  <c r="D32" i="130"/>
  <c r="N32" i="120"/>
  <c r="P32" i="120" s="1"/>
  <c r="C9" i="63"/>
  <c r="M32" i="5" l="1"/>
  <c r="P32" i="125"/>
  <c r="K32" i="61"/>
  <c r="J32" i="61"/>
  <c r="G32" i="7"/>
  <c r="I33" i="8" s="1"/>
  <c r="E28" i="8"/>
  <c r="E33" i="8"/>
  <c r="K32" i="5"/>
  <c r="L32" i="12"/>
  <c r="I32" i="78"/>
  <c r="M32" i="125"/>
  <c r="O32" i="125" s="1"/>
  <c r="J32" i="9"/>
  <c r="E32" i="6"/>
  <c r="S32" i="106"/>
  <c r="D32" i="9"/>
  <c r="H32" i="130"/>
  <c r="F32" i="6"/>
  <c r="N32" i="9"/>
  <c r="F32" i="7"/>
  <c r="E32" i="9"/>
  <c r="Q32" i="78"/>
  <c r="S32" i="77"/>
  <c r="K32" i="9"/>
  <c r="T32" i="15"/>
  <c r="N32" i="102"/>
  <c r="O32" i="13"/>
  <c r="P32" i="13"/>
  <c r="N32" i="10"/>
  <c r="M32" i="9"/>
  <c r="R32" i="74"/>
  <c r="Q32" i="105"/>
  <c r="P32" i="18"/>
  <c r="R32" i="106"/>
  <c r="H32" i="9"/>
  <c r="R32" i="105"/>
  <c r="S32" i="75"/>
  <c r="Q32" i="18"/>
  <c r="C32" i="9"/>
  <c r="P32" i="17"/>
  <c r="Q32" i="73"/>
  <c r="V32" i="15"/>
  <c r="N32" i="11"/>
  <c r="O32" i="10"/>
  <c r="S32" i="64"/>
  <c r="R32" i="18"/>
  <c r="H32" i="7"/>
  <c r="C38" i="98"/>
  <c r="E38" i="98" s="1"/>
  <c r="S32" i="72"/>
  <c r="C36" i="63"/>
  <c r="C37" i="63" s="1"/>
  <c r="P32" i="14"/>
  <c r="R32" i="64"/>
  <c r="Q32" i="75"/>
  <c r="Q32" i="74"/>
  <c r="S32" i="74"/>
  <c r="M32" i="122"/>
  <c r="Q32" i="17"/>
  <c r="L32" i="9"/>
  <c r="R32" i="72"/>
  <c r="S32" i="105"/>
  <c r="J32" i="12"/>
  <c r="S32" i="15"/>
  <c r="O32" i="14"/>
  <c r="K32" i="12"/>
  <c r="G32" i="6"/>
  <c r="R32" i="17"/>
  <c r="I32" i="73"/>
  <c r="O32" i="9"/>
  <c r="O32" i="120"/>
  <c r="R32" i="77"/>
  <c r="I32" i="65"/>
  <c r="R32" i="15"/>
  <c r="G32" i="9"/>
  <c r="I32" i="9"/>
  <c r="U32" i="15"/>
  <c r="M32" i="11"/>
  <c r="Q32" i="106"/>
  <c r="Q32" i="65"/>
  <c r="R32" i="75"/>
  <c r="M32" i="102"/>
  <c r="O23" i="125"/>
  <c r="I28" i="8" l="1"/>
  <c r="L32" i="5"/>
  <c r="C32" i="6" s="1"/>
  <c r="R32" i="78"/>
  <c r="J28" i="8"/>
  <c r="J33" i="8"/>
  <c r="H28" i="8"/>
  <c r="H33" i="8"/>
  <c r="S32" i="78"/>
  <c r="R32" i="65"/>
  <c r="C29" i="63"/>
  <c r="C31" i="63" s="1"/>
  <c r="C19" i="63"/>
  <c r="C20" i="63" s="1"/>
  <c r="P32" i="9"/>
  <c r="C27" i="63"/>
  <c r="C28" i="63" s="1"/>
  <c r="D32" i="7"/>
  <c r="F33" i="8" s="1"/>
  <c r="C35" i="63"/>
  <c r="Q32" i="9"/>
  <c r="R32" i="73"/>
  <c r="S32" i="73"/>
  <c r="S32" i="65"/>
  <c r="S32" i="9"/>
  <c r="R32" i="9"/>
  <c r="I32" i="7"/>
  <c r="K28" i="8" l="1"/>
  <c r="M28" i="8" s="1"/>
  <c r="K33" i="8"/>
  <c r="M33" i="8" s="1"/>
  <c r="C33" i="63"/>
  <c r="C30" i="63"/>
  <c r="H32" i="6"/>
  <c r="F28" i="8"/>
  <c r="E32" i="7"/>
  <c r="G33" i="8" s="1"/>
  <c r="L33" i="8" s="1"/>
  <c r="L32" i="7"/>
  <c r="G28" i="8" l="1"/>
  <c r="L28" i="8" s="1"/>
  <c r="K32" i="7"/>
  <c r="L32" i="6"/>
  <c r="C11" i="63"/>
  <c r="D12" i="63" s="1"/>
  <c r="I32" i="6"/>
  <c r="H32" i="8"/>
  <c r="I32" i="8"/>
  <c r="L22" i="125"/>
  <c r="K22" i="125"/>
  <c r="J22" i="125"/>
  <c r="I22" i="125"/>
  <c r="H22" i="125"/>
  <c r="G22" i="125"/>
  <c r="F22" i="125"/>
  <c r="E22" i="125"/>
  <c r="D22" i="125"/>
  <c r="C22" i="125"/>
  <c r="E32" i="8"/>
  <c r="L23" i="8"/>
  <c r="M23" i="8"/>
  <c r="L13" i="8"/>
  <c r="M13" i="8"/>
  <c r="L14" i="8"/>
  <c r="M14" i="8"/>
  <c r="L15" i="8"/>
  <c r="M15" i="8"/>
  <c r="L16" i="8"/>
  <c r="M16" i="8"/>
  <c r="L17" i="8"/>
  <c r="M17" i="8"/>
  <c r="L18" i="8"/>
  <c r="M18" i="8"/>
  <c r="L19" i="8"/>
  <c r="M19" i="8"/>
  <c r="K13" i="7"/>
  <c r="L13" i="7"/>
  <c r="M13" i="7"/>
  <c r="K14" i="7"/>
  <c r="L14" i="7"/>
  <c r="M14" i="7"/>
  <c r="K15" i="7"/>
  <c r="L15" i="7"/>
  <c r="M15" i="7"/>
  <c r="K16" i="7"/>
  <c r="L16" i="7"/>
  <c r="M16" i="7"/>
  <c r="K17" i="7"/>
  <c r="L17" i="7"/>
  <c r="M17" i="7"/>
  <c r="K18" i="7"/>
  <c r="L18" i="7"/>
  <c r="M18" i="7"/>
  <c r="K19" i="7"/>
  <c r="L19" i="7"/>
  <c r="M19" i="7"/>
  <c r="K19" i="6"/>
  <c r="C19" i="6"/>
  <c r="K18" i="6"/>
  <c r="C18" i="6"/>
  <c r="K17" i="6"/>
  <c r="C17" i="6"/>
  <c r="K16" i="6"/>
  <c r="C16" i="6"/>
  <c r="K15" i="6"/>
  <c r="C15" i="6"/>
  <c r="K14" i="6"/>
  <c r="C14" i="6"/>
  <c r="K13" i="6"/>
  <c r="C13" i="6"/>
  <c r="H14" i="15"/>
  <c r="I14" i="15"/>
  <c r="C13" i="15"/>
  <c r="C15" i="15"/>
  <c r="L15" i="15"/>
  <c r="F16" i="15"/>
  <c r="E16" i="6" s="1"/>
  <c r="K16" i="15"/>
  <c r="H17" i="15"/>
  <c r="Q13" i="15"/>
  <c r="P13" i="15"/>
  <c r="O13" i="15"/>
  <c r="N13" i="15"/>
  <c r="M13" i="15"/>
  <c r="L13" i="15"/>
  <c r="K13" i="15"/>
  <c r="J13" i="15"/>
  <c r="I13" i="15"/>
  <c r="H13" i="15"/>
  <c r="G13" i="15"/>
  <c r="F13" i="15"/>
  <c r="E13" i="6" s="1"/>
  <c r="E13" i="15"/>
  <c r="D13" i="6" s="1"/>
  <c r="D13" i="15"/>
  <c r="Q14" i="15"/>
  <c r="P14" i="15"/>
  <c r="O14" i="15"/>
  <c r="N14" i="15"/>
  <c r="M14" i="15"/>
  <c r="L14" i="15"/>
  <c r="K14" i="15"/>
  <c r="J14" i="15"/>
  <c r="G14" i="15"/>
  <c r="F14" i="15"/>
  <c r="E14" i="6" s="1"/>
  <c r="E14" i="15"/>
  <c r="D14" i="6" s="1"/>
  <c r="D14" i="15"/>
  <c r="C14" i="15"/>
  <c r="Q15" i="15"/>
  <c r="P15" i="15"/>
  <c r="O15" i="15"/>
  <c r="N15" i="15"/>
  <c r="M15" i="15"/>
  <c r="K15" i="15"/>
  <c r="J15" i="15"/>
  <c r="I15" i="15"/>
  <c r="H15" i="15"/>
  <c r="G15" i="15"/>
  <c r="F15" i="15"/>
  <c r="E15" i="6" s="1"/>
  <c r="E15" i="15"/>
  <c r="D15" i="6" s="1"/>
  <c r="D15" i="15"/>
  <c r="Q16" i="15"/>
  <c r="P16" i="15"/>
  <c r="O16" i="15"/>
  <c r="N16" i="15"/>
  <c r="M16" i="15"/>
  <c r="L16" i="15"/>
  <c r="J16" i="15"/>
  <c r="I16" i="15"/>
  <c r="H16" i="15"/>
  <c r="G16" i="15"/>
  <c r="E16" i="15"/>
  <c r="D16" i="6" s="1"/>
  <c r="D16" i="15"/>
  <c r="C16" i="15"/>
  <c r="Q17" i="15"/>
  <c r="P17" i="15"/>
  <c r="O17" i="15"/>
  <c r="N17" i="15"/>
  <c r="M17" i="15"/>
  <c r="L17" i="15"/>
  <c r="K17" i="15"/>
  <c r="J17" i="15"/>
  <c r="I17" i="15"/>
  <c r="G17" i="15"/>
  <c r="F17" i="15"/>
  <c r="E17" i="6" s="1"/>
  <c r="E17" i="15"/>
  <c r="D17" i="6" s="1"/>
  <c r="D17" i="15"/>
  <c r="C17" i="15"/>
  <c r="Q18" i="15"/>
  <c r="P18" i="15"/>
  <c r="O18" i="15"/>
  <c r="N18" i="15"/>
  <c r="M18" i="15"/>
  <c r="L18" i="15"/>
  <c r="K18" i="15"/>
  <c r="J18" i="15"/>
  <c r="I18" i="15"/>
  <c r="H18" i="15"/>
  <c r="G18" i="15"/>
  <c r="F18" i="15"/>
  <c r="E18" i="6" s="1"/>
  <c r="E18" i="15"/>
  <c r="D18" i="6" s="1"/>
  <c r="D18" i="15"/>
  <c r="C18" i="15"/>
  <c r="J19" i="15"/>
  <c r="I19" i="15"/>
  <c r="H19" i="15"/>
  <c r="G19" i="15"/>
  <c r="F19" i="15"/>
  <c r="E19" i="6" s="1"/>
  <c r="E19" i="15"/>
  <c r="D19" i="6" s="1"/>
  <c r="D19" i="15"/>
  <c r="C19" i="15"/>
  <c r="Q19" i="15"/>
  <c r="P19" i="15"/>
  <c r="O19" i="15"/>
  <c r="N19" i="15"/>
  <c r="M19" i="15"/>
  <c r="L19" i="15"/>
  <c r="K19" i="15"/>
  <c r="N22" i="125" l="1"/>
  <c r="J17" i="61"/>
  <c r="K17" i="61"/>
  <c r="J15" i="61"/>
  <c r="K15" i="61"/>
  <c r="J18" i="61"/>
  <c r="K18" i="61"/>
  <c r="K14" i="61"/>
  <c r="J14" i="61"/>
  <c r="J16" i="61"/>
  <c r="K16" i="61"/>
  <c r="J19" i="61"/>
  <c r="K19" i="61"/>
  <c r="K13" i="61"/>
  <c r="J13" i="61"/>
  <c r="C13" i="63"/>
  <c r="C15" i="63" s="1"/>
  <c r="J32" i="6"/>
  <c r="M32" i="6"/>
  <c r="H19" i="6"/>
  <c r="L19" i="6" s="1"/>
  <c r="F15" i="6"/>
  <c r="G17" i="6"/>
  <c r="J32" i="8"/>
  <c r="G14" i="6"/>
  <c r="F32" i="8"/>
  <c r="G18" i="6"/>
  <c r="G15" i="6"/>
  <c r="G13" i="6"/>
  <c r="G16" i="6"/>
  <c r="H16" i="6"/>
  <c r="L16" i="6" s="1"/>
  <c r="F14" i="6"/>
  <c r="F13" i="6"/>
  <c r="G19" i="6"/>
  <c r="F18" i="6"/>
  <c r="F17" i="6"/>
  <c r="F19" i="6"/>
  <c r="F16" i="6"/>
  <c r="H17" i="6"/>
  <c r="L17" i="6" s="1"/>
  <c r="H18" i="6"/>
  <c r="H13" i="6"/>
  <c r="H15" i="6"/>
  <c r="H14" i="6"/>
  <c r="V13" i="15"/>
  <c r="V14" i="15"/>
  <c r="V15" i="15"/>
  <c r="V16" i="15"/>
  <c r="V17" i="15"/>
  <c r="V18" i="15"/>
  <c r="V19" i="15"/>
  <c r="R13" i="15"/>
  <c r="S13" i="15"/>
  <c r="T13" i="15"/>
  <c r="U13" i="15"/>
  <c r="R14" i="15"/>
  <c r="S14" i="15"/>
  <c r="T14" i="15"/>
  <c r="U14" i="15"/>
  <c r="R15" i="15"/>
  <c r="S15" i="15"/>
  <c r="T15" i="15"/>
  <c r="U15" i="15"/>
  <c r="R16" i="15"/>
  <c r="S16" i="15"/>
  <c r="T16" i="15"/>
  <c r="U16" i="15"/>
  <c r="R17" i="15"/>
  <c r="S17" i="15"/>
  <c r="T17" i="15"/>
  <c r="U17" i="15"/>
  <c r="R18" i="15"/>
  <c r="S18" i="15"/>
  <c r="T18" i="15"/>
  <c r="U18" i="15"/>
  <c r="R19" i="15"/>
  <c r="S19" i="15"/>
  <c r="T19" i="15"/>
  <c r="U19" i="15"/>
  <c r="D14" i="63" l="1"/>
  <c r="O28" i="125"/>
  <c r="P28" i="120"/>
  <c r="O28" i="120"/>
  <c r="I15" i="6"/>
  <c r="M15" i="6" s="1"/>
  <c r="I19" i="6"/>
  <c r="M19" i="6" s="1"/>
  <c r="C16" i="63"/>
  <c r="D17" i="63" s="1"/>
  <c r="C32" i="8"/>
  <c r="D33" i="8" s="1"/>
  <c r="N32" i="6"/>
  <c r="J32" i="7"/>
  <c r="K32" i="8"/>
  <c r="M32" i="8" s="1"/>
  <c r="G32" i="8"/>
  <c r="L32" i="8" s="1"/>
  <c r="I18" i="6"/>
  <c r="M18" i="6" s="1"/>
  <c r="I16" i="6"/>
  <c r="J16" i="6" s="1"/>
  <c r="N16" i="6" s="1"/>
  <c r="L18" i="6"/>
  <c r="I13" i="6"/>
  <c r="J13" i="6" s="1"/>
  <c r="L15" i="6"/>
  <c r="I14" i="6"/>
  <c r="J14" i="6" s="1"/>
  <c r="I17" i="6"/>
  <c r="J15" i="6" l="1"/>
  <c r="N15" i="6" s="1"/>
  <c r="J19" i="6"/>
  <c r="N19" i="6" s="1"/>
  <c r="M32" i="7"/>
  <c r="D28" i="8"/>
  <c r="M16" i="6"/>
  <c r="J18" i="6"/>
  <c r="N18" i="6" s="1"/>
  <c r="S23" i="15"/>
  <c r="M17" i="6"/>
  <c r="J17" i="6"/>
  <c r="N17" i="6" s="1"/>
  <c r="V23" i="15"/>
  <c r="T23" i="15"/>
  <c r="U23" i="15"/>
  <c r="R23" i="15" l="1"/>
  <c r="D32" i="8"/>
  <c r="H22" i="110" l="1"/>
  <c r="L22" i="110"/>
  <c r="K22" i="110"/>
  <c r="J22" i="110"/>
  <c r="I22" i="110"/>
  <c r="G22" i="110"/>
  <c r="F22" i="110"/>
  <c r="E22" i="110"/>
  <c r="D22" i="110"/>
  <c r="C22" i="110"/>
  <c r="N22" i="122"/>
  <c r="L22" i="122"/>
  <c r="K22" i="122"/>
  <c r="J22" i="122"/>
  <c r="I22" i="122"/>
  <c r="H22" i="122"/>
  <c r="G22" i="122"/>
  <c r="F22" i="122"/>
  <c r="E22" i="122"/>
  <c r="D22" i="122"/>
  <c r="C22" i="122"/>
  <c r="M22" i="125" l="1"/>
  <c r="M22" i="122"/>
  <c r="F32" i="93" l="1"/>
  <c r="C104" i="63" l="1"/>
  <c r="N22" i="119"/>
  <c r="M22" i="119"/>
  <c r="L22" i="119"/>
  <c r="K22" i="119"/>
  <c r="J22" i="119"/>
  <c r="I22" i="119"/>
  <c r="H22" i="119"/>
  <c r="G22" i="119"/>
  <c r="F22" i="119"/>
  <c r="E22" i="119"/>
  <c r="D22" i="119"/>
  <c r="C22" i="119"/>
  <c r="L22" i="107"/>
  <c r="K22" i="107"/>
  <c r="J22" i="107"/>
  <c r="I22" i="107"/>
  <c r="G22" i="107"/>
  <c r="E22" i="107"/>
  <c r="D22" i="107"/>
  <c r="C22" i="107"/>
  <c r="F22" i="90"/>
  <c r="E22" i="90"/>
  <c r="D22" i="90"/>
  <c r="M22" i="120"/>
  <c r="L22" i="120"/>
  <c r="K22" i="120"/>
  <c r="J22" i="120"/>
  <c r="I22" i="120"/>
  <c r="G22" i="120"/>
  <c r="F22" i="120"/>
  <c r="E22" i="120"/>
  <c r="D22" i="120"/>
  <c r="C22" i="120"/>
  <c r="R23" i="112"/>
  <c r="Q23" i="112"/>
  <c r="P23" i="112"/>
  <c r="O23" i="112"/>
  <c r="N23" i="112"/>
  <c r="M23" i="112"/>
  <c r="L23" i="112"/>
  <c r="K23" i="112"/>
  <c r="J23" i="112"/>
  <c r="I23" i="112"/>
  <c r="H23" i="112"/>
  <c r="G23" i="112"/>
  <c r="F23" i="112"/>
  <c r="E23" i="112"/>
  <c r="D23" i="112"/>
  <c r="C23" i="112"/>
  <c r="R23" i="113"/>
  <c r="Q23" i="113"/>
  <c r="P23" i="113"/>
  <c r="O23" i="113"/>
  <c r="N23" i="113"/>
  <c r="M23" i="113"/>
  <c r="L23" i="113"/>
  <c r="K23" i="113"/>
  <c r="J23" i="113"/>
  <c r="I23" i="113"/>
  <c r="H23" i="113"/>
  <c r="G23" i="113"/>
  <c r="F23" i="113"/>
  <c r="E23" i="113"/>
  <c r="D23" i="113"/>
  <c r="C23" i="113"/>
  <c r="M22" i="107" l="1"/>
  <c r="N22" i="107"/>
  <c r="N22" i="120"/>
  <c r="P22" i="120" l="1"/>
  <c r="O22" i="120"/>
  <c r="C37" i="98"/>
  <c r="E37" i="98" s="1"/>
  <c r="C12" i="63" l="1"/>
  <c r="C14" i="63" l="1"/>
  <c r="C17" i="63"/>
  <c r="D36" i="98" l="1"/>
  <c r="O22" i="125" l="1"/>
  <c r="D18" i="93" l="1"/>
  <c r="E18" i="93"/>
  <c r="C18" i="93"/>
  <c r="F18" i="93" l="1"/>
  <c r="F31" i="93"/>
  <c r="C36" i="98" l="1"/>
  <c r="E36" i="98" s="1"/>
  <c r="E22" i="8" l="1"/>
  <c r="I22" i="8" l="1"/>
  <c r="H22" i="8"/>
  <c r="J22" i="8"/>
  <c r="F22" i="8" l="1"/>
  <c r="K22" i="8" l="1"/>
  <c r="M22" i="8" s="1"/>
  <c r="G22" i="8" l="1"/>
  <c r="L22" i="8" s="1"/>
  <c r="D22" i="8" l="1"/>
  <c r="D35" i="98" l="1"/>
  <c r="F30" i="93" l="1"/>
  <c r="F29" i="93" l="1"/>
  <c r="D33" i="98"/>
  <c r="G18" i="130"/>
  <c r="H18" i="130" s="1"/>
  <c r="G17" i="130"/>
  <c r="H17" i="130" s="1"/>
  <c r="G16" i="130"/>
  <c r="H16" i="130" s="1"/>
  <c r="G15" i="130"/>
  <c r="H15" i="130" s="1"/>
  <c r="G14" i="130"/>
  <c r="H14" i="130" s="1"/>
  <c r="G13" i="130"/>
  <c r="H13" i="130" s="1"/>
  <c r="F28" i="93"/>
  <c r="D32" i="98"/>
  <c r="E32" i="98" s="1"/>
  <c r="O13" i="13"/>
  <c r="P13" i="13"/>
  <c r="O14" i="13"/>
  <c r="P14" i="13"/>
  <c r="O15" i="13"/>
  <c r="P15" i="13"/>
  <c r="O16" i="13"/>
  <c r="P16" i="13"/>
  <c r="O17" i="13"/>
  <c r="P17" i="13"/>
  <c r="O18" i="13"/>
  <c r="P18" i="13"/>
  <c r="R22" i="112"/>
  <c r="Q22" i="112"/>
  <c r="P22" i="112"/>
  <c r="O22" i="112"/>
  <c r="N22" i="112"/>
  <c r="M22" i="112"/>
  <c r="L22" i="112"/>
  <c r="K22" i="112"/>
  <c r="J22" i="112"/>
  <c r="I22" i="112"/>
  <c r="H22" i="112"/>
  <c r="G22" i="112"/>
  <c r="F22" i="112"/>
  <c r="E22" i="112"/>
  <c r="D22" i="112"/>
  <c r="C22" i="112"/>
  <c r="R22" i="113"/>
  <c r="Q22" i="113"/>
  <c r="P22" i="113"/>
  <c r="O22" i="113"/>
  <c r="N22" i="113"/>
  <c r="M22" i="113"/>
  <c r="L22" i="113"/>
  <c r="K22" i="113"/>
  <c r="J22" i="113"/>
  <c r="I22" i="113"/>
  <c r="H22" i="113"/>
  <c r="G22" i="113"/>
  <c r="F22" i="113"/>
  <c r="E22" i="113"/>
  <c r="D22" i="113"/>
  <c r="C22" i="113"/>
  <c r="F27" i="93"/>
  <c r="P13" i="74"/>
  <c r="P14" i="74"/>
  <c r="P15" i="74"/>
  <c r="P16" i="74"/>
  <c r="P17" i="74"/>
  <c r="P18" i="74"/>
  <c r="P13" i="75"/>
  <c r="P14" i="75"/>
  <c r="P15" i="75"/>
  <c r="P16" i="75"/>
  <c r="P17" i="75"/>
  <c r="P18" i="75"/>
  <c r="Q33" i="127"/>
  <c r="Q12" i="127"/>
  <c r="Q13" i="127"/>
  <c r="Q14" i="127"/>
  <c r="Q15" i="127"/>
  <c r="Q16" i="127"/>
  <c r="Q17" i="127"/>
  <c r="Q18" i="127"/>
  <c r="Q19" i="127"/>
  <c r="Q20" i="127"/>
  <c r="Q21" i="127"/>
  <c r="Q22" i="127"/>
  <c r="Q23" i="127"/>
  <c r="Q24" i="127"/>
  <c r="Q25" i="127"/>
  <c r="Q26" i="127"/>
  <c r="Q27" i="127"/>
  <c r="Q28" i="127"/>
  <c r="Q29" i="127"/>
  <c r="Q30" i="127"/>
  <c r="Q31" i="127"/>
  <c r="Q32" i="127"/>
  <c r="Q33" i="114"/>
  <c r="F26" i="93"/>
  <c r="Q32" i="114"/>
  <c r="Q31" i="114"/>
  <c r="Q30" i="114"/>
  <c r="Q29" i="114"/>
  <c r="Q28" i="114"/>
  <c r="Q27" i="114"/>
  <c r="Q26" i="114"/>
  <c r="Q25" i="114"/>
  <c r="Q24" i="114"/>
  <c r="Q23" i="114"/>
  <c r="Q22" i="114"/>
  <c r="Q21" i="114"/>
  <c r="Q20" i="114"/>
  <c r="Q19" i="114"/>
  <c r="Q18" i="114"/>
  <c r="Q17" i="114"/>
  <c r="Q16" i="114"/>
  <c r="Q15" i="114"/>
  <c r="Q14" i="114"/>
  <c r="Q13" i="114"/>
  <c r="D30" i="98"/>
  <c r="E30" i="98" s="1"/>
  <c r="F25" i="93"/>
  <c r="D29" i="98"/>
  <c r="E29" i="98" s="1"/>
  <c r="F24" i="93"/>
  <c r="D28" i="98"/>
  <c r="R21" i="112"/>
  <c r="Q21" i="112"/>
  <c r="P21" i="112"/>
  <c r="O21" i="112"/>
  <c r="N21" i="112"/>
  <c r="M21" i="112"/>
  <c r="L21" i="112"/>
  <c r="K21" i="112"/>
  <c r="J21" i="112"/>
  <c r="I21" i="112"/>
  <c r="H21" i="112"/>
  <c r="G21" i="112"/>
  <c r="F21" i="112"/>
  <c r="E21" i="112"/>
  <c r="D21" i="112"/>
  <c r="C21" i="112"/>
  <c r="R21" i="113"/>
  <c r="Q21" i="113"/>
  <c r="P21" i="113"/>
  <c r="O21" i="113"/>
  <c r="N21" i="113"/>
  <c r="M21" i="113"/>
  <c r="L21" i="113"/>
  <c r="K21" i="113"/>
  <c r="J21" i="113"/>
  <c r="I21" i="113"/>
  <c r="H21" i="113"/>
  <c r="G21" i="113"/>
  <c r="F21" i="113"/>
  <c r="E21" i="113"/>
  <c r="D21" i="113"/>
  <c r="C21" i="113"/>
  <c r="F23" i="93"/>
  <c r="D27" i="98"/>
  <c r="E27" i="98" s="1"/>
  <c r="F22" i="93"/>
  <c r="M13" i="11"/>
  <c r="N13" i="11"/>
  <c r="M14" i="11"/>
  <c r="N14" i="11"/>
  <c r="M15" i="11"/>
  <c r="N15" i="11"/>
  <c r="M16" i="11"/>
  <c r="N16" i="11"/>
  <c r="M17" i="11"/>
  <c r="N17" i="11"/>
  <c r="F21" i="93"/>
  <c r="F20" i="93"/>
  <c r="D23" i="98"/>
  <c r="E23" i="98" s="1"/>
  <c r="D22" i="98"/>
  <c r="E22" i="98" s="1"/>
  <c r="D21" i="98"/>
  <c r="E21" i="98" s="1"/>
  <c r="R13" i="64"/>
  <c r="S13" i="64"/>
  <c r="R14" i="64"/>
  <c r="S14" i="64"/>
  <c r="R15" i="64"/>
  <c r="S15" i="64"/>
  <c r="R13" i="65"/>
  <c r="S13" i="65"/>
  <c r="R14" i="65"/>
  <c r="S14" i="65"/>
  <c r="R15" i="65"/>
  <c r="S15" i="65"/>
  <c r="K13" i="12"/>
  <c r="K14" i="12"/>
  <c r="K15" i="12"/>
  <c r="L13" i="12"/>
  <c r="L14" i="12"/>
  <c r="L15" i="12"/>
  <c r="D18" i="98"/>
  <c r="E18" i="98" s="1"/>
  <c r="L14" i="6"/>
  <c r="L13" i="6"/>
  <c r="D17" i="98"/>
  <c r="E17" i="98" s="1"/>
  <c r="D16" i="98"/>
  <c r="E16" i="98" s="1"/>
  <c r="D15" i="98"/>
  <c r="E15" i="98" s="1"/>
  <c r="D13" i="98"/>
  <c r="E13" i="98" s="1"/>
  <c r="D12" i="98"/>
  <c r="E12" i="98" s="1"/>
  <c r="D11" i="98"/>
  <c r="E11" i="98" s="1"/>
  <c r="D10" i="98"/>
  <c r="E10" i="98" s="1"/>
  <c r="D9" i="98"/>
  <c r="E9" i="98" s="1"/>
  <c r="H13" i="107"/>
  <c r="F13" i="107"/>
  <c r="R13" i="106"/>
  <c r="Q13" i="106"/>
  <c r="S13" i="106"/>
  <c r="F11" i="93"/>
  <c r="C35" i="98" l="1"/>
  <c r="E35" i="98" s="1"/>
  <c r="E34" i="98"/>
  <c r="E31" i="98"/>
  <c r="E33" i="98"/>
  <c r="E28" i="98"/>
  <c r="N14" i="6" l="1"/>
  <c r="M14" i="6"/>
  <c r="N13" i="6"/>
  <c r="M13" i="6"/>
  <c r="K23" i="7"/>
  <c r="L23" i="6" l="1"/>
  <c r="M23" i="6"/>
  <c r="L23" i="7"/>
  <c r="N23" i="6" l="1"/>
  <c r="M23" i="7" l="1"/>
  <c r="C83" i="63" l="1"/>
  <c r="C84" i="63"/>
  <c r="D83" i="63" l="1"/>
  <c r="E83" i="63"/>
  <c r="D84" i="63"/>
  <c r="E84" i="63"/>
  <c r="C85" i="63" l="1"/>
  <c r="C82" i="63" l="1"/>
  <c r="C80" i="63"/>
  <c r="C81" i="63" s="1"/>
  <c r="D85" i="63" l="1"/>
  <c r="D82" i="63" l="1"/>
  <c r="D80" i="63"/>
  <c r="D81" i="63" s="1"/>
  <c r="E85" i="63" l="1"/>
  <c r="E80" i="63" l="1"/>
  <c r="E81" i="63" s="1"/>
  <c r="E82" i="63"/>
</calcChain>
</file>

<file path=xl/sharedStrings.xml><?xml version="1.0" encoding="utf-8"?>
<sst xmlns="http://schemas.openxmlformats.org/spreadsheetml/2006/main" count="5383" uniqueCount="1803">
  <si>
    <r>
      <t xml:space="preserve">Tables List   </t>
    </r>
    <r>
      <rPr>
        <b/>
        <sz val="14"/>
        <color indexed="8"/>
        <rFont val="Arial (Arabic)"/>
        <family val="2"/>
        <charset val="178"/>
      </rPr>
      <t>قائمـة الجـداول</t>
    </r>
  </si>
  <si>
    <r>
      <t xml:space="preserve">Table  </t>
    </r>
    <r>
      <rPr>
        <b/>
        <sz val="14"/>
        <color indexed="8"/>
        <rFont val="Arial (Arabic)"/>
        <family val="2"/>
        <charset val="178"/>
      </rPr>
      <t>الجدول</t>
    </r>
  </si>
  <si>
    <t>Banking Statistics</t>
  </si>
  <si>
    <t>الإحصاءات المصرفية</t>
  </si>
  <si>
    <t>Money &amp; Banking</t>
  </si>
  <si>
    <t>النقود والمصارف</t>
  </si>
  <si>
    <t>Central Bank of Bahrain - Assets/Liabilities</t>
  </si>
  <si>
    <t>مصرف البحرين المركزي - الموجودات/المطلوبات</t>
  </si>
  <si>
    <t>Currency</t>
  </si>
  <si>
    <t>النقد</t>
  </si>
  <si>
    <t>Money Supply</t>
  </si>
  <si>
    <t>عرض النقد</t>
  </si>
  <si>
    <t>Monetary Survey</t>
  </si>
  <si>
    <t>المسح النقدي</t>
  </si>
  <si>
    <t>Factors Affecting Changes in Money Supply</t>
  </si>
  <si>
    <t>العوامل المؤثرة في عرض النقد</t>
  </si>
  <si>
    <t>BD Exchange Rates Against Selected Currencies</t>
  </si>
  <si>
    <t>أسعار صرف الدينار البحريني مقابل بعض العملات المختارة</t>
  </si>
  <si>
    <t>Conventional Retail Banks - BD Interest Rates on Deposits and Loans</t>
  </si>
  <si>
    <t>مصارف قطاع التجزئة التقليدية - أسعار الفائدة على الودائع والقروض بالدينار البحريني</t>
  </si>
  <si>
    <t>Conventional Retail Banks - BD Interest Rates on Personal &amp; Business Loans by Banks</t>
  </si>
  <si>
    <t>مصارف قطاع التجزئة التقليدية - أسعار الفائدة على القروض الشخصية وقروض قطاع الأعمال حسب المصارف</t>
  </si>
  <si>
    <t>Islamic Retail Banks - Rates of Profit on BD Deposits &amp; Loans</t>
  </si>
  <si>
    <t>مصارف قطاع التجزئة الإسلامية - معدلات الربح على الودائع والقروض بالدينار البحريني</t>
  </si>
  <si>
    <t>Islamic Retail Banks - Rates of Profit on Personal and Business Loans by Banks</t>
  </si>
  <si>
    <t>مصارف قطاع التجزئة الإسلامية - معدلات الربح على القروض الشخصية وقروض قطاع الأعمال حسب المصارف</t>
  </si>
  <si>
    <t>Government of Bahrain Treasury Bills</t>
  </si>
  <si>
    <t>أذونات الخزانة لحكومة البحرين</t>
  </si>
  <si>
    <t>Public Debt Instruments</t>
  </si>
  <si>
    <t>أدوات الدين العام</t>
  </si>
  <si>
    <t>Aggregated Balance Sheet of the Banking System: Retail Banks &amp; Wholesale Banks</t>
  </si>
  <si>
    <t>الميزانية الموحدة للجهاز المصرفي:  مصارف قطاع التجزئة ومصارف قطاع الجملة</t>
  </si>
  <si>
    <t>Retail Banks</t>
  </si>
  <si>
    <t>مصارف قطاع التجزئة</t>
  </si>
  <si>
    <t>Aggregated Balance Sheet - Assets</t>
  </si>
  <si>
    <t>الميزانية الموحدة - الموجودات</t>
  </si>
  <si>
    <t>Aggregated Balance Sheet - Liabilities</t>
  </si>
  <si>
    <t>الميزانية الموحدة - المطلوبات</t>
  </si>
  <si>
    <t>Foreign Assets and Liabilities</t>
  </si>
  <si>
    <t>الموجودات والمطلوبات الأجنبية</t>
  </si>
  <si>
    <t>Assets by Currency</t>
  </si>
  <si>
    <t>الموجودات حسب العملات</t>
  </si>
  <si>
    <t>Liabilities by Currency</t>
  </si>
  <si>
    <t>المطلوبات حسب العملات</t>
  </si>
  <si>
    <t>Deposit Liabilities to Non-Banks</t>
  </si>
  <si>
    <t>الودائع من غير المصارف</t>
  </si>
  <si>
    <t>Outstanding Loans and Advances to Non-Bank Residents by Economic Sector</t>
  </si>
  <si>
    <t>توزيع إجمالي القروض والتسهيلات حسب القطاعات الاقتصادية المقيمة (باستثناء المصارف)</t>
  </si>
  <si>
    <t>Distribution of Outstanding Loans and Advances to Business Sector by International Standard Industrial Classification of All Economic Activities</t>
  </si>
  <si>
    <t>توزيع إجمالي قروض وتسهيلات قطاع الأعمال حسب التصنيف الصناعي الدولي الموحد لجميع الأنشطة الاقتصادية</t>
  </si>
  <si>
    <t>Outstanding Loans and Advances to Non-Bank Residents-Banks and Financing Companies</t>
  </si>
  <si>
    <t>توزيع إجمالي القروض والتسهيلات لغير المصارف-المصارف وشركات التمويل</t>
  </si>
  <si>
    <t>Geographical Classification of Assets and Liabilities</t>
  </si>
  <si>
    <t>الموجودات والمطلوبات حسب التصنيف الجغرافي</t>
  </si>
  <si>
    <t>Classification of Assets and Liabilities by Major Currencies</t>
  </si>
  <si>
    <t>الموجودات والمطلوبات حسب أهم العملات</t>
  </si>
  <si>
    <t>Selected Banking Indicators</t>
  </si>
  <si>
    <t>مؤشرات مصرفية مختارة</t>
  </si>
  <si>
    <t>Conventional Retail Banks: Aggregated Balance Sheet of Islamic Windows - Assets</t>
  </si>
  <si>
    <t>مصارف قطاع التجزئة التقليدية: الميزانية الموحدة للنوافذ الإسلامية - الموجودات</t>
  </si>
  <si>
    <t>Conventional Retail Banks: Aggregated Balance Sheet of Islamic Windows - Liabilities</t>
  </si>
  <si>
    <t>مصارف قطاع التجزئة التقليدية: الميزانية الموحدة للنوافذ الإسلامية - المطلوبات</t>
  </si>
  <si>
    <t>Wholesale Banks</t>
  </si>
  <si>
    <t>مصارف قطاع الجملة</t>
  </si>
  <si>
    <t>Islamic Banks</t>
  </si>
  <si>
    <t>المصارف الإسلامية</t>
  </si>
  <si>
    <t>Classification of Restricted &amp; Unrestricted account for Islamic Banks (Consolidated)</t>
  </si>
  <si>
    <t>الحسابات المقيدة وغير المقيدة للمصارف الإسلامية (مجمعة)</t>
  </si>
  <si>
    <t>Financial Soundness Indicators</t>
  </si>
  <si>
    <t>مؤشرا ت السلامة المالية للقطاع المصرفي</t>
  </si>
  <si>
    <t>Financial Soundness Indicators - Entire Banking Sector</t>
  </si>
  <si>
    <t>Financial Soundness Indicators - Conventional Banks</t>
  </si>
  <si>
    <t>مؤشرا ت السلامة المالية للقطاع المصرفي - المصارف التقليدية</t>
  </si>
  <si>
    <t>Financial Soundness Indicators - Islamic Banks</t>
  </si>
  <si>
    <t>مؤشرا ت السلامة المالية للقطاع المصرفي - المصارف الإسلامية</t>
  </si>
  <si>
    <t>Investment Business Firms</t>
  </si>
  <si>
    <t>شركات أعمال استثمارية</t>
  </si>
  <si>
    <t>Money Changers: Aggregated Balance Sheet</t>
  </si>
  <si>
    <t>الميزانية الموحدة لمكاتب الصرافة</t>
  </si>
  <si>
    <t>Payment Systems</t>
  </si>
  <si>
    <t xml:space="preserve">أنظمة المدفوعات </t>
  </si>
  <si>
    <t>Bahrain Cheque Truncation System (BCTS) - Returned Cheques</t>
  </si>
  <si>
    <t>نظام البحرين لمقاصة الشيكات الإلكتروني - الشيكات المرتجعة</t>
  </si>
  <si>
    <t>Point of Sales Transactions</t>
  </si>
  <si>
    <t>عمليات نقاط البيع</t>
  </si>
  <si>
    <t>Points of Sales Transactions by Sectors - Credit Cards issued in Bahrain</t>
  </si>
  <si>
    <t>عمليات نقاط البيع حسب القطاعات - بطاقات الائتمان المصدرة في البحرين</t>
  </si>
  <si>
    <t>Points of Sales Transactions by Sectors - Credit Cards issued Outside Bahrain</t>
  </si>
  <si>
    <t>عمليات نقاط البيع حسب القطاعات - بطاقات الائتمان المصدرة خارج البحرين</t>
  </si>
  <si>
    <t>Points of Sales Transactions by Sectors - Debit Cards issued in Bahrain</t>
  </si>
  <si>
    <t>عمليات نقاط البيع حسب القطاعات - بطاقات الخصم المصدرة في البحرين</t>
  </si>
  <si>
    <t>Points of Sales Transactions by Sectors - Debit Cards issued Outside Bahrain</t>
  </si>
  <si>
    <t>عمليات نقاط البيع حسب القطاعات - بطاقات الخصم المصدرة خارج البحرين</t>
  </si>
  <si>
    <t>Number of Point of Sales Transactions by Card-Issuer Country</t>
  </si>
  <si>
    <t>عدد عمليات نقاط البيع حسب الدول المصدرة للبطاقة</t>
  </si>
  <si>
    <t>Value of Point of Sales Transactions by Card-Issuer Country</t>
  </si>
  <si>
    <t>قيمة عمليات نقاط البيع حسب الدول المصدرة للبطاقة</t>
  </si>
  <si>
    <t>Economic Statistics</t>
  </si>
  <si>
    <t>الإحصاءات الاقتصادية</t>
  </si>
  <si>
    <t>Number of Employees in the Financial Sector</t>
  </si>
  <si>
    <t>عدد العاملين في القطاع المالي</t>
  </si>
  <si>
    <t>Balance of Payments</t>
  </si>
  <si>
    <t>ميزان المدفوعات</t>
  </si>
  <si>
    <t>International Investment Position</t>
  </si>
  <si>
    <t>وضع الاستثمار الدولي</t>
  </si>
  <si>
    <t>International Official Reserves</t>
  </si>
  <si>
    <t>الاحتياطـيـات الرسمية الدوليـة</t>
  </si>
  <si>
    <t>Bahrain Bourse</t>
  </si>
  <si>
    <t>بورصة البحرين</t>
  </si>
  <si>
    <t>Market Indicators of Listed Companies</t>
  </si>
  <si>
    <t xml:space="preserve"> مؤشرات التداول للشركات المساهمة العامة</t>
  </si>
  <si>
    <t>Value of Shares Traded by Sector</t>
  </si>
  <si>
    <t xml:space="preserve"> قيمة الأسهم المتداولة حسب القطاعات</t>
  </si>
  <si>
    <t>Bahrain Index by Sector</t>
  </si>
  <si>
    <t xml:space="preserve"> مؤشر الأسعار حسب القطاعات</t>
  </si>
  <si>
    <t>Trading value of investors' participation and % of shares ownership in listed companies</t>
  </si>
  <si>
    <t>قيمة تعاملات المستثمرين في السوق ونسب التملك في أسهم الشركات المساهمة العامة المسجلة</t>
  </si>
  <si>
    <t>Mutual Funds</t>
  </si>
  <si>
    <t>صناديق الاستثمار</t>
  </si>
  <si>
    <t xml:space="preserve"> </t>
  </si>
  <si>
    <t>Statistical Bulletin Metadata</t>
  </si>
  <si>
    <t>I. Coverage Characteristics</t>
  </si>
  <si>
    <t>Purpose of the study</t>
  </si>
  <si>
    <t>To disseminate financial and monetary data for our statistical bulletin publication that is reliable and comparable based on international standards to policy makers and other data users.</t>
  </si>
  <si>
    <t>General description of data</t>
  </si>
  <si>
    <t>The statistical bulletin gathers financial, monetary statistics from the Central Bank of Bahrain and other entities that is systematically recorded and divided by sector.</t>
  </si>
  <si>
    <t>Classification System</t>
  </si>
  <si>
    <t xml:space="preserve">Based on international Standards set forth in The Special Data Dissemination Standard (SDDS) by the International Monetary Fund. </t>
  </si>
  <si>
    <t>Statistical Population</t>
  </si>
  <si>
    <t>The subject of the study of the statistical bulletin are CBB licensees. This includes all banks, retail and wholesale, conventional and Islamic. Also, other non-banking financial institutions are included.</t>
  </si>
  <si>
    <t>Data Users</t>
  </si>
  <si>
    <t>Public institutions and organizations such as: Ministry of Finance and National Economy (MOFNE), Ministry of Trade and Industry, Bahrain Economic Development Board (EDB), international organizations such as International Monetary Fund (IMF), The Arab Monetary Fund (AMF), Rating Agencies,  financial institutions, and other users.</t>
  </si>
  <si>
    <t xml:space="preserve">Reference Area </t>
  </si>
  <si>
    <t xml:space="preserve">Bahrain </t>
  </si>
  <si>
    <t>Residency</t>
  </si>
  <si>
    <t>• For many entries on the returns, it is necessary to classify customers or counter-parties as “residents” or “non-residents” of Bahrain.  Residents are entities that are physically located in Bahrain, whether or not associated with an institution that is located outside Bahrain, and irrespective of nationality of the underlying ownership.  Conversely, non-residents are entities located outside Bahrain, whether or not owned--wholly or in part--by entities inside Bahrain.  With regard to individuals, persons who are long-term residents, or have their “economic center of interest” in Bahrain are to be classified as residents, irrespective of nationality.
• Assets and Liabilities of the reporting bank are to be broken down by the “bank” or “non-bank” character of the counter-party, the country of its residence and currency. 
•In the BOP and IIP, only retail banks and locally incorporated wholesale banks licensed by the CBB are treated as residents.</t>
  </si>
  <si>
    <t>Sector Coverage</t>
  </si>
  <si>
    <t>General Government (includes Central Government and Social Insurance), Central Bank, banks, other sectors (other financial and nonfinancial corporations).</t>
  </si>
  <si>
    <t xml:space="preserve">Time Coverage </t>
  </si>
  <si>
    <t xml:space="preserve">Data are compiled by the Central Bank of Bahrain since 2001, and are available on monthly basis. </t>
  </si>
  <si>
    <t xml:space="preserve">Statistical Concepts and Definitions </t>
  </si>
  <si>
    <t>Monetary Statistics</t>
  </si>
  <si>
    <t>Concept</t>
  </si>
  <si>
    <t>Description</t>
  </si>
  <si>
    <t>Periodicity</t>
  </si>
  <si>
    <t>Tables</t>
  </si>
  <si>
    <t>Scale</t>
  </si>
  <si>
    <t xml:space="preserve">• Money supply is the total value of money in an economy. 
• This table shows M0,M1,M2,M3. M0 describes the monetary base of the economy (Currency in circulation + Bank deposits in the Central Bank of Bahrain). 
• M1 is a narrow measure of money supply that consists of the most liquid portions of money (Currency in Circulation + Demand deposits). 
• M2 is a broader measure of money supply than M1 (M1 + Time and Saving deposits).
• M3 is the broadest definition of money supply and it includes the least liquid portions of money (M2 + General Government Deposits).
</t>
  </si>
  <si>
    <t>Monthly</t>
  </si>
  <si>
    <t>BD</t>
  </si>
  <si>
    <t>Million</t>
  </si>
  <si>
    <t xml:space="preserve">• It displays the components of M3 in terms of net foreign assets and domestic assets. 
• Domestic Assets include Claims on General Government and Claims on Private Sector, in addition to other net assets.  
</t>
  </si>
  <si>
    <t>Interest Rates on Deposits and Loans</t>
  </si>
  <si>
    <t xml:space="preserve">Historical data on the average interest on Deposits and Loans with a sectoral breakdown is provided. The data is also provided by conventional retail banks. </t>
  </si>
  <si>
    <t>7-8</t>
  </si>
  <si>
    <t>NA</t>
  </si>
  <si>
    <t>% Per Annum</t>
  </si>
  <si>
    <t>Rates of Profit on BD Deposits &amp; Loans</t>
  </si>
  <si>
    <t xml:space="preserve">Historical data on the average rate of profit on Deposits and Loans with a sectoral breakdown is provided. The data is also provided by Islamic retail banks. </t>
  </si>
  <si>
    <t>9-10</t>
  </si>
  <si>
    <t xml:space="preserve">• Public Debt is measured in terms of treasury bills and securities. 
• Conventional instruments include development bonds and treasury bills with a maturity of 91 days, 182 days, 12 months. 
• Islamic instruments includes Islamic Leasing securities and Al Salam securities. Sukuk or Islamic securities can be issued in BD or USD, and an exchange rate of 0.376 is used when evaluating USD government securities in BD.  </t>
  </si>
  <si>
    <t>11-12</t>
  </si>
  <si>
    <t xml:space="preserve">Balance Sheet of The Central Bank of Bahrain </t>
  </si>
  <si>
    <t xml:space="preserve">• Assets are divided into foreign and domestic. Foreign Assets include Foreign Exchange Reserves and Gold. A fixed value of 2.5 is recorded for monetary gold.
• Domestic Assets are presented in terms of claims on government, claims on banks and others.
• Liabilities include Foreign Liabilities and Domestic Liabilities such as Currency in Circulation, Liabilities to Banks and Non-Banks, Central Government Deposits, Capital Reserves and others.
</t>
  </si>
  <si>
    <t>Aggregated Balance Sheet of the Banking System</t>
  </si>
  <si>
    <t xml:space="preserve">• The aggregate balance sheet covers all the banking system excluding the balance sheet of The Central Bank of Bahrain. 
• Balance sheets are also provided by sector; Retail, wholesale, and Islamic. Each sectoral balance sheet is divided into two tables of Assets and Liabilities. 
• Domestic Assets include Cash, Central Bank, Banks, Non Banks, and General Government. 
</t>
  </si>
  <si>
    <t>USD</t>
  </si>
  <si>
    <t>Aggregated Balance Sheet of Retail Banks</t>
  </si>
  <si>
    <t xml:space="preserve">• In the Retail Sector, Net Foreign Assets are calculated, as well as the deposit liabilities. 
• A table is also provided to segment loans provided to non-bank residents by industrial sector, personal sector, and general government, excluding securities. 
• A classification of the balance sheet is also provided by currency and geographical locations. </t>
  </si>
  <si>
    <t>14-27</t>
  </si>
  <si>
    <t>Aggregated Balance Sheet of Wholesale Banks</t>
  </si>
  <si>
    <t xml:space="preserve">• In the wholesale Sector, Assets and Liabilities are divided into two table, in addition to the currency and geographical classification tables. </t>
  </si>
  <si>
    <t>28-31</t>
  </si>
  <si>
    <t>Aggregated Balance Sheet of Islamic Banks</t>
  </si>
  <si>
    <t>• In the Islamic Sector, both retail and wholesale banks are included. 
• Separate tables are provided for Assets and Liabilities, along with currency and geographical classification.  
• Further classification by restricted and unrestricted investment accounts, resident and non-resident, is also provided.</t>
  </si>
  <si>
    <t>32-36</t>
  </si>
  <si>
    <t xml:space="preserve">• Investment Business Firms Assets are divided by the three categories.
• Assets include Balance Sheet Assets and Assets Under Management, resident and non-resident.
</t>
  </si>
  <si>
    <t>Quarterly</t>
  </si>
  <si>
    <t>40</t>
  </si>
  <si>
    <t>Aggregated Balance Sheet of Money Changers</t>
  </si>
  <si>
    <t xml:space="preserve">• Domestic Assets include Cash, Deposits from Banks, Due from others, and other assets.
• Domestic Liabilities include Loans from Banks, Due to Others, Reserves and Equity, and other liabilities.
</t>
  </si>
  <si>
    <t>41</t>
  </si>
  <si>
    <t>Thousand</t>
  </si>
  <si>
    <t xml:space="preserve">Four payment systems are available to conduct transactions: 
• Real Time Gross Settlement for customer and inter-bank transactions, which is divided by customer transactions and interbank transactions.
• Electronic Funds Transfer System (EFTS)
• ATM Withdrawal Transactions
• Electronic Bill Payment and Presentment (EBPP)
Bahrain Cheque Truncation System (BCTS); Returned Cheques are also provided by volume and value along with the reasons (Technical or Financial Reasons). </t>
  </si>
  <si>
    <t>42-43</t>
  </si>
  <si>
    <t>• In this section, the number of transaction and their values are displayed for both debit and credit cards issued inside and outside Bahrain.
• Classification of POS transactions is provided by sector.
• Volume and value of Point of Sales Transactions by Card-Issuer Country (Excluding Bahrain).</t>
  </si>
  <si>
    <t>44-50</t>
  </si>
  <si>
    <t>Economic And Capital Market Statistics</t>
  </si>
  <si>
    <t>Includes the total number of employees under the banking and financial sector classified by sub-sectors, Bahraini and non-Bahraini, and by gender.</t>
  </si>
  <si>
    <t>51</t>
  </si>
  <si>
    <t>Number of Individuals</t>
  </si>
  <si>
    <r>
      <t>Current Account:</t>
    </r>
    <r>
      <rPr>
        <sz val="11.8"/>
        <rFont val="Arial"/>
        <family val="2"/>
      </rPr>
      <t xml:space="preserve"> It covers all the imported and exported goods and services, primary and secondary income accounts in the balance of payments. 
• Primary Income includes all the investment income, direct investment, portfolio investment, and others. Whereas, Secondary Income cover workers’ remittances.  
• In current account, when credits exceed the debits, in other words, when the difference is positive the result is called as current account surplus. 
• In contrast, the result is called a deficit when the debits exceed the credits.  when the debits exceed the credits, in other words, when the difference is negative the result is called as current account deficit. 
</t>
    </r>
    <r>
      <rPr>
        <b/>
        <sz val="11.8"/>
        <color theme="1"/>
        <rFont val="Arial"/>
        <family val="2"/>
      </rPr>
      <t>Capital Account:</t>
    </r>
    <r>
      <rPr>
        <sz val="11.8"/>
        <rFont val="Arial"/>
        <family val="2"/>
      </rPr>
      <t xml:space="preserve"> It covers capital transfers. 
</t>
    </r>
    <r>
      <rPr>
        <b/>
        <sz val="11.8"/>
        <color theme="1"/>
        <rFont val="Arial"/>
        <family val="2"/>
      </rPr>
      <t>Financial Account:</t>
    </r>
    <r>
      <rPr>
        <sz val="11.8"/>
        <rFont val="Arial"/>
        <family val="2"/>
      </rPr>
      <t xml:space="preserve"> It covers the changes in external financial assets and liabilities of a country and the corresponding records of these changes, it calculates the nets of the direct investment, portfolio investment, other investment, and reserve assets.
</t>
    </r>
    <r>
      <rPr>
        <b/>
        <sz val="11.8"/>
        <color theme="1"/>
        <rFont val="Arial"/>
        <family val="2"/>
      </rPr>
      <t>On the assets side of the different items of the financial account,</t>
    </r>
    <r>
      <rPr>
        <sz val="11.8"/>
        <rFont val="Arial"/>
        <family val="2"/>
      </rPr>
      <t xml:space="preserve"> a negative sign means an increase in foreign assets compared with the previous period, while a positive sign means a decrease in foreign assets.
</t>
    </r>
    <r>
      <rPr>
        <b/>
        <sz val="11.8"/>
        <color theme="1"/>
        <rFont val="Arial"/>
        <family val="2"/>
      </rPr>
      <t>On the liabilities side of the different items of the financial account,</t>
    </r>
    <r>
      <rPr>
        <sz val="11.8"/>
        <rFont val="Arial"/>
        <family val="2"/>
      </rPr>
      <t xml:space="preserve"> a negative sign means a decrease in foreign liabilities, while a positive sign means an increase in foreign liabilities. 
</t>
    </r>
  </si>
  <si>
    <t>The International Investment Position (IIP) is covered in terms of Foreign Assets and Foreign Liabilities.</t>
  </si>
  <si>
    <t>53</t>
  </si>
  <si>
    <t>This table reports the official reserves of Bahrain, which includes monetary gold, Special Drawing Rights (SDRs), IMF reserve position, and foreign currencies.</t>
  </si>
  <si>
    <t>54</t>
  </si>
  <si>
    <t xml:space="preserve">Bahrain Bourse </t>
  </si>
  <si>
    <t xml:space="preserve">• This section covers the stock market regulated by Bahrain Bourse. 
• It provides the number of companies along with the volume and value of shares traded. It also classifies the value of shares traded according to sector. 
• In addition, it covers market indicators like the capitalization and the turnover rate. 
• It also provides the trading value of investors' participation and percentage of shares ownership in listed companies on quarterly basis. </t>
  </si>
  <si>
    <t>Monthly/
Quarterly</t>
  </si>
  <si>
    <t>55-58</t>
  </si>
  <si>
    <t xml:space="preserve">Mutual Funds </t>
  </si>
  <si>
    <t xml:space="preserve">Mutual funds are professionally managed investment funds that are segmented in terms of type of bank or type of investor, whether an individual investor or an institution. </t>
  </si>
  <si>
    <t>Financial Statistics</t>
  </si>
  <si>
    <t>Financial Soundness Indicators are calculated for the overall banking sector and the following banking segments: Conventional Retail and Conventional Wholesale, Islamic Retail and Islamic Wholesale. The Data covers the following core indicators:
• Capital Adequacy Ratio (CAR)
• Tier 1 Capital Adequacy Ratio (Tier 1 CAR)
• Non-Performing Loans Ratio (NPL)
• Specific Provisioning
• Return on Assets (ROA)
• Return on Equity (ROE)
• Liquidity Ratio (LR)
• Loan/deposit Ratio</t>
  </si>
  <si>
    <t>37-39</t>
  </si>
  <si>
    <t>%</t>
  </si>
  <si>
    <t>II. Periodicity and Access</t>
  </si>
  <si>
    <t xml:space="preserve">Frequency of data collection: Monthly </t>
  </si>
  <si>
    <t>Frequency of dissemination: Monthly</t>
  </si>
  <si>
    <t>Timeliness</t>
  </si>
  <si>
    <t xml:space="preserve">Average production time for each release of data: 21 days </t>
  </si>
  <si>
    <t>Time lag: 30 days</t>
  </si>
  <si>
    <t>Revisions</t>
  </si>
  <si>
    <t>Data is revised and updated on the official website whenever needed.</t>
  </si>
  <si>
    <t>Access by The Public</t>
  </si>
  <si>
    <t>The data is published simultaneously every end of a month and are available on the CBB website (https://www.cbb.gov.bh/publications) along with a press release (https://www.cbb.gov.bh/media-center). In addition, the CBB Media Team sends a press release prepared by the Statistics Unit to public newspapers. The level of detail of the statistics is adapted to the need of the intended audience and any further detailed or partial statistics can be made available upon an official written request.  All users must be given equal treatment and equal access to statistical information.</t>
  </si>
  <si>
    <t xml:space="preserve">III. Integrity </t>
  </si>
  <si>
    <t>Responsibility for collecting, processing, and disseminating statistics</t>
  </si>
  <si>
    <t>The Financial Stability Directorate has the ability to gather information based on the power of the Central Bank to collect information given in articles (111), (112), and (113) of the CBB Law. The Statistical Research Division in the Financial Stability Directorate (FSD) is responsible for collecting and compiling the monthly statistical returns to generate the financial and monetary statistics. Some data is collected from other internal directorates and external entities. However, other employees have no access to the data prior to publication. In case of any technical issues, technical support by the Information Technology Directorate is provided.</t>
  </si>
  <si>
    <t>Confidentiality of individual reporters' data</t>
  </si>
  <si>
    <t xml:space="preserve">According to the CBB, the data is published for statistical purposes on an aggregate level and personal and private information of any licensed institution or private body shall not be disclosed.  </t>
  </si>
  <si>
    <t>Impartiality of statistics</t>
  </si>
  <si>
    <t>The data reflected in the tables is obtained from related internal directorates within the CBB and other reliable and credible independent entities  and are checked in coordination for necessary amendments.</t>
  </si>
  <si>
    <t>Data Sources</t>
  </si>
  <si>
    <t>Central Bank of Bahrain (CBB), Ministry of Finance and National Economy (MOFNE), Bahrain Bourse, Information and e-Government Authority (IGA).</t>
  </si>
  <si>
    <t>Commenting on erroneous interpretation and misuse of statistics</t>
  </si>
  <si>
    <t xml:space="preserve">The CBB issues a press release that highlights important information in a way to avoid misinterpretation. However, in case of misinterpretation or misuse of data, the CBB responds on a case by case basis by addressing each incident with corrected data and interpretation. </t>
  </si>
  <si>
    <t>IV. Quality</t>
  </si>
  <si>
    <t xml:space="preserve">The data is explained in this metadata Section. All statistics in the same data set are consistent internally. Methodological Soundness is highly valued and the overall structure of data is internationally comparable. </t>
  </si>
  <si>
    <t>V. Additional Notes</t>
  </si>
  <si>
    <t>Last Updated: October 30th, 2025</t>
  </si>
  <si>
    <t>المؤشرات المصرفية والنقدية والمالية</t>
  </si>
  <si>
    <t>Banking, Financial and Monetary Indicators</t>
  </si>
  <si>
    <t>SECTORS</t>
  </si>
  <si>
    <t>القطاعات</t>
  </si>
  <si>
    <t>الفصل</t>
  </si>
  <si>
    <t>الثالث</t>
  </si>
  <si>
    <t>الرابع</t>
  </si>
  <si>
    <t>الأول</t>
  </si>
  <si>
    <t>الثاني</t>
  </si>
  <si>
    <t>Q3</t>
  </si>
  <si>
    <t>Q4</t>
  </si>
  <si>
    <t>Q1</t>
  </si>
  <si>
    <t>Q2</t>
  </si>
  <si>
    <t>Central Bank of Bahrain (B.D. Million)</t>
  </si>
  <si>
    <t>مصرف البحرين المركزي (مليون دينار)</t>
  </si>
  <si>
    <t>Total Assets/Liabilities</t>
  </si>
  <si>
    <t>إجمالي الموجودات / المطلوبات</t>
  </si>
  <si>
    <t>Money Supply (B.D. Million)</t>
  </si>
  <si>
    <t>عرض النقد (مليون دينار)</t>
  </si>
  <si>
    <t>M1</t>
  </si>
  <si>
    <t>ن1</t>
  </si>
  <si>
    <t>Growth Rate %</t>
  </si>
  <si>
    <r>
      <t xml:space="preserve">معدل النمو </t>
    </r>
    <r>
      <rPr>
        <b/>
        <sz val="11"/>
        <color indexed="8"/>
        <rFont val="Simple Bold Jut Out"/>
        <charset val="178"/>
      </rPr>
      <t>%</t>
    </r>
  </si>
  <si>
    <t>M2</t>
  </si>
  <si>
    <t>ن2</t>
  </si>
  <si>
    <t>As % of GDP</t>
  </si>
  <si>
    <t>كنسبة من الناتج المحلي الإجمالي</t>
  </si>
  <si>
    <t>M3</t>
  </si>
  <si>
    <t>ن3</t>
  </si>
  <si>
    <t>Banking System</t>
  </si>
  <si>
    <t>الجهاز المصرفي</t>
  </si>
  <si>
    <t>Aggregated Balance Sheet of Banking System (USD Million)</t>
  </si>
  <si>
    <t>الميزانية الموحدة للجهاز المصرفي (مليون دولار)</t>
  </si>
  <si>
    <t>Aggregated Balance Sheet of Retail Banks (USD Million)</t>
  </si>
  <si>
    <t>الميزانية الموحدة لمصارف قطاع التجزئة (مليون دولار)</t>
  </si>
  <si>
    <t>Aggregated Balance Sheet of Wholesale Banks (USD Million)</t>
  </si>
  <si>
    <t>الميزانية الموحدة لمصارف قطاع الجملة (مليون دولار)</t>
  </si>
  <si>
    <t>Aggregated Balance Sheet of Islamic Banks (USD Million)</t>
  </si>
  <si>
    <t>الميزانية الموحدة للمصارف الإسلامية (مليون دولار)</t>
  </si>
  <si>
    <t>Total Domestic Assets of the Banking System (USD Million)</t>
  </si>
  <si>
    <t>إجمالي الموجودات المحلية للجهاز المصرفي (مليون دولار)</t>
  </si>
  <si>
    <t>Total Foreign Liabilities of the Banking System (USD Million)</t>
  </si>
  <si>
    <t>إجمالي المطلوبات الأجنبية للجهاز المصرفي (مليون دولار)</t>
  </si>
  <si>
    <t>As % of Total Liabilities</t>
  </si>
  <si>
    <t>كنسبة من مجموع مطلوبات الجهاز المصرفي</t>
  </si>
  <si>
    <t>Total Equity of the Banking System (USD Million)</t>
  </si>
  <si>
    <t>مجموع حقوق الملكية للجهاز المصرفي (مليون دولار)</t>
  </si>
  <si>
    <t>As % Total Liabilities</t>
  </si>
  <si>
    <t>كنسبة من إجمالي المطلوبات</t>
  </si>
  <si>
    <t>Retail Banks (FCB)</t>
  </si>
  <si>
    <t xml:space="preserve">Net Foreign Assets (B.D. Million) </t>
  </si>
  <si>
    <t>صافي الموجودات الأجنبية (مليون دينار)</t>
  </si>
  <si>
    <t>Total Local Deposits (B.D. Million) *</t>
  </si>
  <si>
    <t>مجموع الودائع المحلية (مليون دينار) *</t>
  </si>
  <si>
    <t xml:space="preserve">Total Outstanding Loans to Residents (B.D. Million) </t>
  </si>
  <si>
    <t>الرصيد القائم للقروض المقدمة للقطاعات المقيمة (مليون دينار)</t>
  </si>
  <si>
    <t>*  Includes BD &amp; FC deposits.</t>
  </si>
  <si>
    <t>*  تشمل الودائع بالدينار البحريني والعملات الأجنبية.</t>
  </si>
  <si>
    <t>Interest Rates</t>
  </si>
  <si>
    <t>أسعار الفائدة</t>
  </si>
  <si>
    <t>Average Interest Rate on Personal Loans</t>
  </si>
  <si>
    <t>متوسط نسبة الفائدة على القروض الشخصية</t>
  </si>
  <si>
    <t>Average Interest Rate on Business Loans (Excludes Overdraft Approvals)</t>
  </si>
  <si>
    <t>متوسط نسبة الفائدة على قروض قطاع الأعمال (لا يشمل السحب على المكشوف)</t>
  </si>
  <si>
    <t>Average Interest Rate on Deposits (6-12 Months)</t>
  </si>
  <si>
    <t>متوسط نسبة الفائدة على الودائع (6-12 شهر)</t>
  </si>
  <si>
    <t>Money Market Rate/Inter- Bank Rate % *</t>
  </si>
  <si>
    <r>
      <t xml:space="preserve">أسعار الفائدة في الأسواق المالية والتعاملات بين المصارف </t>
    </r>
    <r>
      <rPr>
        <b/>
        <sz val="11"/>
        <color indexed="8"/>
        <rFont val="Mudir MT"/>
        <charset val="178"/>
      </rPr>
      <t>%</t>
    </r>
    <r>
      <rPr>
        <b/>
        <sz val="11"/>
        <color indexed="8"/>
        <rFont val="Arial"/>
        <family val="2"/>
      </rPr>
      <t xml:space="preserve"> *</t>
    </r>
  </si>
  <si>
    <t>Average Interest Rate - 3 Months</t>
  </si>
  <si>
    <t>متوسط أسعار الفائدة - ثلاثة شهور</t>
  </si>
  <si>
    <t>Average Interest Rate - 6 Months</t>
  </si>
  <si>
    <t>متوسط أسعار الفائدة - ستة شهور</t>
  </si>
  <si>
    <t>Repos</t>
  </si>
  <si>
    <t>متوسط أسعار الفائدة لعقود إعادة الشراء</t>
  </si>
  <si>
    <t>Yield on Short-Term Treasury Bills %</t>
  </si>
  <si>
    <r>
      <t xml:space="preserve">أذونات الخزانة قصيرة الأجل </t>
    </r>
    <r>
      <rPr>
        <b/>
        <sz val="11"/>
        <color indexed="8"/>
        <rFont val="Mudir MT"/>
        <charset val="178"/>
      </rPr>
      <t>%</t>
    </r>
  </si>
  <si>
    <t>Average Interest Rate - 12 Months</t>
  </si>
  <si>
    <t>متوسط أسعار الفائدة - أثنى عشر شهرا</t>
  </si>
  <si>
    <t>Average of Return on Short-Term Islamic Al-Salam Securities</t>
  </si>
  <si>
    <t>متوسط سعر العائد على صكوك السلم الإسلامية قصيرة الأجل</t>
  </si>
  <si>
    <t>Average of Return on Short-Term Islamic Leasing Securities</t>
  </si>
  <si>
    <t>متوسط سعر العائد على صكوك التأجير الإسلامية قصيرة الأجل</t>
  </si>
  <si>
    <t>Average of Return on Local and International Long-Term Islamic Leasing Securities</t>
  </si>
  <si>
    <t>متوسط سعر العائد على صكوك التأجير الإسلامية طويلة الأجل المحلية والدولية</t>
  </si>
  <si>
    <t>Yield on Long-Term Government Development Bond %</t>
  </si>
  <si>
    <r>
      <t xml:space="preserve">سندات التنمية الحكومية طويلة الأجل </t>
    </r>
    <r>
      <rPr>
        <b/>
        <sz val="11"/>
        <color indexed="8"/>
        <rFont val="Mudir MT"/>
        <charset val="178"/>
      </rPr>
      <t>%</t>
    </r>
  </si>
  <si>
    <t>Average Interest Rate on Local and International Long-Term Government Bond</t>
  </si>
  <si>
    <t>متوسط أسعار الفائدة على السندات الحكومية طويلة الأجل المحلية والدولية</t>
  </si>
  <si>
    <t xml:space="preserve">Manpower </t>
  </si>
  <si>
    <t>العمالة</t>
  </si>
  <si>
    <t>Bahranisation in the Financial Sector %</t>
  </si>
  <si>
    <t>نسبة البحرنة في القطاع المالي</t>
  </si>
  <si>
    <t>Licenses</t>
  </si>
  <si>
    <t>التراخيص</t>
  </si>
  <si>
    <t>Number of Banks and Financial Institutions</t>
  </si>
  <si>
    <t>عدد المصارف والمؤسسات المالية</t>
  </si>
  <si>
    <t>New Licenses</t>
  </si>
  <si>
    <t>التراخيص الجديدة</t>
  </si>
  <si>
    <t>Number of Mutual Funds</t>
  </si>
  <si>
    <t>عدد صناديق الاستثمار</t>
  </si>
  <si>
    <t>New Mutual Funds</t>
  </si>
  <si>
    <t>صناديق الاستثمار الجديدة</t>
  </si>
  <si>
    <t>Total Investment in Mutual Funds (USD Million)</t>
  </si>
  <si>
    <t>إجمالي المبالغ المستثمرة في صناديق الاستثمار (مليون دولار)</t>
  </si>
  <si>
    <t>Public Debt Instruments (B.D. Million)</t>
  </si>
  <si>
    <t>أدوات الدين العام (مليون دينار)</t>
  </si>
  <si>
    <t>Public Debt Instruments as % of GDP</t>
  </si>
  <si>
    <t xml:space="preserve">أدوات الدين العام كنسبة من الناتج المحلي الإجمالي </t>
  </si>
  <si>
    <t xml:space="preserve">Government Development Bonds </t>
  </si>
  <si>
    <t>سندات التنمية الحكومية</t>
  </si>
  <si>
    <t xml:space="preserve">Treasury Bonds </t>
  </si>
  <si>
    <t>أذونات الخزانة</t>
  </si>
  <si>
    <t xml:space="preserve">Al-Salam Islamic Securities </t>
  </si>
  <si>
    <t>صكوك السلم الإسلامية</t>
  </si>
  <si>
    <t xml:space="preserve">Islamic Leasing Securities </t>
  </si>
  <si>
    <t>صكوك التأجير الإسلامية</t>
  </si>
  <si>
    <t>*  Interest rates on US Dollar.</t>
  </si>
  <si>
    <t>*  أسعار الفائدة على الدولار الأمريكي.</t>
  </si>
  <si>
    <t>BD Exchange Rates Against Selected Currencies 1/</t>
  </si>
  <si>
    <t>أسعار صرف الدينار البحريني مقابل العملات الأجنبية الرئيسية 1/</t>
  </si>
  <si>
    <t>الدولار الأمريكي</t>
  </si>
  <si>
    <t>GBP</t>
  </si>
  <si>
    <t>الجنيه الإسترليني</t>
  </si>
  <si>
    <t>EURO</t>
  </si>
  <si>
    <t>اليورو</t>
  </si>
  <si>
    <t>Japanese Yen</t>
  </si>
  <si>
    <t>الين الياباني</t>
  </si>
  <si>
    <t>Bahrain All Share Index (Point)</t>
  </si>
  <si>
    <t>مؤشر البحرين العام (نقطة)</t>
  </si>
  <si>
    <t>Market Capitalisation (B.D. Million)</t>
  </si>
  <si>
    <t>القيمة السوقية (مليون دينار)</t>
  </si>
  <si>
    <t>Market Capitalisation (USD Million)</t>
  </si>
  <si>
    <t>القيمة السوقية (مليون دولار)</t>
  </si>
  <si>
    <t>National Accounts</t>
  </si>
  <si>
    <t>الحسابات القومية</t>
  </si>
  <si>
    <t>GDP at Current Prices (B.D. Million)</t>
  </si>
  <si>
    <t>الناتج المحلي الإجمالي (بالأسعار الجارية) (مليون دينار)</t>
  </si>
  <si>
    <t>GDP Deflator (2001=100)</t>
  </si>
  <si>
    <t>الأرقام القياسية الضمنية للناتج المحلي الإجمالي (2001=100)</t>
  </si>
  <si>
    <t>1/   Last working day of each period.</t>
  </si>
  <si>
    <t>1/  آخر يوم عمل في نهاية كل فترة.</t>
  </si>
  <si>
    <r>
      <t xml:space="preserve">Table No. (1) </t>
    </r>
    <r>
      <rPr>
        <b/>
        <sz val="14"/>
        <color indexed="8"/>
        <rFont val="Arial (Arabic)"/>
        <family val="2"/>
        <charset val="178"/>
      </rPr>
      <t>جدول رقم</t>
    </r>
  </si>
  <si>
    <t>مصرف البحرين المركزي</t>
  </si>
  <si>
    <t>Central Bank of Bahrain</t>
  </si>
  <si>
    <t>الموجودات / المطلوبات</t>
  </si>
  <si>
    <t>Assets / Liabilities</t>
  </si>
  <si>
    <t>B.D. Million</t>
  </si>
  <si>
    <t>مليون دينار</t>
  </si>
  <si>
    <t>Assets</t>
  </si>
  <si>
    <t>الموجودات</t>
  </si>
  <si>
    <t>Liabilities</t>
  </si>
  <si>
    <t>المطلوبات</t>
  </si>
  <si>
    <t>الأجنبية</t>
  </si>
  <si>
    <t xml:space="preserve">  Domestic</t>
  </si>
  <si>
    <t>المحلية</t>
  </si>
  <si>
    <t>Domestic</t>
  </si>
  <si>
    <t>نهاية الفترة</t>
  </si>
  <si>
    <t>Foreign</t>
  </si>
  <si>
    <t>مطالب على</t>
  </si>
  <si>
    <t>المجموع</t>
  </si>
  <si>
    <t>مطلوبات</t>
  </si>
  <si>
    <t>ودائع</t>
  </si>
  <si>
    <t xml:space="preserve">مطلوبات </t>
  </si>
  <si>
    <t>رأس المال</t>
  </si>
  <si>
    <t>End of Period</t>
  </si>
  <si>
    <t>عملات أجنبية</t>
  </si>
  <si>
    <t>المصارف المحلية</t>
  </si>
  <si>
    <t>الحكومة</t>
  </si>
  <si>
    <t>أخرى</t>
  </si>
  <si>
    <t>Total</t>
  </si>
  <si>
    <t>المتداول</t>
  </si>
  <si>
    <t>للمصارف المحلية</t>
  </si>
  <si>
    <t>لغير المصارف</t>
  </si>
  <si>
    <t>والاحتياطي</t>
  </si>
  <si>
    <t>Gold</t>
  </si>
  <si>
    <t>Claims on</t>
  </si>
  <si>
    <t>Other</t>
  </si>
  <si>
    <t>Currency in</t>
  </si>
  <si>
    <t>Liab. to</t>
  </si>
  <si>
    <t>Central</t>
  </si>
  <si>
    <t>Capital &amp;</t>
  </si>
  <si>
    <t>Exchange</t>
  </si>
  <si>
    <t>Banks</t>
  </si>
  <si>
    <t>Govt.</t>
  </si>
  <si>
    <t>Circulation</t>
  </si>
  <si>
    <t>Gov. Dep.</t>
  </si>
  <si>
    <t>Non-banks</t>
  </si>
  <si>
    <t>Reserves</t>
  </si>
  <si>
    <t>L. Total</t>
  </si>
  <si>
    <t>Oct.</t>
  </si>
  <si>
    <t>Nov.</t>
  </si>
  <si>
    <t>Dec.</t>
  </si>
  <si>
    <t>Jan.</t>
  </si>
  <si>
    <t>Feb.</t>
  </si>
  <si>
    <t>Mar.</t>
  </si>
  <si>
    <t>Apr.</t>
  </si>
  <si>
    <t>May</t>
  </si>
  <si>
    <t>Jun.</t>
  </si>
  <si>
    <t>Jul.</t>
  </si>
  <si>
    <t>Aug.</t>
  </si>
  <si>
    <t>Sep.</t>
  </si>
  <si>
    <t xml:space="preserve"> - 1 -</t>
  </si>
  <si>
    <r>
      <t xml:space="preserve">Table No. (2) </t>
    </r>
    <r>
      <rPr>
        <b/>
        <sz val="14"/>
        <color indexed="8"/>
        <rFont val="Arial (Arabic)"/>
        <family val="2"/>
        <charset val="178"/>
      </rPr>
      <t xml:space="preserve">جدول رقم </t>
    </r>
  </si>
  <si>
    <t>Currency in Circulation 1/</t>
  </si>
  <si>
    <t>النقد المتداول</t>
  </si>
  <si>
    <t>Notes, by denomination</t>
  </si>
  <si>
    <t>أوراق النقد حسب الفئات</t>
  </si>
  <si>
    <t>النقد لدى</t>
  </si>
  <si>
    <t>مجموع</t>
  </si>
  <si>
    <t>المسكوكات</t>
  </si>
  <si>
    <t>المصارف</t>
  </si>
  <si>
    <t>خارج المصارف</t>
  </si>
  <si>
    <t>عشرون دينار</t>
  </si>
  <si>
    <t>عشرة دنانير</t>
  </si>
  <si>
    <t>خمسة دنانير</t>
  </si>
  <si>
    <t>دينار واحد</t>
  </si>
  <si>
    <t>نصف دينار</t>
  </si>
  <si>
    <t>أوراق النقد</t>
  </si>
  <si>
    <t>Coins</t>
  </si>
  <si>
    <t>BD 20</t>
  </si>
  <si>
    <t>BD 10</t>
  </si>
  <si>
    <t>BD 5</t>
  </si>
  <si>
    <t>BD 1</t>
  </si>
  <si>
    <t>BD 1/2</t>
  </si>
  <si>
    <t>held by</t>
  </si>
  <si>
    <t>Outside</t>
  </si>
  <si>
    <t>Notes</t>
  </si>
  <si>
    <t>banks</t>
  </si>
  <si>
    <t>1/  Notes and coins outside Central Bank of Bahrain.</t>
  </si>
  <si>
    <t>1/  أوراق النقد والمسكوكات خارج مصرف البحرين المركزي.</t>
  </si>
  <si>
    <t xml:space="preserve"> - 2 -</t>
  </si>
  <si>
    <r>
      <t xml:space="preserve">Table No. (3) </t>
    </r>
    <r>
      <rPr>
        <b/>
        <sz val="14"/>
        <rFont val="Arial (Arabic)"/>
        <family val="2"/>
        <charset val="178"/>
      </rPr>
      <t xml:space="preserve">جدول رقم </t>
    </r>
  </si>
  <si>
    <t>Deposits 1/</t>
  </si>
  <si>
    <t>الودائع</t>
  </si>
  <si>
    <t xml:space="preserve"> Private Sector</t>
  </si>
  <si>
    <t xml:space="preserve"> القطاع الخاص</t>
  </si>
  <si>
    <t>بمفهومه الواسع</t>
  </si>
  <si>
    <t>القاعدة النقدية</t>
  </si>
  <si>
    <t>تحت الطلب</t>
  </si>
  <si>
    <t>الأجل والتوفير</t>
  </si>
  <si>
    <t>بمفهومه الضيق</t>
  </si>
  <si>
    <t>+ ودائع الحكومة</t>
  </si>
  <si>
    <t>Monetary</t>
  </si>
  <si>
    <t>Demand</t>
  </si>
  <si>
    <t>Time and</t>
  </si>
  <si>
    <t>General</t>
  </si>
  <si>
    <t>Narrow Money</t>
  </si>
  <si>
    <t>Broad Money</t>
  </si>
  <si>
    <t xml:space="preserve">Broad Money </t>
  </si>
  <si>
    <t>Base</t>
  </si>
  <si>
    <t>Outside Banks</t>
  </si>
  <si>
    <t>دينار بحريني</t>
  </si>
  <si>
    <t>Savings</t>
  </si>
  <si>
    <t>Government 2/</t>
  </si>
  <si>
    <t>+ Gov. Deposits</t>
  </si>
  <si>
    <t>FC</t>
  </si>
  <si>
    <t>M0</t>
  </si>
  <si>
    <t>6 = (1+2)</t>
  </si>
  <si>
    <t>7 = (3+4+6)</t>
  </si>
  <si>
    <t>8 = (5+7)</t>
  </si>
  <si>
    <t>3/</t>
  </si>
  <si>
    <t>1/  BD and FC deposits of resident non-banks at Central Bank of Bahrain and Retail Banks.</t>
  </si>
  <si>
    <t xml:space="preserve">1/  الودائع بالدينار البحريني والعملات الأجنبية لغير المصارف لدى مصرف البحرين المركزي ومصارف قطاع التجزئة. </t>
  </si>
  <si>
    <t>2/  Central Government and the Social Insurance System.</t>
  </si>
  <si>
    <t>2/  الحكومة المركزية ونظام التأمينات الاجتماعية.</t>
  </si>
  <si>
    <t>3/ Monetary Base = Currency in Circulation + Banks Deposits with Central Bank.</t>
  </si>
  <si>
    <t>3/ القاعدة النقدية = النقد المتداول + ودائع المصارف لدى المصرف المركزي.</t>
  </si>
  <si>
    <t xml:space="preserve"> - 3 -</t>
  </si>
  <si>
    <r>
      <t xml:space="preserve">Table No. (4) </t>
    </r>
    <r>
      <rPr>
        <b/>
        <sz val="14"/>
        <color rgb="FF000000"/>
        <rFont val="Arial (Arabic)"/>
      </rPr>
      <t xml:space="preserve">جدول رقم </t>
    </r>
  </si>
  <si>
    <t>صافي الموجودات الأجنبية</t>
  </si>
  <si>
    <t>الموجودات المحلية</t>
  </si>
  <si>
    <t>Net Foreign Assets</t>
  </si>
  <si>
    <t>Domestic Assets</t>
  </si>
  <si>
    <t>مصرف البحرين</t>
  </si>
  <si>
    <t>مصارف</t>
  </si>
  <si>
    <t>المطالب على</t>
  </si>
  <si>
    <t>صافي الموجودات</t>
  </si>
  <si>
    <t>المركزي</t>
  </si>
  <si>
    <t>قطاع التجزئة</t>
  </si>
  <si>
    <t>القطاع الخاص</t>
  </si>
  <si>
    <t>الأخرى</t>
  </si>
  <si>
    <t>Central  Bank</t>
  </si>
  <si>
    <t>Retail</t>
  </si>
  <si>
    <t>+</t>
  </si>
  <si>
    <t>of Bahrain</t>
  </si>
  <si>
    <t>Government</t>
  </si>
  <si>
    <t>Private Sector</t>
  </si>
  <si>
    <t>Assets (Net)</t>
  </si>
  <si>
    <t>Gov. Deposits</t>
  </si>
  <si>
    <t xml:space="preserve"> - 4 -</t>
  </si>
  <si>
    <r>
      <t xml:space="preserve">Table No. (5) </t>
    </r>
    <r>
      <rPr>
        <b/>
        <sz val="14"/>
        <color indexed="8"/>
        <rFont val="Arial (Arabic)"/>
        <family val="2"/>
        <charset val="178"/>
      </rPr>
      <t xml:space="preserve">جدول رقم </t>
    </r>
  </si>
  <si>
    <t>العـوامل المؤثرة في عرض النقد</t>
  </si>
  <si>
    <t>Factors Affecting Change in Money Supply</t>
  </si>
  <si>
    <t>التغيرات في صافي الموجودات الأجنبية</t>
  </si>
  <si>
    <t>التغيرات في الموجودات المحلية</t>
  </si>
  <si>
    <t>Change in Net Foreign Assets</t>
  </si>
  <si>
    <t>Change in Domestic Assets</t>
  </si>
  <si>
    <t>التغير</t>
  </si>
  <si>
    <t>أخرى (صافي)</t>
  </si>
  <si>
    <t>Change</t>
  </si>
  <si>
    <t>Other (Net)</t>
  </si>
  <si>
    <t xml:space="preserve"> - 5 -</t>
  </si>
  <si>
    <r>
      <t xml:space="preserve">Table No. (6) </t>
    </r>
    <r>
      <rPr>
        <b/>
        <sz val="14"/>
        <color indexed="8"/>
        <rFont val="Arial (Arabic)"/>
        <family val="2"/>
        <charset val="178"/>
      </rPr>
      <t>جدول رقم</t>
    </r>
  </si>
  <si>
    <t>أسعار صرف الدينار البحريني مقابل بعض العملات المختارة 1/</t>
  </si>
  <si>
    <t>BD Per Unit of Foreign Currency</t>
  </si>
  <si>
    <t>دينار بحريني لكل وحدة عملة أجنبية</t>
  </si>
  <si>
    <t>GCC Currencies 2/</t>
  </si>
  <si>
    <t xml:space="preserve">         عملات دول مجلس التعاون الخليجي</t>
  </si>
  <si>
    <t>Major Currencies</t>
  </si>
  <si>
    <t xml:space="preserve">       العملات الرئيسية</t>
  </si>
  <si>
    <t>ريال سعودي</t>
  </si>
  <si>
    <t>دينار كويتي</t>
  </si>
  <si>
    <t>درهم إماراتي</t>
  </si>
  <si>
    <t>ريال عماني</t>
  </si>
  <si>
    <t>ريال قطري</t>
  </si>
  <si>
    <t>دولارأمريكي</t>
  </si>
  <si>
    <t>جنيه إسترليني</t>
  </si>
  <si>
    <t>ين ياباني</t>
  </si>
  <si>
    <t>فرنك سويسري</t>
  </si>
  <si>
    <t>Saudi Riyal</t>
  </si>
  <si>
    <t>Kuwaiti Dinar</t>
  </si>
  <si>
    <t>UAE Dirham</t>
  </si>
  <si>
    <t>Omani Riyal</t>
  </si>
  <si>
    <t>Qatari Riyal</t>
  </si>
  <si>
    <t>U.S. Dollar</t>
  </si>
  <si>
    <t>Pound Sterling</t>
  </si>
  <si>
    <t>Euro</t>
  </si>
  <si>
    <t>Swiss Franc</t>
  </si>
  <si>
    <t>1/  Last working day of each period.</t>
  </si>
  <si>
    <t>1/ آخر يوم عمل في نهاية كل فترة.</t>
  </si>
  <si>
    <t>2/ GCC currencies exchange rates are as per official peg except Kuwaiti Dinar as per market prices.</t>
  </si>
  <si>
    <t>2/ أسعار صرف عملات دول مجلس التعاون الخليجي متوافقة مع سعر الربط الرسمي باستثناء الدينار الكويتي وفقا لأسعار السوق.</t>
  </si>
  <si>
    <t xml:space="preserve"> - 6 -</t>
  </si>
  <si>
    <r>
      <t xml:space="preserve">Table No. (7) </t>
    </r>
    <r>
      <rPr>
        <b/>
        <sz val="14"/>
        <color indexed="8"/>
        <rFont val="Arial (Arabic)"/>
        <family val="2"/>
        <charset val="178"/>
      </rPr>
      <t>جدول رقم</t>
    </r>
  </si>
  <si>
    <t>Conventional Retail Banks - Interest Rates on BD Deposits &amp; Loans</t>
  </si>
  <si>
    <t>Percent Per Annum</t>
  </si>
  <si>
    <t>النسبة السنوية</t>
  </si>
  <si>
    <t xml:space="preserve">    Deposits</t>
  </si>
  <si>
    <t xml:space="preserve">     Business Loans </t>
  </si>
  <si>
    <t xml:space="preserve">     قروض قطاع الأعمال</t>
  </si>
  <si>
    <t xml:space="preserve">     Personal Loans</t>
  </si>
  <si>
    <t xml:space="preserve">     القروض الشخصية </t>
  </si>
  <si>
    <t xml:space="preserve">  Time 1/</t>
  </si>
  <si>
    <t xml:space="preserve">   لأجل</t>
  </si>
  <si>
    <t xml:space="preserve">   Secured</t>
  </si>
  <si>
    <t xml:space="preserve">   بضمان</t>
  </si>
  <si>
    <t>التوفير</t>
  </si>
  <si>
    <t>أقل من 3 شهور</t>
  </si>
  <si>
    <t xml:space="preserve"> 6-3 أشهر</t>
  </si>
  <si>
    <t xml:space="preserve"> 12-6 شهر</t>
  </si>
  <si>
    <t>الإنشاء والتعمير</t>
  </si>
  <si>
    <t>الصناعة</t>
  </si>
  <si>
    <t>التجارة</t>
  </si>
  <si>
    <t>(لا يشمل السحب على المكشوف)</t>
  </si>
  <si>
    <t>(يشمل السحب على المكشوف)</t>
  </si>
  <si>
    <t>العقار</t>
  </si>
  <si>
    <t>المركبة</t>
  </si>
  <si>
    <t xml:space="preserve"> الودائع</t>
  </si>
  <si>
    <t>الراتب</t>
  </si>
  <si>
    <t>بطاقات الائتمان</t>
  </si>
  <si>
    <t>Less than 3 months</t>
  </si>
  <si>
    <t>3-6 months
4/</t>
  </si>
  <si>
    <t>6-12 months</t>
  </si>
  <si>
    <t>Construction and Real Estate</t>
  </si>
  <si>
    <t>Manufacturing</t>
  </si>
  <si>
    <t>Trade</t>
  </si>
  <si>
    <t>Other 2/</t>
  </si>
  <si>
    <t>Total (Excludes overdraft approvals)</t>
  </si>
  <si>
    <t>Total (Includes overdraft approvals)</t>
  </si>
  <si>
    <t xml:space="preserve">by Mortgages </t>
  </si>
  <si>
    <t>Vehicle Title</t>
  </si>
  <si>
    <t xml:space="preserve">by Deposits </t>
  </si>
  <si>
    <t>Salary Assignment</t>
  </si>
  <si>
    <t>Other 3/</t>
  </si>
  <si>
    <t>Credit Cards</t>
  </si>
  <si>
    <t>N/A</t>
  </si>
  <si>
    <t>1/  Deposits in the BD 10,000-50,000 range, for period indicated.</t>
  </si>
  <si>
    <t>1/  الودائع من 10,000 الى 50,000 دينار بحريني للفترة المذكورة.</t>
  </si>
  <si>
    <t>2/  Includes non-banks financial and other services.</t>
  </si>
  <si>
    <t>2/  يشمل القطاع المالي (غير المصرفي) والخدمات الأخرى.</t>
  </si>
  <si>
    <t>3/  Includes other types of personal loans not shown separately.</t>
  </si>
  <si>
    <t>3/  يشمل القروض الشخصية الأخرى.</t>
  </si>
  <si>
    <t>4/ Classification of maturity of deposits changed, previous classification can be found in Sep 2023 Bulletin or earlier.</t>
  </si>
  <si>
    <t>4/ تم تغيير تصنيف استحقاق الودائع لأجل، ويمكن الاطلاع على التصنيف السابق في نشرة سبتمبر 2023 أو ما قبلها.</t>
  </si>
  <si>
    <t xml:space="preserve"> - 7 -</t>
  </si>
  <si>
    <r>
      <t xml:space="preserve">Table No. (8) </t>
    </r>
    <r>
      <rPr>
        <b/>
        <sz val="14"/>
        <color indexed="8"/>
        <rFont val="Arial (Arabic)"/>
        <family val="2"/>
        <charset val="178"/>
      </rPr>
      <t>جدول رقم</t>
    </r>
  </si>
  <si>
    <t xml:space="preserve">Business Loans </t>
  </si>
  <si>
    <t>قروض قطاع الأعمال</t>
  </si>
  <si>
    <t>Personal Loans</t>
  </si>
  <si>
    <t xml:space="preserve">القروض الشخصية </t>
  </si>
  <si>
    <t>السحب على المكشوف</t>
  </si>
  <si>
    <t>Total 3/</t>
  </si>
  <si>
    <t>Overdraft Approvals</t>
  </si>
  <si>
    <t>Other 4/</t>
  </si>
  <si>
    <t>Arab Bank</t>
  </si>
  <si>
    <t>البنك العربي</t>
  </si>
  <si>
    <t>Bank of Bahrain &amp; Kuwait</t>
  </si>
  <si>
    <t>بنك البحرين والكويت</t>
  </si>
  <si>
    <t>HSBC Bank Middle East</t>
  </si>
  <si>
    <t xml:space="preserve">بنك إتش إس بي سي الشرق الأوسط </t>
  </si>
  <si>
    <t>Citibank</t>
  </si>
  <si>
    <t>سيتي بنك</t>
  </si>
  <si>
    <t>The Housing Bank for Trade &amp; Finance</t>
  </si>
  <si>
    <t>بنك الإسكان للتجارة والتمويل</t>
  </si>
  <si>
    <t>Habib Bank Limited</t>
  </si>
  <si>
    <t>حبيب بنك المحدود</t>
  </si>
  <si>
    <t>National Bank of Bahrain</t>
  </si>
  <si>
    <t>بنك البحرين الوطني</t>
  </si>
  <si>
    <t>BNP Paribas</t>
  </si>
  <si>
    <t>بي إن بي باريبا</t>
  </si>
  <si>
    <t>Standard Chartered Bank</t>
  </si>
  <si>
    <t>ستاندرد تشارترد بنك</t>
  </si>
  <si>
    <t>National Bank of Kuwait</t>
  </si>
  <si>
    <t>بنك الكويت الوطني</t>
  </si>
  <si>
    <t>State Bank of India</t>
  </si>
  <si>
    <t>ستيت بنك أوف إنديا</t>
  </si>
  <si>
    <t>United Bank Limitied</t>
  </si>
  <si>
    <t>يونايتد بنك ليمتد</t>
  </si>
  <si>
    <t>ICICI Bank Limitied</t>
  </si>
  <si>
    <t>آي سي آي سي آي بنك ليمتد</t>
  </si>
  <si>
    <t>Eskan Bank</t>
  </si>
  <si>
    <t>بنك الإسكان</t>
  </si>
  <si>
    <t>First Abu Dhabi Bank</t>
  </si>
  <si>
    <t>بنك أبوظبي الأول</t>
  </si>
  <si>
    <t>Mashreq Bank</t>
  </si>
  <si>
    <t>بنك المشرق</t>
  </si>
  <si>
    <t>Gulf International Bank</t>
  </si>
  <si>
    <t>بنك الخليج الدولي</t>
  </si>
  <si>
    <t>Arab Banking Corporation</t>
  </si>
  <si>
    <t>المؤسسة العربية المصرفية</t>
  </si>
  <si>
    <t>Bahrain Development Bank</t>
  </si>
  <si>
    <t>بنك البحرين للتنمية</t>
  </si>
  <si>
    <t>Average</t>
  </si>
  <si>
    <t>المعدل</t>
  </si>
  <si>
    <t xml:space="preserve">1/  Weighted average rates derived from Conventional Retail Banks returns. The present survey asks for deposit rates offered, </t>
  </si>
  <si>
    <t xml:space="preserve">1/  أسعار الفائدة مشتقة من استمارات مصارف قطاع التجزئة التقليدية.  ويعني المسح بأسعار الفائدة على الودائع والقروض </t>
  </si>
  <si>
    <t xml:space="preserve">     and loan rates charged on loans extended during the month.</t>
  </si>
  <si>
    <t xml:space="preserve">     خلال آخر الشهر.</t>
  </si>
  <si>
    <t>2/  Includes loans to non-banks financial and other services' companies.</t>
  </si>
  <si>
    <t>2/  يشمل القروض الممنوحة للقطاع المالي (غير المصرفي) وشركات الخدمات الأخرى.</t>
  </si>
  <si>
    <t>3/  Does not includes overdraft approvals.</t>
  </si>
  <si>
    <t>3/  لا يشمل السحب على المكشوف.</t>
  </si>
  <si>
    <t>4/  Includes other types of personal loans not shown separately.</t>
  </si>
  <si>
    <t>4/  يشمل القروض الشخصية الأخرى.</t>
  </si>
  <si>
    <t xml:space="preserve"> - 8 -</t>
  </si>
  <si>
    <r>
      <t xml:space="preserve">Table No. (9) </t>
    </r>
    <r>
      <rPr>
        <b/>
        <sz val="14"/>
        <color indexed="8"/>
        <rFont val="Arial (Arabic)"/>
        <family val="2"/>
        <charset val="178"/>
      </rPr>
      <t>جدول رقم</t>
    </r>
  </si>
  <si>
    <t xml:space="preserve">3-6 months
</t>
  </si>
  <si>
    <t xml:space="preserve"> - 9 -</t>
  </si>
  <si>
    <r>
      <t xml:space="preserve">Table No. (10) </t>
    </r>
    <r>
      <rPr>
        <b/>
        <sz val="14"/>
        <color indexed="8"/>
        <rFont val="Arial (Arabic)"/>
        <family val="2"/>
        <charset val="178"/>
      </rPr>
      <t>جدول رقم</t>
    </r>
  </si>
  <si>
    <t>Al Baraka Islamic Bank B.S.C. (c)</t>
  </si>
  <si>
    <t xml:space="preserve">بنك البركة الاسلامي </t>
  </si>
  <si>
    <t>Al Salam Bank B.S.C.</t>
  </si>
  <si>
    <t>بنك السلام</t>
  </si>
  <si>
    <t>Bahrain Islamic Bank B.S.C.</t>
  </si>
  <si>
    <t>بنك البحرين الإسلامي</t>
  </si>
  <si>
    <t>Ithmaar Bank B.S.C. ( c )</t>
  </si>
  <si>
    <t>بنك الإثمار</t>
  </si>
  <si>
    <t>Khaleeji Bank B.S.C.</t>
  </si>
  <si>
    <t>المصرف الخليجي التجاري</t>
  </si>
  <si>
    <t>Kuwait Finance House</t>
  </si>
  <si>
    <t>بيت التمويل الكويتي</t>
  </si>
  <si>
    <t xml:space="preserve">1/  Weighted average rates derived from Islamic Retail Banks returns. The present survey asks for deposit rates offered, </t>
  </si>
  <si>
    <t xml:space="preserve">1/  معدلات الربح مشتقة من استمارات مصارف قطاع التجزئة الإسلامية.  ويعني المسح بمعدلات الربح على الودائع والقروض </t>
  </si>
  <si>
    <t xml:space="preserve">     خلال الشهر.</t>
  </si>
  <si>
    <t>* Qard-Hassan (staff credit cards).</t>
  </si>
  <si>
    <t>* قرض حسن (بطاقات الائتمان للموظفين).</t>
  </si>
  <si>
    <t xml:space="preserve"> - 10 -</t>
  </si>
  <si>
    <r>
      <t xml:space="preserve">Table No. (11) </t>
    </r>
    <r>
      <rPr>
        <b/>
        <sz val="14"/>
        <color indexed="8"/>
        <rFont val="Arial (Arabic)"/>
        <family val="2"/>
        <charset val="178"/>
      </rPr>
      <t>جـدول رقـم</t>
    </r>
  </si>
  <si>
    <t xml:space="preserve"> - 11 -</t>
  </si>
  <si>
    <t>مجموع العروض</t>
  </si>
  <si>
    <t>متوسط سـعر</t>
  </si>
  <si>
    <t>متوسط سعر</t>
  </si>
  <si>
    <t>المقـدمة</t>
  </si>
  <si>
    <t>المخصصة</t>
  </si>
  <si>
    <t>الأذونات</t>
  </si>
  <si>
    <t>الفائـدة على</t>
  </si>
  <si>
    <t>السائدة على الودائع</t>
  </si>
  <si>
    <t>التاريخ</t>
  </si>
  <si>
    <t>(بملايين الدنانير)</t>
  </si>
  <si>
    <t>(بالنسبة المئوية)</t>
  </si>
  <si>
    <t>الأذونات المخصصة</t>
  </si>
  <si>
    <t>لثلاثة إلى ستة أشهـر</t>
  </si>
  <si>
    <t>Date of</t>
  </si>
  <si>
    <t>Treasury</t>
  </si>
  <si>
    <t xml:space="preserve">Average </t>
  </si>
  <si>
    <t>Average Int.</t>
  </si>
  <si>
    <t>Inter-bank Market</t>
  </si>
  <si>
    <t>Issue</t>
  </si>
  <si>
    <t>Tenders</t>
  </si>
  <si>
    <t>Bills</t>
  </si>
  <si>
    <t>Price of</t>
  </si>
  <si>
    <t>Rate of</t>
  </si>
  <si>
    <t>BD 3 to 6 Month</t>
  </si>
  <si>
    <t>Received</t>
  </si>
  <si>
    <t>Allotted</t>
  </si>
  <si>
    <t>Bills Allotted</t>
  </si>
  <si>
    <t>Allotted Bills</t>
  </si>
  <si>
    <t>Offered Rate</t>
  </si>
  <si>
    <t>(BD Million)</t>
  </si>
  <si>
    <t>(%)</t>
  </si>
  <si>
    <t>(% p.a.)</t>
  </si>
  <si>
    <t>04.06.2025</t>
  </si>
  <si>
    <t>18.06.2025</t>
  </si>
  <si>
    <t>19.06.2025</t>
  </si>
  <si>
    <t>22.06.2025</t>
  </si>
  <si>
    <t>25.06.2025</t>
  </si>
  <si>
    <t>02.07.2025</t>
  </si>
  <si>
    <t>16.07.2025</t>
  </si>
  <si>
    <t>17.07.2025</t>
  </si>
  <si>
    <t>23.07.2025</t>
  </si>
  <si>
    <t>27.07.2025</t>
  </si>
  <si>
    <t>30.07.2025</t>
  </si>
  <si>
    <t>06.08.2025</t>
  </si>
  <si>
    <t>20.08.2025</t>
  </si>
  <si>
    <t>21.08.2025</t>
  </si>
  <si>
    <t>24.08.2025</t>
  </si>
  <si>
    <t>27.08.2025</t>
  </si>
  <si>
    <t>03.09.2025</t>
  </si>
  <si>
    <t>17.09.2025</t>
  </si>
  <si>
    <t>18.09.2025</t>
  </si>
  <si>
    <t>21.09.2025</t>
  </si>
  <si>
    <t>24.09.2025</t>
  </si>
  <si>
    <t>01.10.2025</t>
  </si>
  <si>
    <t>15.10.2025</t>
  </si>
  <si>
    <t>16.10.2025</t>
  </si>
  <si>
    <t>22.10.2025</t>
  </si>
  <si>
    <t>29.10.2025</t>
  </si>
  <si>
    <t xml:space="preserve">Table No. (12) جدول رقم </t>
  </si>
  <si>
    <t>Conventional Instruments</t>
  </si>
  <si>
    <t>الأدوات التقليدية</t>
  </si>
  <si>
    <t>الأدوات الإسلامية</t>
  </si>
  <si>
    <t>Treasury Bills 2/</t>
  </si>
  <si>
    <t>الرصيد القائم</t>
  </si>
  <si>
    <t>المستحق</t>
  </si>
  <si>
    <t>إصدار جديد</t>
  </si>
  <si>
    <t>الرصيد</t>
  </si>
  <si>
    <t>Outstanding</t>
  </si>
  <si>
    <t>Grand Total</t>
  </si>
  <si>
    <t>Matured</t>
  </si>
  <si>
    <t>New Issue</t>
  </si>
  <si>
    <t>Balance</t>
  </si>
  <si>
    <t>2/  Treasury bills have a maturity of 91 days, 182 days &amp; 12 Months.</t>
  </si>
  <si>
    <t>2/  أذونات الخزانة تستحق بعد 91  و182 يوم و12 شهراً.</t>
  </si>
  <si>
    <t>*    Based on Ministry of Finance instructions, an exchange rate of 0.376 will be used</t>
  </si>
  <si>
    <t xml:space="preserve">*    بناء على تعليمات وزارة المالية سيتم استخدام سعر صرف الدولار الأمريكي 0.376 وذلك لجميع إصدارات الوزارة </t>
  </si>
  <si>
    <t xml:space="preserve">     when evaluating the USD Government Issues in BD.</t>
  </si>
  <si>
    <t xml:space="preserve">     بالدولار الأمريكي عند تقييمها بالدينار البحريني.  </t>
  </si>
  <si>
    <t xml:space="preserve"> - 12 -</t>
  </si>
  <si>
    <r>
      <t xml:space="preserve">Table No. (13) </t>
    </r>
    <r>
      <rPr>
        <b/>
        <sz val="14"/>
        <color indexed="8"/>
        <rFont val="Arial (Arabic)"/>
        <family val="2"/>
        <charset val="178"/>
      </rPr>
      <t xml:space="preserve">جدول رقم </t>
    </r>
  </si>
  <si>
    <t>الميزانية الموحدة للجهاز المصرفي: مصارف قطاع التجزئة ومصارف قطاع الجملة</t>
  </si>
  <si>
    <t>Aggregated Balance Sheet of the Banking System: Retail Banks and Wholesale Banks</t>
  </si>
  <si>
    <t>(لا يشمل مصرف البحرين المركزي)</t>
  </si>
  <si>
    <t>(Excluding Central Bank of Bahrain)</t>
  </si>
  <si>
    <t>U.S. Dollar Million</t>
  </si>
  <si>
    <t>مليون دولار أمريكي</t>
  </si>
  <si>
    <t xml:space="preserve">Domestic </t>
  </si>
  <si>
    <t>(غير المصارف)</t>
  </si>
  <si>
    <t xml:space="preserve">أخرى </t>
  </si>
  <si>
    <t>Banks 2/</t>
  </si>
  <si>
    <t>Private</t>
  </si>
  <si>
    <t>Res</t>
  </si>
  <si>
    <t>Non-Banks</t>
  </si>
  <si>
    <t>Government 1/</t>
  </si>
  <si>
    <t>Asst.</t>
  </si>
  <si>
    <t>Liab.</t>
  </si>
  <si>
    <t>A</t>
  </si>
  <si>
    <t>L</t>
  </si>
  <si>
    <t>1/  Central Government and the Social Insurance System.</t>
  </si>
  <si>
    <t>1/ الحكومة المركزية ونظام التأمينات الاجتماعية.</t>
  </si>
  <si>
    <t>2/  Includes Central Monetary Authorities.</t>
  </si>
  <si>
    <t>2/  يشمل السلطات النقدية المركزية.</t>
  </si>
  <si>
    <t xml:space="preserve"> - 13 -</t>
  </si>
  <si>
    <r>
      <t xml:space="preserve">Table No. (14) </t>
    </r>
    <r>
      <rPr>
        <b/>
        <sz val="14"/>
        <color indexed="8"/>
        <rFont val="Arial (Arabic)"/>
        <family val="2"/>
        <charset val="178"/>
      </rPr>
      <t>جدول رقم</t>
    </r>
  </si>
  <si>
    <t>الميزانية الموحدة لمصارف قطاع التجزئة</t>
  </si>
  <si>
    <t>Retail Banks - Aggregated Balance Sheet</t>
  </si>
  <si>
    <t>مملكة</t>
  </si>
  <si>
    <t xml:space="preserve"> الشراء لأجل </t>
  </si>
  <si>
    <t>للعملات</t>
  </si>
  <si>
    <t>نقداً</t>
  </si>
  <si>
    <t>General Government</t>
  </si>
  <si>
    <t>memo:</t>
  </si>
  <si>
    <t>Cash</t>
  </si>
  <si>
    <t xml:space="preserve"> Private  Non-Banks</t>
  </si>
  <si>
    <t>القروض</t>
  </si>
  <si>
    <t>السندات</t>
  </si>
  <si>
    <t>Foreign Assets</t>
  </si>
  <si>
    <t xml:space="preserve"> Total  Assets</t>
  </si>
  <si>
    <t>Forward Currency</t>
  </si>
  <si>
    <t>1/</t>
  </si>
  <si>
    <t>2/</t>
  </si>
  <si>
    <t>Loans</t>
  </si>
  <si>
    <t>Securities</t>
  </si>
  <si>
    <t>Purchased</t>
  </si>
  <si>
    <t>Total-R</t>
  </si>
  <si>
    <t>Total-L</t>
  </si>
  <si>
    <t>1/  Includes Head Offices and Affiliates.</t>
  </si>
  <si>
    <t xml:space="preserve">1/  يشمل المكاتب الرئيسية والشركات الزميلة. </t>
  </si>
  <si>
    <t>2/  Loans and Holdings of Securities.</t>
  </si>
  <si>
    <t>2/  القروض والسندات.</t>
  </si>
  <si>
    <t xml:space="preserve"> - 14 -</t>
  </si>
  <si>
    <r>
      <t xml:space="preserve">Table No. (15) </t>
    </r>
    <r>
      <rPr>
        <b/>
        <sz val="14"/>
        <color indexed="8"/>
        <rFont val="Arial (Arabic)"/>
        <family val="2"/>
        <charset val="178"/>
      </rPr>
      <t>جدول رقم</t>
    </r>
  </si>
  <si>
    <t>Domestic Liabilities</t>
  </si>
  <si>
    <t>المطلوبات المحلية</t>
  </si>
  <si>
    <t>البيع لأجل</t>
  </si>
  <si>
    <t xml:space="preserve">مجموع </t>
  </si>
  <si>
    <t xml:space="preserve">(غير المصارف) </t>
  </si>
  <si>
    <t>والإحتياطي</t>
  </si>
  <si>
    <t xml:space="preserve">      Private Non-Banks 2/</t>
  </si>
  <si>
    <t>General Government 2/</t>
  </si>
  <si>
    <t>Capital &amp; Reserves</t>
  </si>
  <si>
    <t>Foreign Liabilities 1/</t>
  </si>
  <si>
    <t>Total Liabilities</t>
  </si>
  <si>
    <t>Forward Currency Sold</t>
  </si>
  <si>
    <t>Total-A</t>
  </si>
  <si>
    <t>1/  Includes Capital and Reserves.</t>
  </si>
  <si>
    <t>1/  يشمل رأس المال والإحتياطي.</t>
  </si>
  <si>
    <t>2/ Includes some non-deposit (non-monetary) liabilities.</t>
  </si>
  <si>
    <t>2/  يشمل بعض المطلوبات (غير الودائع).</t>
  </si>
  <si>
    <t xml:space="preserve"> - 15 -</t>
  </si>
  <si>
    <r>
      <t xml:space="preserve">Table No. (16) </t>
    </r>
    <r>
      <rPr>
        <b/>
        <sz val="12"/>
        <color indexed="8"/>
        <rFont val="Arial (Arabic)"/>
        <family val="2"/>
        <charset val="178"/>
      </rPr>
      <t>جدول رقم</t>
    </r>
  </si>
  <si>
    <t>مصارف قطاع التجزئة - الموجودات والمطلوبات الأجنبية</t>
  </si>
  <si>
    <t>Retail Banks - Foreign Assets and Liabilities</t>
  </si>
  <si>
    <t xml:space="preserve"> Assets</t>
  </si>
  <si>
    <t>غير المصارف</t>
  </si>
  <si>
    <t>ومنه السندات</t>
  </si>
  <si>
    <t xml:space="preserve">Banks </t>
  </si>
  <si>
    <t>of which Securities</t>
  </si>
  <si>
    <t xml:space="preserve">Net Foreign Assets </t>
  </si>
  <si>
    <t xml:space="preserve"> - 16 -</t>
  </si>
  <si>
    <r>
      <t xml:space="preserve">Table No. (17) </t>
    </r>
    <r>
      <rPr>
        <b/>
        <sz val="14"/>
        <color indexed="8"/>
        <rFont val="Arial (Arabic)"/>
        <family val="2"/>
        <charset val="178"/>
      </rPr>
      <t>جدول رقم</t>
    </r>
  </si>
  <si>
    <t xml:space="preserve">    الموجودات الأجنبية    Foreign Assets                 </t>
  </si>
  <si>
    <t xml:space="preserve">       مجموع الموجودات      Total Assets                 </t>
  </si>
  <si>
    <t>القطاع الخاص (غير المصارف)</t>
  </si>
  <si>
    <t>Private Non-Banks</t>
  </si>
  <si>
    <t xml:space="preserve"> - 17 -</t>
  </si>
  <si>
    <r>
      <t xml:space="preserve">Table No. (18) </t>
    </r>
    <r>
      <rPr>
        <b/>
        <sz val="14"/>
        <color indexed="8"/>
        <rFont val="Arial (Arabic)"/>
        <family val="2"/>
        <charset val="178"/>
      </rPr>
      <t>جدول رقم</t>
    </r>
  </si>
  <si>
    <t xml:space="preserve">    المطلوبات الأجنبية    Foreign Liabilities                 </t>
  </si>
  <si>
    <t xml:space="preserve">       مجموع المطلوبات      Total Liabilities                 </t>
  </si>
  <si>
    <t xml:space="preserve"> - 18 -</t>
  </si>
  <si>
    <t>Table No. (19) جدول رقم</t>
  </si>
  <si>
    <t>Domestic Deposits</t>
  </si>
  <si>
    <t>الودائع المحلية</t>
  </si>
  <si>
    <t xml:space="preserve">        Private Sector</t>
  </si>
  <si>
    <t>الودائع الأجنبية</t>
  </si>
  <si>
    <t>مجموع الودائع</t>
  </si>
  <si>
    <t>الأجل</t>
  </si>
  <si>
    <t>Foreign Deposits</t>
  </si>
  <si>
    <t>Total Deposits</t>
  </si>
  <si>
    <t>Time 1/</t>
  </si>
  <si>
    <t>1/  Includes Certificates of Deposit.</t>
  </si>
  <si>
    <t>1/  يشمل شهادات الإيداع.</t>
  </si>
  <si>
    <t xml:space="preserve"> - 19 -</t>
  </si>
  <si>
    <r>
      <t xml:space="preserve">Table No. (20) </t>
    </r>
    <r>
      <rPr>
        <b/>
        <sz val="14"/>
        <color indexed="8"/>
        <rFont val="Arial (Arabic)"/>
        <family val="2"/>
        <charset val="178"/>
      </rPr>
      <t>جدول رقم</t>
    </r>
  </si>
  <si>
    <t>توزيع إجمالي القروض والتسهيلات حسب القطاعات الاقتصادية المقيمة (باستثناء المصارف) 1/</t>
  </si>
  <si>
    <t>Outstanding Loans and Advances to Non-Bank Residents by Economic Sector 1/</t>
  </si>
  <si>
    <t>قطاع</t>
  </si>
  <si>
    <t xml:space="preserve">     Personal Sector</t>
  </si>
  <si>
    <t xml:space="preserve">     قطاع الأشخاص </t>
  </si>
  <si>
    <t xml:space="preserve"> الأعمال</t>
  </si>
  <si>
    <t xml:space="preserve"> الحكومة</t>
  </si>
  <si>
    <t>Business Sector 
2/</t>
  </si>
  <si>
    <t>General Gov.</t>
  </si>
  <si>
    <t>Credit Card Receivables</t>
  </si>
  <si>
    <t>1/  Excludes Securities.</t>
  </si>
  <si>
    <t xml:space="preserve">1/  لا يشمل السندات. </t>
  </si>
  <si>
    <t>2/ Classification of Business Loans had been changed to ISIC-4 since</t>
  </si>
  <si>
    <t>2/ تم تغيير تصنيف قروض الأعمال إلى ISIC-4 منذ يناير 2023 (راجع الجدول 21).</t>
  </si>
  <si>
    <t>January 2023 (Refer to Table 21).</t>
  </si>
  <si>
    <t xml:space="preserve"> - 20 -</t>
  </si>
  <si>
    <r>
      <t xml:space="preserve">Table No. (21) </t>
    </r>
    <r>
      <rPr>
        <b/>
        <sz val="14"/>
        <color indexed="8"/>
        <rFont val="Arial"/>
        <family val="2"/>
      </rPr>
      <t xml:space="preserve">جدول رقم </t>
    </r>
  </si>
  <si>
    <t>توزيع إجمالي قروض وتسهيلات قطاع الأعمال حسب التصنيف الصناعي الدولي الموحد لجميع الأنشطة الاقتصادية 1/</t>
  </si>
  <si>
    <t>Distribution of Outstanding Loans and Advances to Business Sector by International Standard Industrial Classification of All Economic Activities 1/</t>
  </si>
  <si>
    <t>Sector</t>
  </si>
  <si>
    <t>القطاع</t>
  </si>
  <si>
    <t>مجموع قروض قطاع الأعمال</t>
  </si>
  <si>
    <t>ومنها: المؤسسات المتوسطة والصغيرة</t>
  </si>
  <si>
    <t>Total Business Loans</t>
  </si>
  <si>
    <t>Of which: SMEs</t>
  </si>
  <si>
    <t>Agriculture, forestry and fishing</t>
  </si>
  <si>
    <t>الزراعة والغابات وصيد الأسماك</t>
  </si>
  <si>
    <t>Mining and quarrying</t>
  </si>
  <si>
    <t>التعدين واستغلال المحاجر</t>
  </si>
  <si>
    <t>التصنيع</t>
  </si>
  <si>
    <t>Electricity, gas, steam and air conditioning supply</t>
  </si>
  <si>
    <t>إمدادات الكهرباء والغاز والبخار وتكييف الهواء</t>
  </si>
  <si>
    <t>Water supply; sewerage, waste management and remediation activities</t>
  </si>
  <si>
    <t>إمدادات المياه؛ وأنشطة الصرف الصحي وإدارة النفايات ومعالجتها</t>
  </si>
  <si>
    <t>Construction</t>
  </si>
  <si>
    <t>التشييد</t>
  </si>
  <si>
    <t>Wholesale and retail trade; repair of motor vehicles and motorcycles</t>
  </si>
  <si>
    <t>تجارة الجملة والتجزئة؛ إصلاح المركبات ذات المحركات والدراجات النارية</t>
  </si>
  <si>
    <t>Transportation and storage</t>
  </si>
  <si>
    <t>النقل والتخزين</t>
  </si>
  <si>
    <t>Accommodation and food service activities</t>
  </si>
  <si>
    <t>أنشطة الإقامة والخدمات الغذائية</t>
  </si>
  <si>
    <t>Information and communication</t>
  </si>
  <si>
    <t>المعلومات والاتصالات</t>
  </si>
  <si>
    <t>Financial and insurance activities</t>
  </si>
  <si>
    <t>الأنشطة المالية وأنشطة التأمين</t>
  </si>
  <si>
    <t>Real estate activities</t>
  </si>
  <si>
    <t>الأنشطة العقارية</t>
  </si>
  <si>
    <t xml:space="preserve">Professional, scientific and technical activities </t>
  </si>
  <si>
    <t>الأنشطة المهنية والعلمية والتقنية</t>
  </si>
  <si>
    <t>Administrative and support service activities</t>
  </si>
  <si>
    <t>أنشطة الخدمات الإدارية وخدمات الدعم</t>
  </si>
  <si>
    <t>Public administration and defence; compulsory social security</t>
  </si>
  <si>
    <t>الإدارة العامة والدفاع؛ الضمان الاجتماعي الإلزامي</t>
  </si>
  <si>
    <t>Education</t>
  </si>
  <si>
    <t>التعليم</t>
  </si>
  <si>
    <t>Human health and social work activities</t>
  </si>
  <si>
    <t>أنشطة صحة الإنسان والخدمات الاجتماعية</t>
  </si>
  <si>
    <t>Arts, entertainment and recreation</t>
  </si>
  <si>
    <t>أنشطة الفنون والترفيه والتسلية</t>
  </si>
  <si>
    <t>Other service activities</t>
  </si>
  <si>
    <t>أنشطة الخدمات الأخرى</t>
  </si>
  <si>
    <t>Activities of households as employers; undifferentiated goods- and services-producing activities of households for own use</t>
  </si>
  <si>
    <t>أنشطة الأُسر المعيشية كصاحب عمل؛ أنشطة الأُسر المعيشية لإنتاج سلع وخدمات غير مميَّزة لاستخدامها الخاص</t>
  </si>
  <si>
    <t>Activities of extraterritorial organizations and bodies</t>
  </si>
  <si>
    <t>أنشطة المنظمات والهيئات خارج الحدود الإقليمية للدولة</t>
  </si>
  <si>
    <t>1/  International Standard Industrial Classification (ISIC-4).</t>
  </si>
  <si>
    <t>1/ التصنيف الصناعي الدولي الموحد (ISIC-4).</t>
  </si>
  <si>
    <t xml:space="preserve">- 21 - </t>
  </si>
  <si>
    <r>
      <t xml:space="preserve">Table No. (22) </t>
    </r>
    <r>
      <rPr>
        <b/>
        <sz val="14"/>
        <color indexed="8"/>
        <rFont val="Arial (Arabic)"/>
        <family val="2"/>
        <charset val="178"/>
      </rPr>
      <t xml:space="preserve">جدول رقم </t>
    </r>
  </si>
  <si>
    <t>توزيع إجمالي القروض والتسهيلات لغير المصارف</t>
  </si>
  <si>
    <t>المصارف وشركات التمويل</t>
  </si>
  <si>
    <t>Outstanding Loans and Advances to Non-Bank Residents</t>
  </si>
  <si>
    <t>Banks and Financing Companies</t>
  </si>
  <si>
    <t>شركات التمويل</t>
  </si>
  <si>
    <t>Financing Companies</t>
  </si>
  <si>
    <t xml:space="preserve"> - 22 -</t>
  </si>
  <si>
    <r>
      <t xml:space="preserve">Table No. (23) </t>
    </r>
    <r>
      <rPr>
        <b/>
        <sz val="14"/>
        <color indexed="8"/>
        <rFont val="Arial (Arabic)"/>
        <family val="2"/>
        <charset val="178"/>
      </rPr>
      <t>جدول رقم</t>
    </r>
  </si>
  <si>
    <t>مصارف قطاع التجزئة: الموجودات والمطلوبات حسب التصنيف الجغرافي 1/</t>
  </si>
  <si>
    <t>Retail Banks: Geographical Classification of Assets and Liabilities 1/</t>
  </si>
  <si>
    <t>دول مجلس</t>
  </si>
  <si>
    <t xml:space="preserve">الدول العربية </t>
  </si>
  <si>
    <t>البحرين</t>
  </si>
  <si>
    <t>التعاون</t>
  </si>
  <si>
    <t>الدول الأمريكية</t>
  </si>
  <si>
    <t>أوروبا</t>
  </si>
  <si>
    <t>آسيا</t>
  </si>
  <si>
    <t>Kingdom of</t>
  </si>
  <si>
    <t>GCC</t>
  </si>
  <si>
    <t>Other Arab</t>
  </si>
  <si>
    <t>Americas</t>
  </si>
  <si>
    <t>Europe</t>
  </si>
  <si>
    <t>Asia</t>
  </si>
  <si>
    <t>Bahrain</t>
  </si>
  <si>
    <t>Countries</t>
  </si>
  <si>
    <t>1/  Includes Islamic Banks.</t>
  </si>
  <si>
    <t>1/  يشمل المصارف الإسلامية.</t>
  </si>
  <si>
    <t xml:space="preserve">2/  Includes Argentina, Bahamas, Brazil, British Virgin Islands, Canada, Cayman Islands, Mexico, </t>
  </si>
  <si>
    <t xml:space="preserve">2/  تشمل الأرجنتين، البهاما، البرازيل، الجزر العذراء البريطانية، كندا، جزر كايمان، المكسيك، الأنتيل الهولندية، </t>
  </si>
  <si>
    <t xml:space="preserve">     Netherlands Antilles, Panama, Puerto Rico, United States, Venezuela and Others.</t>
  </si>
  <si>
    <t xml:space="preserve">     بنما، بورتو ريكو، الولايات المتحدة، فنزويلا وأخرى.</t>
  </si>
  <si>
    <t xml:space="preserve"> - 23 -</t>
  </si>
  <si>
    <r>
      <t xml:space="preserve">Table No. (24) </t>
    </r>
    <r>
      <rPr>
        <b/>
        <sz val="14"/>
        <color indexed="8"/>
        <rFont val="Arial (Arabic)"/>
        <family val="2"/>
        <charset val="178"/>
      </rPr>
      <t>جدول رقم</t>
    </r>
  </si>
  <si>
    <t>مصارف قطاع التجزئة: الموجودات والمطلوبات حسب أهم العملات 1/</t>
  </si>
  <si>
    <t>Retail Banks: Classification of Assets and Liabilities by Major Currencies 1/</t>
  </si>
  <si>
    <t>الدينار</t>
  </si>
  <si>
    <t xml:space="preserve">عملات دول </t>
  </si>
  <si>
    <t>الدولار</t>
  </si>
  <si>
    <t xml:space="preserve">الجنيه </t>
  </si>
  <si>
    <t>الين</t>
  </si>
  <si>
    <t>البحريني</t>
  </si>
  <si>
    <t>مجلس التعاون</t>
  </si>
  <si>
    <t>الأمريكي</t>
  </si>
  <si>
    <t>الإسترليني</t>
  </si>
  <si>
    <t>الياباني</t>
  </si>
  <si>
    <t>Bahraini</t>
  </si>
  <si>
    <t xml:space="preserve">GCC </t>
  </si>
  <si>
    <t>U.S.</t>
  </si>
  <si>
    <t>Pound</t>
  </si>
  <si>
    <t xml:space="preserve">Japanese </t>
  </si>
  <si>
    <t>Dinar</t>
  </si>
  <si>
    <t>Currencies</t>
  </si>
  <si>
    <t>Dollar</t>
  </si>
  <si>
    <t>Sterling</t>
  </si>
  <si>
    <t>Yen</t>
  </si>
  <si>
    <t xml:space="preserve"> - 24 -</t>
  </si>
  <si>
    <t>Table No. (25) جدول رقم</t>
  </si>
  <si>
    <t>Percentage</t>
  </si>
  <si>
    <t>النسبة المئوية</t>
  </si>
  <si>
    <t xml:space="preserve">القروض لغير المصارف / مجموع الموجودات </t>
  </si>
  <si>
    <t xml:space="preserve">القروض للقطاع الخاص(غير المصارف) / مجموع الموجودات </t>
  </si>
  <si>
    <t xml:space="preserve">القروض لغير المصارف / مجموع الودائع </t>
  </si>
  <si>
    <t xml:space="preserve">الموجودات الأجنبية / مجموع الموجودات </t>
  </si>
  <si>
    <t xml:space="preserve">المطلوبات الأجنبية / مجموع المطلوبات </t>
  </si>
  <si>
    <t xml:space="preserve">مجموع الودائع / مجموع المطلوبات </t>
  </si>
  <si>
    <t xml:space="preserve">الودائع بالدينار البحريني / مجموع الودائع </t>
  </si>
  <si>
    <t xml:space="preserve">ودائع القطاع الخاص / مجموع الودائع </t>
  </si>
  <si>
    <t xml:space="preserve">ودائع القطاع الخاص تحت الطلب / مجموع الودائع </t>
  </si>
  <si>
    <t>Loans to Non-Banks / Total Assets</t>
  </si>
  <si>
    <t>Loans to Private Non-Banks / Total Assets</t>
  </si>
  <si>
    <t>Loans to Non-Banks / Total Deposits</t>
  </si>
  <si>
    <t>Foreign Assets / Total Assets</t>
  </si>
  <si>
    <t>Foreign Liabilities / Total Liabilities</t>
  </si>
  <si>
    <t>Total Deposits / Total Liabilities</t>
  </si>
  <si>
    <t xml:space="preserve">  BD Deposits / Total Deposits</t>
  </si>
  <si>
    <t>Private Sector Deposits / Total Deposits</t>
  </si>
  <si>
    <t>Private Sector Demand Deposits / Total Deposits</t>
  </si>
  <si>
    <t xml:space="preserve"> - 25 -</t>
  </si>
  <si>
    <r>
      <t xml:space="preserve">Table No. (26) </t>
    </r>
    <r>
      <rPr>
        <b/>
        <sz val="14"/>
        <color indexed="8"/>
        <rFont val="Arial (Arabic)"/>
        <family val="2"/>
        <charset val="178"/>
      </rPr>
      <t xml:space="preserve">جدول رقم </t>
    </r>
  </si>
  <si>
    <t>مصارف قطاع التجزئة التقليدية: الميزانية الموحدة للنوافذ الإسلامية</t>
  </si>
  <si>
    <t>Conventional Retail Banks: Aggregated Balance Sheet of Islamic Windows</t>
  </si>
  <si>
    <t>الموجودات *</t>
  </si>
  <si>
    <t>Assets *</t>
  </si>
  <si>
    <t xml:space="preserve">  الموجودات المحلية</t>
  </si>
  <si>
    <t xml:space="preserve">   Foreign Assets</t>
  </si>
  <si>
    <t xml:space="preserve">  الموجودات الأجنبية</t>
  </si>
  <si>
    <t>استثمار مع</t>
  </si>
  <si>
    <t>المكاتب الرئيسية</t>
  </si>
  <si>
    <t>البنود خارج</t>
  </si>
  <si>
    <t>والشركات الزميلة</t>
  </si>
  <si>
    <t>الميزانية</t>
  </si>
  <si>
    <t>Invest.</t>
  </si>
  <si>
    <t>Others</t>
  </si>
  <si>
    <t>H.O. &amp;</t>
  </si>
  <si>
    <t>Off</t>
  </si>
  <si>
    <t>with Banks</t>
  </si>
  <si>
    <t>with Private</t>
  </si>
  <si>
    <t>with Govt.</t>
  </si>
  <si>
    <t>Affiliates</t>
  </si>
  <si>
    <t>Sheet 3/</t>
  </si>
  <si>
    <t>1/  Includes Unrestricted Investment Accounts.</t>
  </si>
  <si>
    <t>1/  يشمل حسابات الإستثمار المطلقة.</t>
  </si>
  <si>
    <t xml:space="preserve">2/  Includes Head Offices and Affiliates. </t>
  </si>
  <si>
    <t>2/  يشمل المكاتب الرئيسية والشركات الزميلة.</t>
  </si>
  <si>
    <t>3/  Includes Restricted Investment Accounts.</t>
  </si>
  <si>
    <t>3/  يشمل حسابات الاستثمار المقيدة.</t>
  </si>
  <si>
    <t>* Islamic Windows' Assets and Liabilities may not be equal due to the presence of conventional transactions.</t>
  </si>
  <si>
    <t>* موجودات ومطلوبات النوافذ الإسلامية قد لا تتطابق نظرا لوجود معاملات تقليدية.</t>
  </si>
  <si>
    <t xml:space="preserve"> - 26 -</t>
  </si>
  <si>
    <r>
      <t xml:space="preserve">Table No. (27) </t>
    </r>
    <r>
      <rPr>
        <b/>
        <sz val="14"/>
        <color indexed="8"/>
        <rFont val="Arial (Arabic)"/>
        <family val="2"/>
        <charset val="178"/>
      </rPr>
      <t xml:space="preserve">جدول رقم </t>
    </r>
  </si>
  <si>
    <t>المطلوبات *</t>
  </si>
  <si>
    <t>Liabilities *</t>
  </si>
  <si>
    <t>Foreign Liabilities</t>
  </si>
  <si>
    <t>المطلوبات الأجنبية</t>
  </si>
  <si>
    <t xml:space="preserve"> والاحتياطي</t>
  </si>
  <si>
    <t xml:space="preserve">المجموع </t>
  </si>
  <si>
    <t xml:space="preserve"> - 27 -</t>
  </si>
  <si>
    <r>
      <t xml:space="preserve">Table No. (28) </t>
    </r>
    <r>
      <rPr>
        <b/>
        <sz val="14"/>
        <color indexed="8"/>
        <rFont val="Arial (Arabic)"/>
        <family val="2"/>
        <charset val="178"/>
      </rPr>
      <t>جدول رقم</t>
    </r>
  </si>
  <si>
    <t xml:space="preserve">الميزانية الموحدة لمصارف قطاع الجملة </t>
  </si>
  <si>
    <t>Wholesale Banks - Aggregated Balance Sheet</t>
  </si>
  <si>
    <t>الموجودات الأجنبية</t>
  </si>
  <si>
    <t>الشراء لأجل</t>
  </si>
  <si>
    <t>Forward</t>
  </si>
  <si>
    <t>A-L</t>
  </si>
  <si>
    <t xml:space="preserve">1/  Includes Head Offices and Affiliates. </t>
  </si>
  <si>
    <t>1/ يشمل المكاتب الرئيسية والشركات الزميلة.</t>
  </si>
  <si>
    <t>2/  Includes Securities.</t>
  </si>
  <si>
    <t>2/  يشمل السندات.</t>
  </si>
  <si>
    <t xml:space="preserve"> - 28 -</t>
  </si>
  <si>
    <r>
      <t xml:space="preserve">Table No. (29) </t>
    </r>
    <r>
      <rPr>
        <b/>
        <sz val="14"/>
        <color indexed="8"/>
        <rFont val="Arial (Arabic)"/>
        <family val="2"/>
        <charset val="178"/>
      </rPr>
      <t>جدول رقم</t>
    </r>
  </si>
  <si>
    <t>الميزانية الموحدة لمصارف قطاع الجملة</t>
  </si>
  <si>
    <t>Sold</t>
  </si>
  <si>
    <t>1/  يشمل المكاتب الرئيسية والشركات الزميلة.</t>
  </si>
  <si>
    <t>2/  Includes Capital &amp; Reserves.</t>
  </si>
  <si>
    <t>2/  يشمل رأس المال والإحتياطي.</t>
  </si>
  <si>
    <t xml:space="preserve"> - 29 -</t>
  </si>
  <si>
    <r>
      <t xml:space="preserve">Table No. (30) </t>
    </r>
    <r>
      <rPr>
        <b/>
        <sz val="14"/>
        <color indexed="8"/>
        <rFont val="Arial (Arabic)"/>
        <family val="2"/>
        <charset val="178"/>
      </rPr>
      <t>جدول رقم</t>
    </r>
  </si>
  <si>
    <t>مصارف قطاع الجملة: الموجودات والمطلوبات حسب التصنيف الجغرافي 1/</t>
  </si>
  <si>
    <t>Wholesale Banks: Geographical Classification of Assets and Liabilities 1/</t>
  </si>
  <si>
    <t xml:space="preserve"> - 30 -</t>
  </si>
  <si>
    <r>
      <t xml:space="preserve">Table No. (31) </t>
    </r>
    <r>
      <rPr>
        <b/>
        <sz val="14"/>
        <color indexed="8"/>
        <rFont val="Arial (Arabic)"/>
        <family val="2"/>
        <charset val="178"/>
      </rPr>
      <t>جدول رقم</t>
    </r>
  </si>
  <si>
    <t>مصارف قطاع الجملة: الموجودات والمطلوبات حسب أهم العملات 1/</t>
  </si>
  <si>
    <t>Wholesale Banks: Classification of Assets and Liabilities by Major Currencies 1/</t>
  </si>
  <si>
    <t xml:space="preserve"> - 31 -</t>
  </si>
  <si>
    <r>
      <t xml:space="preserve">Table No. (32) </t>
    </r>
    <r>
      <rPr>
        <b/>
        <sz val="14"/>
        <color indexed="8"/>
        <rFont val="Arial (Arabic)"/>
        <family val="2"/>
        <charset val="178"/>
      </rPr>
      <t xml:space="preserve">جدول رقم </t>
    </r>
  </si>
  <si>
    <t>الميزانية الموحدة للمصارف الإسلامية: مصارف قطاع التجزئة ومصارف قطاع الجملة</t>
  </si>
  <si>
    <t>Aggregated Balance Sheet of the Islamic Banks: Retail Banks and Wholesale Banks</t>
  </si>
  <si>
    <t xml:space="preserve"> - 32 -</t>
  </si>
  <si>
    <r>
      <t xml:space="preserve">Table No. (33) </t>
    </r>
    <r>
      <rPr>
        <b/>
        <sz val="14"/>
        <color indexed="8"/>
        <rFont val="Arial (Arabic)"/>
        <family val="2"/>
        <charset val="178"/>
      </rPr>
      <t xml:space="preserve">جدول رقم </t>
    </r>
  </si>
  <si>
    <t>مليون  دولار أمريكي</t>
  </si>
  <si>
    <t xml:space="preserve"> - 33 -</t>
  </si>
  <si>
    <r>
      <t xml:space="preserve">Table No. (34) </t>
    </r>
    <r>
      <rPr>
        <b/>
        <sz val="14"/>
        <color indexed="8"/>
        <rFont val="Arial (Arabic)"/>
        <family val="2"/>
        <charset val="178"/>
      </rPr>
      <t>جدول رقم</t>
    </r>
  </si>
  <si>
    <t>المصارف الإسلامية: الموجودات والمطلوبات حسب التصنيف الجغرافي</t>
  </si>
  <si>
    <t>Islamic Banks: Geographical Classification of Assets and Liabilities</t>
  </si>
  <si>
    <t xml:space="preserve">1/  Includes Argentina, Bahamas, Brazil, British Virgin Islands, Canada, Cayman Islands, Mexico, </t>
  </si>
  <si>
    <t xml:space="preserve">1/  تشمل الأرجنتين، البهاما، البرازيل، الجزر العذراء البريطانية، كندا، جزر كايمان، المكسيك، الأنتيل الهولندية، </t>
  </si>
  <si>
    <t xml:space="preserve"> - 34 -</t>
  </si>
  <si>
    <r>
      <t xml:space="preserve">Table No. (35) </t>
    </r>
    <r>
      <rPr>
        <b/>
        <sz val="14"/>
        <color indexed="8"/>
        <rFont val="Arial (Arabic)"/>
        <family val="2"/>
        <charset val="178"/>
      </rPr>
      <t>جدول رقم</t>
    </r>
  </si>
  <si>
    <t>المصارف الإسلامية: الموجودات والمطلوبات حسب أهم العملات</t>
  </si>
  <si>
    <t>Islamic Banks: Classification of Assets and Liabilities by Major Currencies</t>
  </si>
  <si>
    <t xml:space="preserve"> - 35 -</t>
  </si>
  <si>
    <r>
      <t xml:space="preserve">Table No. (36) </t>
    </r>
    <r>
      <rPr>
        <b/>
        <sz val="14"/>
        <color indexed="8"/>
        <rFont val="Arial (Arabic)"/>
        <family val="2"/>
        <charset val="178"/>
      </rPr>
      <t>جدول رقم</t>
    </r>
  </si>
  <si>
    <t>Classification</t>
  </si>
  <si>
    <t>حسابات الاستثمار المقيدة</t>
  </si>
  <si>
    <t>حسابات الاستثمار غير المقيدة</t>
  </si>
  <si>
    <t>تمويل ذاتي - أموال المصرف</t>
  </si>
  <si>
    <t>المجموع الكلي</t>
  </si>
  <si>
    <t>التصنيف</t>
  </si>
  <si>
    <t>Restricted Investment Account</t>
  </si>
  <si>
    <t>Unrestricted Investment Account</t>
  </si>
  <si>
    <t>Self Finance - Own Fund</t>
  </si>
  <si>
    <t>المقيمة</t>
  </si>
  <si>
    <t>غير المقيمة</t>
  </si>
  <si>
    <t>Residents</t>
  </si>
  <si>
    <t>Non-Residents</t>
  </si>
  <si>
    <t>عملات أخرى</t>
  </si>
  <si>
    <t>OC</t>
  </si>
  <si>
    <t>Short-term investment and treasury securities</t>
  </si>
  <si>
    <t>استثمارات قصيرة الأجل وسندات الخزينة</t>
  </si>
  <si>
    <t>Long-term investments</t>
  </si>
  <si>
    <t>استثمارات طويلة الأجل</t>
  </si>
  <si>
    <t>Murabaha</t>
  </si>
  <si>
    <t>المرابحة</t>
  </si>
  <si>
    <t xml:space="preserve">Ijara </t>
  </si>
  <si>
    <t>الإجارة</t>
  </si>
  <si>
    <t>Ijara installment receivables</t>
  </si>
  <si>
    <t>أقساط الإجارة المستحقة</t>
  </si>
  <si>
    <t>Mudaraba</t>
  </si>
  <si>
    <t>المضاربة</t>
  </si>
  <si>
    <t>Musharaka</t>
  </si>
  <si>
    <t>المشاركة</t>
  </si>
  <si>
    <t xml:space="preserve">Salam </t>
  </si>
  <si>
    <t>السلم</t>
  </si>
  <si>
    <t>Real Estate</t>
  </si>
  <si>
    <t>عقارات</t>
  </si>
  <si>
    <t>سندات</t>
  </si>
  <si>
    <t>Istisna'a</t>
  </si>
  <si>
    <t>الاستصناع</t>
  </si>
  <si>
    <t>Istisna'a receivables</t>
  </si>
  <si>
    <t>دين مستحق على الاستصناع</t>
  </si>
  <si>
    <t>Qard Hasan</t>
  </si>
  <si>
    <t>قرض حسن</t>
  </si>
  <si>
    <t>Investment in Unconsolidated Subsidiaries and Associates</t>
  </si>
  <si>
    <t>استثمارات في شركات شقيقة وتابعة غير مدمجة</t>
  </si>
  <si>
    <t>Property, plant, and equipments (PPE)</t>
  </si>
  <si>
    <t>العقارات، المصانع والمعدات</t>
  </si>
  <si>
    <t>Balances at banks</t>
  </si>
  <si>
    <t>أرصدة المصرف</t>
  </si>
  <si>
    <t xml:space="preserve"> - 36 -</t>
  </si>
  <si>
    <r>
      <t xml:space="preserve">Table No. (37) </t>
    </r>
    <r>
      <rPr>
        <b/>
        <sz val="14"/>
        <rFont val="Arial (Arabic)"/>
        <family val="2"/>
        <charset val="178"/>
      </rPr>
      <t xml:space="preserve">جدول رقم </t>
    </r>
  </si>
  <si>
    <t>مؤشرات السلامة المالية للقطاع المصرفي</t>
  </si>
  <si>
    <t xml:space="preserve">القطاع المصرفي </t>
  </si>
  <si>
    <t>Entire Banking Sector</t>
  </si>
  <si>
    <t>جودة الأصول</t>
  </si>
  <si>
    <t>الربحية</t>
  </si>
  <si>
    <t>السيولة</t>
  </si>
  <si>
    <t>Capital Adequacy 1/</t>
  </si>
  <si>
    <t>Asset Quality</t>
  </si>
  <si>
    <t>Profitability</t>
  </si>
  <si>
    <t>Liquidity</t>
  </si>
  <si>
    <t>نسبة رأس المال التنظيمي إلى الأصول المرجحة بالمخاطر</t>
  </si>
  <si>
    <t xml:space="preserve"> نسبة رأس المال الأساسي التنظيمي إلى الأصول المرجحة بالمخاطر</t>
  </si>
  <si>
    <t>نسبة القروض المتعثرة إلى مجموع القروض الإجمالية</t>
  </si>
  <si>
    <t>نسبة مخصصات القروض المتعثرة إلى إجمالي القروض المتعثرة</t>
  </si>
  <si>
    <t xml:space="preserve">معدل العائد على الأصول </t>
  </si>
  <si>
    <t>نسبة العائد على  حقوق الملكية</t>
  </si>
  <si>
    <t xml:space="preserve"> نسبة الأصول السائلة إلى مجموع الأصول </t>
  </si>
  <si>
    <t>نسبة القروض إلى الودائع</t>
  </si>
  <si>
    <t>Total Capital Adequacy Ratio</t>
  </si>
  <si>
    <t>Tier 1 Capital Adequacy Ratio</t>
  </si>
  <si>
    <t>Non-Performing Loans Ratio (% of Gross Loans)</t>
  </si>
  <si>
    <t>Specific Provisions</t>
  </si>
  <si>
    <t>Return on Assets</t>
  </si>
  <si>
    <t>Return on Equity 1/</t>
  </si>
  <si>
    <t>Liquid Assets Ratio</t>
  </si>
  <si>
    <t>Loans/Deposit Ratio</t>
  </si>
  <si>
    <t>1/ For Locally Incorporated Banks only</t>
  </si>
  <si>
    <t xml:space="preserve"> 1/  للمصارف المدرجة محلياً</t>
  </si>
  <si>
    <t>* Provisional data.</t>
  </si>
  <si>
    <t>* بيانات أولية.</t>
  </si>
  <si>
    <t xml:space="preserve"> - 37 -</t>
  </si>
  <si>
    <r>
      <t xml:space="preserve">Table No. (38) </t>
    </r>
    <r>
      <rPr>
        <b/>
        <sz val="14"/>
        <rFont val="Arial (Arabic)"/>
        <family val="2"/>
        <charset val="178"/>
      </rPr>
      <t xml:space="preserve">جدول رقم </t>
    </r>
  </si>
  <si>
    <t>المصارف التقليدية</t>
  </si>
  <si>
    <t>Conventional Banks</t>
  </si>
  <si>
    <t xml:space="preserve">نسبة العائد على الأصول </t>
  </si>
  <si>
    <t>مصارف التجزئة</t>
  </si>
  <si>
    <t>مصارف الجملة</t>
  </si>
  <si>
    <t>Wholesale</t>
  </si>
  <si>
    <t>1/  للمصارف المدرجة محلياً</t>
  </si>
  <si>
    <t xml:space="preserve"> - 38 -</t>
  </si>
  <si>
    <r>
      <t xml:space="preserve">Table No. (39) </t>
    </r>
    <r>
      <rPr>
        <b/>
        <sz val="14"/>
        <rFont val="Arial (Arabic)"/>
        <family val="2"/>
        <charset val="178"/>
      </rPr>
      <t xml:space="preserve">جدول رقم </t>
    </r>
  </si>
  <si>
    <t xml:space="preserve"> - 39 -</t>
  </si>
  <si>
    <t>Table No. (40) جدول رقم</t>
  </si>
  <si>
    <t>B. D. Million</t>
  </si>
  <si>
    <t xml:space="preserve">مليون دينار </t>
  </si>
  <si>
    <t xml:space="preserve"> نهاية الفترة</t>
  </si>
  <si>
    <t>(1) الفئة</t>
  </si>
  <si>
    <t>(2) الفئة</t>
  </si>
  <si>
    <t>(3) الفئة</t>
  </si>
  <si>
    <t>مجموع الفئات</t>
  </si>
  <si>
    <t>Category (1)</t>
  </si>
  <si>
    <t>Category (2)</t>
  </si>
  <si>
    <t>Category (3)</t>
  </si>
  <si>
    <t>Total IB</t>
  </si>
  <si>
    <t xml:space="preserve">مجموع موجودات الميزانية </t>
  </si>
  <si>
    <t>مجموع الموجودات المدارة لصالح العملاء</t>
  </si>
  <si>
    <t>مجموع الموجودات</t>
  </si>
  <si>
    <t>Balance Sheet Total Assets</t>
  </si>
  <si>
    <t>Total Assets Under Management</t>
  </si>
  <si>
    <r>
      <rPr>
        <sz val="12.5"/>
        <rFont val="Arial"/>
        <family val="2"/>
      </rPr>
      <t xml:space="preserve">ويتضمن: </t>
    </r>
    <r>
      <rPr>
        <b/>
        <sz val="12.5"/>
        <rFont val="Arial"/>
        <family val="2"/>
      </rPr>
      <t>مجموع الموجودات المستثمرة لصالح الشركات الاستثمارية</t>
    </r>
  </si>
  <si>
    <t>Total Assets (c) = (a+b)</t>
  </si>
  <si>
    <t>Balance Sheet Total Assets (d)</t>
  </si>
  <si>
    <t>Total Assets (f) = (d+e)</t>
  </si>
  <si>
    <t>Balance Sheet Total Assets (g)</t>
  </si>
  <si>
    <t>Total (a)</t>
  </si>
  <si>
    <r>
      <rPr>
        <sz val="12.5"/>
        <rFont val="Arial"/>
        <family val="2"/>
      </rPr>
      <t>of which:</t>
    </r>
    <r>
      <rPr>
        <b/>
        <sz val="12.5"/>
        <rFont val="Arial"/>
        <family val="2"/>
      </rPr>
      <t xml:space="preserve"> Total Investment as Principal</t>
    </r>
  </si>
  <si>
    <t xml:space="preserve">Total (b) </t>
  </si>
  <si>
    <t>Total (e)</t>
  </si>
  <si>
    <t xml:space="preserve"> - 40 -</t>
  </si>
  <si>
    <r>
      <t xml:space="preserve">Table No. (41) </t>
    </r>
    <r>
      <rPr>
        <b/>
        <sz val="14"/>
        <color indexed="8"/>
        <rFont val="Arial (Arabic)"/>
        <family val="2"/>
        <charset val="178"/>
      </rPr>
      <t xml:space="preserve">جدول رقم </t>
    </r>
  </si>
  <si>
    <t>BD Thousand</t>
  </si>
  <si>
    <t>ألف دينار</t>
  </si>
  <si>
    <t xml:space="preserve">ودائع لدى </t>
  </si>
  <si>
    <t xml:space="preserve">مستحق من </t>
  </si>
  <si>
    <t xml:space="preserve">موجودات </t>
  </si>
  <si>
    <t>موجودات</t>
  </si>
  <si>
    <t xml:space="preserve">قروض من </t>
  </si>
  <si>
    <t xml:space="preserve">مستحق الى </t>
  </si>
  <si>
    <t>الغير</t>
  </si>
  <si>
    <t>أجنبية</t>
  </si>
  <si>
    <t xml:space="preserve">Deposits in </t>
  </si>
  <si>
    <t>Due from</t>
  </si>
  <si>
    <t xml:space="preserve">Loans from </t>
  </si>
  <si>
    <t>Due to</t>
  </si>
  <si>
    <t>Equity &amp;</t>
  </si>
  <si>
    <t>Check sum</t>
  </si>
  <si>
    <t>Others 1/</t>
  </si>
  <si>
    <t>1/ includes other money changers and travellers' cheque companies.</t>
  </si>
  <si>
    <t>1\ يشمل على مكاتب الصرافة الأخرى وشركات إصدار الشيكات السياحية.</t>
  </si>
  <si>
    <t xml:space="preserve"> - 41 -</t>
  </si>
  <si>
    <t xml:space="preserve">Table No. (42) جدول رقم </t>
  </si>
  <si>
    <t>أنظمة المدفوعات *</t>
  </si>
  <si>
    <t>Payment Systems *</t>
  </si>
  <si>
    <t>During the Period</t>
  </si>
  <si>
    <t>النظام الآني للتسويات الإجمالية</t>
  </si>
  <si>
    <t>نظام التحويلات المالية الإلكتروني</t>
  </si>
  <si>
    <t>عمليات السحب من أجهزة الصراف الآلي</t>
  </si>
  <si>
    <t>Real Time Gross Settlement (RTGS) System 1/</t>
  </si>
  <si>
    <t>Electronic Funds Transfer System (EFTS) and Electronic Bill Payment and Presentment (EBPP) 2/</t>
  </si>
  <si>
    <t>تحويلات الزبائن</t>
  </si>
  <si>
    <t>التحويلات المصرفية بين المصارف التجارية</t>
  </si>
  <si>
    <t>فوري +</t>
  </si>
  <si>
    <t>فوري</t>
  </si>
  <si>
    <t>فواتير</t>
  </si>
  <si>
    <t>ATM Withdrawal Transactions 4/</t>
  </si>
  <si>
    <t>Customer Transactions</t>
  </si>
  <si>
    <t>Interbank Transactions</t>
  </si>
  <si>
    <t>Fawri +</t>
  </si>
  <si>
    <t>Fawri</t>
  </si>
  <si>
    <t>Fawateer 3/</t>
  </si>
  <si>
    <t>العدد</t>
  </si>
  <si>
    <t>القيمة</t>
  </si>
  <si>
    <t>Volume</t>
  </si>
  <si>
    <t>Value</t>
  </si>
  <si>
    <t>* Data for the Bahrain Cheque Truncation System (BCTS) are found in Table (41)</t>
  </si>
  <si>
    <t>* يمكن الحصول على بيانات نظام البحرين لمقاصة الشيكات الإلكتروني  في جدول (41)</t>
  </si>
  <si>
    <t>1/ The Real Time Gross Settlement (RTGS) System went live on 14th June 2007</t>
  </si>
  <si>
    <t>1/ بدأ عمل النظام الآني للتسويات الإجمالية في 14 يونيو 2007</t>
  </si>
  <si>
    <r>
      <t>2/ The Electronic Fund Transfer System (EFTS) went live on 5</t>
    </r>
    <r>
      <rPr>
        <vertAlign val="superscript"/>
        <sz val="10"/>
        <color theme="1"/>
        <rFont val="Arial"/>
        <family val="2"/>
      </rPr>
      <t>th</t>
    </r>
    <r>
      <rPr>
        <sz val="10"/>
        <color theme="1"/>
        <rFont val="Arial"/>
        <family val="2"/>
      </rPr>
      <t xml:space="preserve"> November 2015 (only with Fawri+ and Fawri)</t>
    </r>
  </si>
  <si>
    <t>2/ بدأ عمل نظام التحويلات المالية الإلكتروني  (فوري و فوري+ فقط) في 5 نوفمبر 2015</t>
  </si>
  <si>
    <r>
      <t xml:space="preserve">3/ The Electronic Bill Presentment and Payment (EBPP) System i.e. </t>
    </r>
    <r>
      <rPr>
        <i/>
        <sz val="10"/>
        <color theme="1"/>
        <rFont val="Arial"/>
        <family val="2"/>
      </rPr>
      <t>Fawateer went live officially on 1</t>
    </r>
    <r>
      <rPr>
        <i/>
        <vertAlign val="superscript"/>
        <sz val="10"/>
        <color theme="1"/>
        <rFont val="Arial"/>
        <family val="2"/>
      </rPr>
      <t>st</t>
    </r>
    <r>
      <rPr>
        <i/>
        <sz val="10"/>
        <color theme="1"/>
        <rFont val="Arial"/>
        <family val="2"/>
      </rPr>
      <t xml:space="preserve"> February, 2016 (Direct Debit Service) </t>
    </r>
  </si>
  <si>
    <r>
      <t xml:space="preserve">3/ بدأ عمل نظام عرض ودفع الفواتير الإلكترونية </t>
    </r>
    <r>
      <rPr>
        <i/>
        <sz val="10"/>
        <color rgb="FF000000"/>
        <rFont val="Arial (Arabic)"/>
      </rPr>
      <t>بشكل رسمي في 1 فبراير 2016 (خدمة الاستقطاع المباشر) و 3 أكتوبر 2016 (خدمة الدفع المباشر)</t>
    </r>
  </si>
  <si>
    <t>and on 3rd October, 2016 (Direct Credit Service)</t>
  </si>
  <si>
    <t>4/ Local Debit Cards Only</t>
  </si>
  <si>
    <t>4/ بطاقات الخصم المحلية فقط</t>
  </si>
  <si>
    <t xml:space="preserve">- 42 - </t>
  </si>
  <si>
    <t xml:space="preserve">Table No. (43) جدول رقم </t>
  </si>
  <si>
    <t>إجمالي الشيكات الصادرة</t>
  </si>
  <si>
    <t>اجمالي الشيكات المرتجعة</t>
  </si>
  <si>
    <t>الشيكات المرتجعة لأسباب تقنية</t>
  </si>
  <si>
    <t>الشيكات المرتجعة لأسباب مالية</t>
  </si>
  <si>
    <t>Total Cheques Issued</t>
  </si>
  <si>
    <t>Total Returned Cheques</t>
  </si>
  <si>
    <t>Returned Cheques for Technical Reasons</t>
  </si>
  <si>
    <t>Returned Cheques for Financial Reasons</t>
  </si>
  <si>
    <t>القيمة
(مليون دينار)</t>
  </si>
  <si>
    <t>كنسبة من إجمالي عدد الشيكات الصادرة</t>
  </si>
  <si>
    <t>كنسبة من إجمالي قيمة الشيكات الصادرة</t>
  </si>
  <si>
    <t>Value
(B.D. Million)</t>
  </si>
  <si>
    <t>% of Total Cheques Issued</t>
  </si>
  <si>
    <r>
      <t>1/ The Bahrain Cheque Truncation System (BCTS) went live on Sunday, 13</t>
    </r>
    <r>
      <rPr>
        <vertAlign val="superscript"/>
        <sz val="10"/>
        <color theme="1"/>
        <rFont val="Arial"/>
        <family val="2"/>
      </rPr>
      <t>th</t>
    </r>
    <r>
      <rPr>
        <sz val="10"/>
        <color theme="1"/>
        <rFont val="Arial"/>
        <family val="2"/>
      </rPr>
      <t xml:space="preserve"> May, 2012.</t>
    </r>
  </si>
  <si>
    <t>1/ بدأ عمل نظام البحرين لمقاصة الشيكات الإلكتروني بتاريخ الأحد، 13 مايو 2012.</t>
  </si>
  <si>
    <t xml:space="preserve">- 43 - </t>
  </si>
  <si>
    <r>
      <t xml:space="preserve">Table No. (44) </t>
    </r>
    <r>
      <rPr>
        <b/>
        <sz val="14"/>
        <color indexed="8"/>
        <rFont val="Arial (Arabic)"/>
        <family val="2"/>
        <charset val="178"/>
      </rPr>
      <t xml:space="preserve">جدول رقم </t>
    </r>
  </si>
  <si>
    <t>عمليات نقاط البيع والتجارة الإلكترونية</t>
  </si>
  <si>
    <t>Points of Sales and E-Commerce Transactions</t>
  </si>
  <si>
    <t>الفترة
Period</t>
  </si>
  <si>
    <t>عدد العمليات</t>
  </si>
  <si>
    <t>قيمة العمليات (دينار)</t>
  </si>
  <si>
    <t>Of which: E-Commerce Trans.</t>
  </si>
  <si>
    <t>عدد أجهزة نقاط البيع
(نهاية الفترة)
No. of POS terminals 
(end of period)</t>
  </si>
  <si>
    <t xml:space="preserve">Number of transactions </t>
  </si>
  <si>
    <t xml:space="preserve">Value of transactions (BD) </t>
  </si>
  <si>
    <t>ومنها: عمليات التجارة الإلكترونية</t>
  </si>
  <si>
    <t>البطاقات المصدرة في البحرين</t>
  </si>
  <si>
    <t>البطاقات المصدرة خارج البحرين</t>
  </si>
  <si>
    <t>ومنه البطاقات اللاتلامسية</t>
  </si>
  <si>
    <t>Cards issued in Bahrain</t>
  </si>
  <si>
    <t>Cards issued outside Bahrain</t>
  </si>
  <si>
    <t>of which
Contactless Cards</t>
  </si>
  <si>
    <t xml:space="preserve">- 44 - </t>
  </si>
  <si>
    <r>
      <t xml:space="preserve">Table No. (45) </t>
    </r>
    <r>
      <rPr>
        <b/>
        <sz val="14"/>
        <color indexed="8"/>
        <rFont val="Arial"/>
        <family val="2"/>
      </rPr>
      <t xml:space="preserve">جدول رقم </t>
    </r>
  </si>
  <si>
    <t>عمليات نقاط البيع والتجارة الإلكترونية حسب القطاعات - بطاقات الائتمان المصدرة في البحرين</t>
  </si>
  <si>
    <t>Points of Sales and E-Commerce Transactions by Sectors - Credit Cards issued in Bahrain</t>
  </si>
  <si>
    <t>Value of Transactions in B.D.</t>
  </si>
  <si>
    <t xml:space="preserve">قيمة المعاملات بالدينار </t>
  </si>
  <si>
    <t>No. of trans.</t>
  </si>
  <si>
    <t>Lodging - Hotels, Motels, Resorts</t>
  </si>
  <si>
    <t>الإقامة - الفنادق والمنتجعات</t>
  </si>
  <si>
    <t>Restaurants</t>
  </si>
  <si>
    <t>المطاعم</t>
  </si>
  <si>
    <t>Health</t>
  </si>
  <si>
    <t>الصحة</t>
  </si>
  <si>
    <t>Government Services</t>
  </si>
  <si>
    <t>الخدمات الحكومية</t>
  </si>
  <si>
    <t>Construction - Contractors, Building Materials and Maintenance &amp; Related Services</t>
  </si>
  <si>
    <t>البناء - المقاولون ، مواد البناء والصيانة والخدمات ذات الصلة</t>
  </si>
  <si>
    <t>Supermarket</t>
  </si>
  <si>
    <t>أسواق السوبرماركت</t>
  </si>
  <si>
    <t>Jewelry Stores</t>
  </si>
  <si>
    <t>متاجر المجوهرات</t>
  </si>
  <si>
    <t>Department Store</t>
  </si>
  <si>
    <t>المتاجر</t>
  </si>
  <si>
    <t>Clothing and Footwear</t>
  </si>
  <si>
    <t>الملابس والأحذية</t>
  </si>
  <si>
    <t>Electronic and Digital Goods</t>
  </si>
  <si>
    <t>مبيعات الأجهزة الإلكترونية والرقمية</t>
  </si>
  <si>
    <t xml:space="preserve">Insurance </t>
  </si>
  <si>
    <t>التأمين</t>
  </si>
  <si>
    <t>Telecommunication</t>
  </si>
  <si>
    <t>الاتصالات</t>
  </si>
  <si>
    <t>Transportation</t>
  </si>
  <si>
    <t>وسائل النقل</t>
  </si>
  <si>
    <t>Automobile and Truck Dealers - Sales, Service, Repairs, Parts and Leasing</t>
  </si>
  <si>
    <t>تجار السيارات والشاحنات</t>
  </si>
  <si>
    <t>Travel</t>
  </si>
  <si>
    <t>السفر</t>
  </si>
  <si>
    <t>Family Entertainment &amp; Tourism</t>
  </si>
  <si>
    <t>الترفيه العائلي والسياحة</t>
  </si>
  <si>
    <t>Equipment, Furniture &amp; Home Furnishings Stores (except appliances)</t>
  </si>
  <si>
    <t>متاجر الأثاث</t>
  </si>
  <si>
    <t>Book Stores &amp; Stationary</t>
  </si>
  <si>
    <t>متاجر الكتب والقرطاسية</t>
  </si>
  <si>
    <t>Miscellaneous Goods &amp; Services</t>
  </si>
  <si>
    <t>سلع وخدمات غير مصنفة أعلاه</t>
  </si>
  <si>
    <t xml:space="preserve">Government Services includes: Court Costs including Alimony and Child Support, Fines, Bail and Bond Payments, Tax Payments,
</t>
  </si>
  <si>
    <t xml:space="preserve">تشمل الخدمات الحكومية: تكاليف المحكمة بما في ذلك النفقة ودعم الطفل، الغرامات، دفع الكفالة والسندات، المدفوعات الضريبية، </t>
  </si>
  <si>
    <t>Government Services not elsewhere classified, Government Postal Services, and Intra-Government Purchases</t>
  </si>
  <si>
    <t>الخدمات الحكومية غير المصنفة في مكان آخر، الخدمات البريدية الحكومية، والمشتريات الحكومية.</t>
  </si>
  <si>
    <t xml:space="preserve">- 45 - </t>
  </si>
  <si>
    <r>
      <t xml:space="preserve">Table No. (46) </t>
    </r>
    <r>
      <rPr>
        <b/>
        <sz val="14"/>
        <color indexed="8"/>
        <rFont val="Arial"/>
        <family val="2"/>
      </rPr>
      <t xml:space="preserve">جدول رقم </t>
    </r>
  </si>
  <si>
    <t>عمليات نقاط البيع والتجارة الإلكترونية حسب القطاعات - بطاقات الائتمان المصدرة خارج البحرين</t>
  </si>
  <si>
    <t>Points of Salesand E-Commerce Transactions by Sectors - Credit Cards issued Outside Bahrain</t>
  </si>
  <si>
    <t xml:space="preserve">- 46 - </t>
  </si>
  <si>
    <r>
      <t xml:space="preserve">Table No. (47) </t>
    </r>
    <r>
      <rPr>
        <b/>
        <sz val="14"/>
        <color indexed="8"/>
        <rFont val="Arial"/>
        <family val="2"/>
      </rPr>
      <t xml:space="preserve">جدول رقم </t>
    </r>
  </si>
  <si>
    <t>عمليات نقاط البيع والتجارة الإلكترونية حسب القطاعات - بطاقات الخصم المصدرة في البحرين</t>
  </si>
  <si>
    <t>Points of Salesand E-Commerce Transactions by Sectors - Debit Cards issued in Bahrain</t>
  </si>
  <si>
    <t xml:space="preserve">- 47 - </t>
  </si>
  <si>
    <r>
      <t xml:space="preserve">Table No. (48) </t>
    </r>
    <r>
      <rPr>
        <b/>
        <sz val="14"/>
        <color indexed="8"/>
        <rFont val="Arial"/>
        <family val="2"/>
      </rPr>
      <t xml:space="preserve">جدول رقم </t>
    </r>
  </si>
  <si>
    <t>عمليات نقاط البيع  والتجارة الإلكترونية حسب القطاعات - بطاقات الخصم المصدرة خارج البحرين</t>
  </si>
  <si>
    <t>Points of Sales and E-Commerce Transactions by Sectors - Debit Cards issued Outside Bahrain</t>
  </si>
  <si>
    <t xml:space="preserve">- 48 - </t>
  </si>
  <si>
    <r>
      <t xml:space="preserve">Table No. (49) </t>
    </r>
    <r>
      <rPr>
        <b/>
        <sz val="14"/>
        <rFont val="Arial (Arabic)"/>
        <family val="2"/>
        <charset val="178"/>
      </rPr>
      <t xml:space="preserve">جدول رقم </t>
    </r>
  </si>
  <si>
    <t xml:space="preserve"> (باستثناء البحرين)</t>
  </si>
  <si>
    <t>(Excluding Bahrain)</t>
  </si>
  <si>
    <t>السعودية</t>
  </si>
  <si>
    <t>الكويت</t>
  </si>
  <si>
    <t>الإمارات العربية المتحدة</t>
  </si>
  <si>
    <t>قطر</t>
  </si>
  <si>
    <t>عمان</t>
  </si>
  <si>
    <t>الولايات المتحدة</t>
  </si>
  <si>
    <t>المملكة المتحدة</t>
  </si>
  <si>
    <t>فرنسا</t>
  </si>
  <si>
    <t>ألمانيا</t>
  </si>
  <si>
    <t>الهند</t>
  </si>
  <si>
    <t>Saudi Arabia</t>
  </si>
  <si>
    <t>Kuwait</t>
  </si>
  <si>
    <t>United Arab Emirates</t>
  </si>
  <si>
    <t>Qatar</t>
  </si>
  <si>
    <t>Oman</t>
  </si>
  <si>
    <t>United States</t>
  </si>
  <si>
    <t>United Kingdom</t>
  </si>
  <si>
    <t>France</t>
  </si>
  <si>
    <t>Germany</t>
  </si>
  <si>
    <t>India</t>
  </si>
  <si>
    <t>TOTAL</t>
  </si>
  <si>
    <t xml:space="preserve">- 49 - </t>
  </si>
  <si>
    <r>
      <t xml:space="preserve">Table No. (50) </t>
    </r>
    <r>
      <rPr>
        <b/>
        <sz val="14"/>
        <rFont val="Arial (Arabic)"/>
        <family val="2"/>
        <charset val="178"/>
      </rPr>
      <t xml:space="preserve">جدول رقم </t>
    </r>
  </si>
  <si>
    <t>B.D.</t>
  </si>
  <si>
    <t>دينار</t>
  </si>
  <si>
    <t xml:space="preserve">- 50 - </t>
  </si>
  <si>
    <r>
      <t xml:space="preserve">Table No. (51) </t>
    </r>
    <r>
      <rPr>
        <b/>
        <sz val="13"/>
        <color indexed="8"/>
        <rFont val="Arial (Arabic)"/>
        <family val="2"/>
        <charset val="178"/>
      </rPr>
      <t>جدول رقم</t>
    </r>
  </si>
  <si>
    <t xml:space="preserve"> Sector</t>
  </si>
  <si>
    <t xml:space="preserve"> Bahraini</t>
  </si>
  <si>
    <t xml:space="preserve"> بحريني</t>
  </si>
  <si>
    <t xml:space="preserve"> Non-Bahraini</t>
  </si>
  <si>
    <t xml:space="preserve"> غير بحريني</t>
  </si>
  <si>
    <t>ذكور</t>
  </si>
  <si>
    <t>إناث</t>
  </si>
  <si>
    <t>Male</t>
  </si>
  <si>
    <t>Female</t>
  </si>
  <si>
    <t>Banking Sector</t>
  </si>
  <si>
    <t>القطاع المصرفي</t>
  </si>
  <si>
    <t>Representative Offices</t>
  </si>
  <si>
    <t>المكاتب التمثيلية</t>
  </si>
  <si>
    <t>Non-Bank Financial Sector</t>
  </si>
  <si>
    <t>القطاع المالي غير المصرفي</t>
  </si>
  <si>
    <t>Locally Incorporated Insurance Firms</t>
  </si>
  <si>
    <t>شركات التأمين الوطنية وشركات إعادة التأمين</t>
  </si>
  <si>
    <t>Insurance Related Activities Firms</t>
  </si>
  <si>
    <t>شركات الأنشطة المتعلقة بالتأمين</t>
  </si>
  <si>
    <t>Specialised Licensees *</t>
  </si>
  <si>
    <t>الأنشطة المتخصصة *</t>
  </si>
  <si>
    <t>Of which:
     Money Changers</t>
  </si>
  <si>
    <t>ومنها:
محلات الصرافة</t>
  </si>
  <si>
    <t>Financing Companies and Microfinance Institutions</t>
  </si>
  <si>
    <t>شركات التمويل ومؤسسات التمويل متناهية الصغر</t>
  </si>
  <si>
    <t>Capital Markets **</t>
  </si>
  <si>
    <t>أسواق رأس المال **</t>
  </si>
  <si>
    <t>Supporting Institutions</t>
  </si>
  <si>
    <t>المؤسسات الداعمة</t>
  </si>
  <si>
    <r>
      <t xml:space="preserve">* </t>
    </r>
    <r>
      <rPr>
        <sz val="10.5"/>
        <color theme="1"/>
        <rFont val="Arial"/>
        <family val="2"/>
      </rPr>
      <t>Includes Money Changers, Financing Companies, Microfinance Institutions, Ancillary Service Provider, Trust Service Provider, Registered Administrators, Fund Administrators and Registrar License.</t>
    </r>
  </si>
  <si>
    <t>* تشمل محلات الصرافة، شركات التمويل، مؤسسات التمويل متناهية الصغر، خدمات الدعم للقطاع المالي، أمناء العهد المالية، مسجلو الأسهم ومسجلو الخدمات الإدارية للمحافظ الاستثمارية وهيئة مهنية مسجلة.</t>
  </si>
  <si>
    <r>
      <t>** Includes</t>
    </r>
    <r>
      <rPr>
        <sz val="10.5"/>
        <color theme="1"/>
        <rFont val="Arial"/>
        <family val="2"/>
      </rPr>
      <t xml:space="preserve"> Licensed Exchanges, Licensed Clearing (Settlement and Central), Licensed Securities Broker-Dealer, Licensed Securities Clearing Member, and Licensed Securities Broker, Licensed Securities Discount Broker and Crypto-Asset Services.</t>
    </r>
  </si>
  <si>
    <t>** تشمل الأسواق المالية المرخص لها  للتداول في الأوراق والأدوات المالية، مؤسسات وغرف التسوية والتقاص والإيداع والحفظ المركزي المرخص لها، وسطاء الأوراق المالية العاملون لصالح حساباتهم وحسابات عملائهم، وسطاء التسوية والتقاص والإيداع المركزي، خدمات الدلالة في الأوراق المالية ووحدات الأصول المشفرة.</t>
  </si>
  <si>
    <t xml:space="preserve"> - 51 -</t>
  </si>
  <si>
    <r>
      <t xml:space="preserve">Table No. (52)  </t>
    </r>
    <r>
      <rPr>
        <b/>
        <sz val="13"/>
        <color indexed="8"/>
        <rFont val="Arial (Arabic)"/>
        <family val="2"/>
        <charset val="178"/>
      </rPr>
      <t>جدول رقم</t>
    </r>
  </si>
  <si>
    <t xml:space="preserve">ميزان المدفوعات </t>
  </si>
  <si>
    <t>Items</t>
  </si>
  <si>
    <t>2025*</t>
  </si>
  <si>
    <t>البيان</t>
  </si>
  <si>
    <t>الفصل الأول</t>
  </si>
  <si>
    <t>الفصل الثاني</t>
  </si>
  <si>
    <t>الفصل الثالث</t>
  </si>
  <si>
    <t>الفصل الرابع</t>
  </si>
  <si>
    <t xml:space="preserve"> Current Account (a+b+c+d)</t>
  </si>
  <si>
    <t xml:space="preserve"> الحساب الجاري (أ+ب+ج+د)</t>
  </si>
  <si>
    <t>a.  Goods</t>
  </si>
  <si>
    <t>أ -  السلع</t>
  </si>
  <si>
    <t>Exports (fob)</t>
  </si>
  <si>
    <t>الصادرات (فوب)</t>
  </si>
  <si>
    <t xml:space="preserve"> -  Oil</t>
  </si>
  <si>
    <t xml:space="preserve"> - النفطية</t>
  </si>
  <si>
    <t xml:space="preserve"> -  Non-Oil</t>
  </si>
  <si>
    <t xml:space="preserve"> - غيرالنفطية</t>
  </si>
  <si>
    <t>Imports (fob)</t>
  </si>
  <si>
    <t>الواردات (فوب)</t>
  </si>
  <si>
    <t>b.  Services (net)</t>
  </si>
  <si>
    <t>ب -  الخدمات (صافي)</t>
  </si>
  <si>
    <t>Credit</t>
  </si>
  <si>
    <t>دائن</t>
  </si>
  <si>
    <t>Debit</t>
  </si>
  <si>
    <t>مدين</t>
  </si>
  <si>
    <t xml:space="preserve"> -  Maintenance </t>
  </si>
  <si>
    <t xml:space="preserve"> -  الصيانة</t>
  </si>
  <si>
    <t xml:space="preserve"> -  Transportation</t>
  </si>
  <si>
    <t xml:space="preserve"> -  النقل</t>
  </si>
  <si>
    <t xml:space="preserve"> -  Travel</t>
  </si>
  <si>
    <t xml:space="preserve"> -  السفر</t>
  </si>
  <si>
    <t xml:space="preserve"> -  Construction</t>
  </si>
  <si>
    <t xml:space="preserve"> -  الإنشاء</t>
  </si>
  <si>
    <t xml:space="preserve"> -  Insurance </t>
  </si>
  <si>
    <t xml:space="preserve"> -  التأمين</t>
  </si>
  <si>
    <t xml:space="preserve"> -  Financial Services</t>
  </si>
  <si>
    <t xml:space="preserve"> -  خدمات مالية</t>
  </si>
  <si>
    <t xml:space="preserve"> -  Communication services</t>
  </si>
  <si>
    <t xml:space="preserve"> -  خدمات الاتصالات</t>
  </si>
  <si>
    <t xml:space="preserve"> -  Other Business Services</t>
  </si>
  <si>
    <t xml:space="preserve"> -  خدمات أخرى</t>
  </si>
  <si>
    <t>c.  Primary Income (net)</t>
  </si>
  <si>
    <t>ج -  الدخل الأساسي (صافي)</t>
  </si>
  <si>
    <t>Investment Income</t>
  </si>
  <si>
    <t>دخل الاستثمار</t>
  </si>
  <si>
    <t xml:space="preserve"> -  Direct Investment Income</t>
  </si>
  <si>
    <t xml:space="preserve"> -  الاستثمار المباشر</t>
  </si>
  <si>
    <t xml:space="preserve"> -  Portfolio Income</t>
  </si>
  <si>
    <t xml:space="preserve"> -  استثمارات الحافظة</t>
  </si>
  <si>
    <t xml:space="preserve"> -  Other Investment Income</t>
  </si>
  <si>
    <t xml:space="preserve"> -  استثمارات أخرى</t>
  </si>
  <si>
    <t>d.  Secondary income (Current Transfers) (net)</t>
  </si>
  <si>
    <t>د -  الدخل الثانوي (التحويلات الجارية ) (صافي)</t>
  </si>
  <si>
    <t xml:space="preserve"> -  Workers' Remittances</t>
  </si>
  <si>
    <t xml:space="preserve"> -  تحويلات العاملين</t>
  </si>
  <si>
    <t xml:space="preserve"> Capital and Financial Account (net) (a+b)</t>
  </si>
  <si>
    <t xml:space="preserve"> الحساب الرأسمالي والمالي (صافي) (أ+ب)</t>
  </si>
  <si>
    <t>a.  Capital Account (net)</t>
  </si>
  <si>
    <t xml:space="preserve">أ -  الحساب الرأسمالي </t>
  </si>
  <si>
    <t xml:space="preserve"> -  Capital Transfers</t>
  </si>
  <si>
    <t xml:space="preserve"> -  التحويلات الرأسمالية</t>
  </si>
  <si>
    <t>b.  Financial Account 1/</t>
  </si>
  <si>
    <t>ب -  الحساب المالي 1/</t>
  </si>
  <si>
    <t>Direct Investment</t>
  </si>
  <si>
    <t>الاستثمار المباشر</t>
  </si>
  <si>
    <t xml:space="preserve"> -  Abroad</t>
  </si>
  <si>
    <t xml:space="preserve"> -  في الخارج</t>
  </si>
  <si>
    <t xml:space="preserve"> -  In Bahrain</t>
  </si>
  <si>
    <t xml:space="preserve"> -  في البحرين</t>
  </si>
  <si>
    <t>Portfolio Investment (net)</t>
  </si>
  <si>
    <t>استثمارات الحافظة (صافي)</t>
  </si>
  <si>
    <t xml:space="preserve"> -  Assets</t>
  </si>
  <si>
    <t xml:space="preserve"> -  الأصول</t>
  </si>
  <si>
    <t xml:space="preserve"> -  Liabilities</t>
  </si>
  <si>
    <t xml:space="preserve"> -  الخصوم</t>
  </si>
  <si>
    <t>Other Investment (net)</t>
  </si>
  <si>
    <t>استثمارات أخرى (صافي)</t>
  </si>
  <si>
    <t>Reserve Assets (net)</t>
  </si>
  <si>
    <t>الاصول الاحتياطية (صافي)</t>
  </si>
  <si>
    <t xml:space="preserve"> Errors and Omissions</t>
  </si>
  <si>
    <t xml:space="preserve"> السهو والخطأ</t>
  </si>
  <si>
    <t>1/  A negative sign means net outflows/increases in external assets.</t>
  </si>
  <si>
    <t>1/  الإشارة السالبة تعني تدفق للخارج أو زيادة  في الموجودات الأجنبية.</t>
  </si>
  <si>
    <t>*  Provisional data.</t>
  </si>
  <si>
    <t xml:space="preserve">*    بيانات أولية. </t>
  </si>
  <si>
    <t xml:space="preserve"> - 52 -</t>
  </si>
  <si>
    <t>Table No. (53) جدول رقم</t>
  </si>
  <si>
    <t>IIP, net</t>
  </si>
  <si>
    <t>وضع الاستثمار الدولي (صافي)</t>
  </si>
  <si>
    <t>الأصول الأجنبية</t>
  </si>
  <si>
    <t>Direct Investment Abroad</t>
  </si>
  <si>
    <t>الاستثمار المباشر في الخارج</t>
  </si>
  <si>
    <t>Portfolio Investment</t>
  </si>
  <si>
    <t>استثمارات الحافظة</t>
  </si>
  <si>
    <t>Other Investment</t>
  </si>
  <si>
    <t>استثمارات أخرى</t>
  </si>
  <si>
    <t>Reserve Assets</t>
  </si>
  <si>
    <t>الأصول الاحتياطية</t>
  </si>
  <si>
    <t>الخصوم الأجنبية</t>
  </si>
  <si>
    <t>Direct Investment in Bahrain</t>
  </si>
  <si>
    <t>الاستثمار المباشر في البحرين</t>
  </si>
  <si>
    <t>*  Provisional Data.</t>
  </si>
  <si>
    <t>*  بيانات أولية.</t>
  </si>
  <si>
    <t xml:space="preserve"> - 53 -</t>
  </si>
  <si>
    <r>
      <t xml:space="preserve">Table No. (54) </t>
    </r>
    <r>
      <rPr>
        <b/>
        <sz val="14"/>
        <color indexed="8"/>
        <rFont val="Arial (Arabic)"/>
        <family val="2"/>
        <charset val="178"/>
      </rPr>
      <t>جدول رقم</t>
    </r>
  </si>
  <si>
    <t>الاحتياطـيــــــات الرسميــــة الدوليـــــــة</t>
  </si>
  <si>
    <t>الذهب</t>
  </si>
  <si>
    <t xml:space="preserve">حقوق السحب </t>
  </si>
  <si>
    <t>إجمالي</t>
  </si>
  <si>
    <t>الخاصة</t>
  </si>
  <si>
    <t>مركز الاحتياطي</t>
  </si>
  <si>
    <t xml:space="preserve">العملات </t>
  </si>
  <si>
    <t>الاحتياطيات الدولية</t>
  </si>
  <si>
    <t>عدد الأونصات</t>
  </si>
  <si>
    <t>Special Drawing</t>
  </si>
  <si>
    <t xml:space="preserve"> لدى صندوق النقد الدولي</t>
  </si>
  <si>
    <t>Ounces</t>
  </si>
  <si>
    <t>Rights</t>
  </si>
  <si>
    <t>Reserve Position</t>
  </si>
  <si>
    <t>International</t>
  </si>
  <si>
    <t>(SDRs)</t>
  </si>
  <si>
    <t>at the IMF</t>
  </si>
  <si>
    <t xml:space="preserve"> - 54 -</t>
  </si>
  <si>
    <r>
      <t xml:space="preserve">Table No. (55) </t>
    </r>
    <r>
      <rPr>
        <b/>
        <sz val="14"/>
        <color indexed="8"/>
        <rFont val="Arial (Arabic)"/>
        <family val="2"/>
        <charset val="178"/>
      </rPr>
      <t xml:space="preserve">جدول رقم </t>
    </r>
  </si>
  <si>
    <t>بورصة البحرين - مؤشرات التداول للشركات المساهمة العامة</t>
  </si>
  <si>
    <t>Bahrain Bourse - Market Indicators of Listed Companies</t>
  </si>
  <si>
    <t>عدد الشركات</t>
  </si>
  <si>
    <t>كمية الأسهم المتداولة</t>
  </si>
  <si>
    <t>قيمة الأسهم</t>
  </si>
  <si>
    <t>عدد</t>
  </si>
  <si>
    <t>المؤشر العام</t>
  </si>
  <si>
    <t>مؤشر البحرين العام</t>
  </si>
  <si>
    <t>القيمة  السوقية</t>
  </si>
  <si>
    <t>نسبة الأرباح الموزعة</t>
  </si>
  <si>
    <t>المدرجة</t>
  </si>
  <si>
    <t>(الف)</t>
  </si>
  <si>
    <r>
      <t>المتداولة (</t>
    </r>
    <r>
      <rPr>
        <b/>
        <sz val="8"/>
        <rFont val="Arial (Arabic)"/>
        <family val="2"/>
        <charset val="178"/>
      </rPr>
      <t xml:space="preserve"> </t>
    </r>
    <r>
      <rPr>
        <b/>
        <sz val="11"/>
        <rFont val="Arial (Arabic)"/>
        <family val="2"/>
        <charset val="178"/>
      </rPr>
      <t>ألف دينار)</t>
    </r>
  </si>
  <si>
    <t>الصفقات</t>
  </si>
  <si>
    <t>(نقطة)</t>
  </si>
  <si>
    <t>(مليون دينار)</t>
  </si>
  <si>
    <t>معدل الدوران</t>
  </si>
  <si>
    <t>العائد على السهم</t>
  </si>
  <si>
    <t xml:space="preserve">الى السعر </t>
  </si>
  <si>
    <t>الفترة</t>
  </si>
  <si>
    <t>Number of</t>
  </si>
  <si>
    <t>Volume of</t>
  </si>
  <si>
    <t>Value of</t>
  </si>
  <si>
    <t xml:space="preserve">Bahrain All </t>
  </si>
  <si>
    <t>Market</t>
  </si>
  <si>
    <t>Shares</t>
  </si>
  <si>
    <t>Dividend</t>
  </si>
  <si>
    <t>Period</t>
  </si>
  <si>
    <t xml:space="preserve">Listed </t>
  </si>
  <si>
    <t>Shares Traded</t>
  </si>
  <si>
    <t>Shares Traded 1/</t>
  </si>
  <si>
    <t>Transactions</t>
  </si>
  <si>
    <t>Index</t>
  </si>
  <si>
    <t>Share Index</t>
  </si>
  <si>
    <t xml:space="preserve"> Capitalisation 2/</t>
  </si>
  <si>
    <t>Turnover 3/</t>
  </si>
  <si>
    <t>P/E</t>
  </si>
  <si>
    <t>Yield %</t>
  </si>
  <si>
    <t>Companies</t>
  </si>
  <si>
    <t>(Thousand)</t>
  </si>
  <si>
    <t>(B.D. Thousand)</t>
  </si>
  <si>
    <t>(Point)</t>
  </si>
  <si>
    <t>(B.D. Million)</t>
  </si>
  <si>
    <t xml:space="preserve"> --</t>
  </si>
  <si>
    <t>--</t>
  </si>
  <si>
    <t>1/  Includes Shares Traded by Preferred, Closed &amp; Non-Bahraini Stock.</t>
  </si>
  <si>
    <t>1/  تشمل تداول الأسهم الممتازة والمقفلة وغير البحرينية.</t>
  </si>
  <si>
    <t>2/  End of Period - Doesn't Include Preferred, Closed &amp; Non-Bahraini Stock.</t>
  </si>
  <si>
    <t>2/  نهاية الفترة  - لا تشمل الأسهم الممتازة  والمقفلة وغير البحرينية.</t>
  </si>
  <si>
    <t>3/  Shares Turnover = (Value of Shares Traded / Market Capitalisation) X 100.</t>
  </si>
  <si>
    <r>
      <t>3/  معدل الدوران = ( قيمة الأسهم المتداولة / القيمة السوقية )  X</t>
    </r>
    <r>
      <rPr>
        <sz val="8"/>
        <color indexed="8"/>
        <rFont val="Arial"/>
        <family val="2"/>
        <charset val="178"/>
      </rPr>
      <t xml:space="preserve"> </t>
    </r>
    <r>
      <rPr>
        <sz val="1"/>
        <color indexed="9"/>
        <rFont val="Arial"/>
        <family val="2"/>
        <charset val="178"/>
      </rPr>
      <t xml:space="preserve"> ا </t>
    </r>
    <r>
      <rPr>
        <sz val="11"/>
        <rFont val="Arial"/>
        <family val="2"/>
        <charset val="178"/>
      </rPr>
      <t>100.</t>
    </r>
  </si>
  <si>
    <t>* The total value of shares are not inclusive of shares traded in the IPO market</t>
  </si>
  <si>
    <t>* قيمة الأسهم المتداولة لا تشمل  الأسهم المتداولة في السوق الأكتتابات الأولية (IPO)</t>
  </si>
  <si>
    <t>Source:  Bahrain Bourse.</t>
  </si>
  <si>
    <t>المصدر:  بورصة البحرين.</t>
  </si>
  <si>
    <t xml:space="preserve"> - 55 -</t>
  </si>
  <si>
    <r>
      <t xml:space="preserve">Table No. (56) </t>
    </r>
    <r>
      <rPr>
        <b/>
        <sz val="13"/>
        <color indexed="8"/>
        <rFont val="Arial (Arabic)"/>
        <family val="2"/>
        <charset val="178"/>
      </rPr>
      <t xml:space="preserve">جدول رقم </t>
    </r>
  </si>
  <si>
    <t xml:space="preserve">بورصة البحرين - قيمة الأسهم المتداولة حسب القطاعات </t>
  </si>
  <si>
    <t>Bahrain Bourse - Value of Shares Traded by Sector</t>
  </si>
  <si>
    <t>B.D. Thousand</t>
  </si>
  <si>
    <t>الف دينار</t>
  </si>
  <si>
    <t>السلع الاستهلاكية</t>
  </si>
  <si>
    <t>الشركات</t>
  </si>
  <si>
    <t>المواد الاساسية</t>
  </si>
  <si>
    <t>الصناعات</t>
  </si>
  <si>
    <t>الكمالية</t>
  </si>
  <si>
    <t>الاساسية</t>
  </si>
  <si>
    <t>المال</t>
  </si>
  <si>
    <t>العقارات</t>
  </si>
  <si>
    <t>الشركات المقفلة</t>
  </si>
  <si>
    <t xml:space="preserve"> غير البحرينية</t>
  </si>
  <si>
    <t xml:space="preserve"> الأسهم الممتازة</t>
  </si>
  <si>
    <t>Materials</t>
  </si>
  <si>
    <t>Industrials</t>
  </si>
  <si>
    <t>Consumer</t>
  </si>
  <si>
    <t>Financials</t>
  </si>
  <si>
    <t>Communications</t>
  </si>
  <si>
    <t xml:space="preserve">Real </t>
  </si>
  <si>
    <t>Closed</t>
  </si>
  <si>
    <t>Non-</t>
  </si>
  <si>
    <t>Preferred</t>
  </si>
  <si>
    <t>Discretionary</t>
  </si>
  <si>
    <t>Staples</t>
  </si>
  <si>
    <t>Services</t>
  </si>
  <si>
    <t>Estate</t>
  </si>
  <si>
    <r>
      <rPr>
        <b/>
        <sz val="9.5"/>
        <rFont val="Arial"/>
        <family val="2"/>
      </rPr>
      <t>Note</t>
    </r>
    <r>
      <rPr>
        <sz val="9.5"/>
        <rFont val="Arial"/>
        <family val="2"/>
        <charset val="178"/>
      </rPr>
      <t xml:space="preserve">: The market sectors were reclassified by Bahrain Bourse effective 11th July 2021. </t>
    </r>
  </si>
  <si>
    <r>
      <rPr>
        <b/>
        <sz val="10"/>
        <rFont val="Arial (Arabic)"/>
      </rPr>
      <t>ملاحظة</t>
    </r>
    <r>
      <rPr>
        <sz val="10"/>
        <rFont val="Arial (Arabic)"/>
        <family val="2"/>
        <charset val="178"/>
      </rPr>
      <t>: تم إعادة تصنيف قطاعات السوق من قبل بورصة البحرين اعتباراً من 11 يوليو 2021 .</t>
    </r>
  </si>
  <si>
    <t>The old classification are in prevous table (Table 51).</t>
  </si>
  <si>
    <t>التصنيف القديم في الجدول السابق (جدول 51).</t>
  </si>
  <si>
    <t xml:space="preserve"> - 56 -</t>
  </si>
  <si>
    <r>
      <t xml:space="preserve">Table No. (57) </t>
    </r>
    <r>
      <rPr>
        <b/>
        <sz val="13"/>
        <color indexed="8"/>
        <rFont val="Arial (Arabic)"/>
        <family val="2"/>
        <charset val="178"/>
      </rPr>
      <t xml:space="preserve">جدول رقم </t>
    </r>
  </si>
  <si>
    <t xml:space="preserve">بورصة البحرين - مؤشر الأسعار حسب القطاعات </t>
  </si>
  <si>
    <t xml:space="preserve">Bahrain Bourse - Bahrain Index by Sector </t>
  </si>
  <si>
    <t>(1989 - 1990 = 100)</t>
  </si>
  <si>
    <t>Point</t>
  </si>
  <si>
    <t>نقطة</t>
  </si>
  <si>
    <t>مؤشر</t>
  </si>
  <si>
    <t>البحرين العام</t>
  </si>
  <si>
    <t>Bahrain All</t>
  </si>
  <si>
    <t xml:space="preserve"> - 57 -</t>
  </si>
  <si>
    <r>
      <t xml:space="preserve">Table No. (58) </t>
    </r>
    <r>
      <rPr>
        <b/>
        <sz val="14"/>
        <color indexed="8"/>
        <rFont val="Arial (Arabic)"/>
        <family val="2"/>
        <charset val="178"/>
      </rPr>
      <t xml:space="preserve">جدول رقم </t>
    </r>
  </si>
  <si>
    <t>بورصة البحرين - قيمة تعاملات المستثمرين في السوق ونسب التملك في أسهم الشركات المساهمة العامة المسجلة</t>
  </si>
  <si>
    <t>Bahrain Bourse - Trading Value of Investors' Participation and Percentage of
 Shares Ownership in Listed Companies</t>
  </si>
  <si>
    <t>قيمة تعاملات المستثمرين ( ألف دينار )</t>
  </si>
  <si>
    <t>نسبة توزيع ملكية الأسهم</t>
  </si>
  <si>
    <t>مجموع عدد الأسهم</t>
  </si>
  <si>
    <t>Trading Value of Investors' Participation (BD Thousand) 1/</t>
  </si>
  <si>
    <t>% of Shares Ownership</t>
  </si>
  <si>
    <t>الصادرة والمدفوعة</t>
  </si>
  <si>
    <t>دول مجلس التعاون</t>
  </si>
  <si>
    <t>الدول الأخرى</t>
  </si>
  <si>
    <r>
      <t xml:space="preserve">( ألف </t>
    </r>
    <r>
      <rPr>
        <b/>
        <sz val="11"/>
        <color indexed="8"/>
        <rFont val="Arial (Arabic)"/>
        <family val="2"/>
        <charset val="178"/>
      </rPr>
      <t>Thousand )</t>
    </r>
  </si>
  <si>
    <t>Total Shares</t>
  </si>
  <si>
    <t>N//A</t>
  </si>
  <si>
    <t>1/  Presents buying and selling sides.</t>
  </si>
  <si>
    <t>1/  تمثل جانبي البيع والشراء.</t>
  </si>
  <si>
    <t>Note: figures may vary fom the published bulletins
due to the settlement dates.</t>
  </si>
  <si>
    <t>ملاحظة:  توجد فروقات بين تعاملات المستثمرين في هذا الجدول
 وبين مطبوعات السوق وذلك بسبب تواريخ التسوية.</t>
  </si>
  <si>
    <t>ملاحظة:  توجد فروقات بين تعاملات المستثمرين في هذا الجدول وبين مطبوعات السوق وذلك بسبب تواريخ التسوية.</t>
  </si>
  <si>
    <t xml:space="preserve"> - 58 -</t>
  </si>
  <si>
    <t xml:space="preserve">Table No. (59)  جدول رقم    </t>
  </si>
  <si>
    <t xml:space="preserve"> - 59 -</t>
  </si>
  <si>
    <t>صناديق الاستثمار- إجمالي الاستثمارات القائمة</t>
  </si>
  <si>
    <t xml:space="preserve"> Mutual Funds - Total Outstanding Investments</t>
  </si>
  <si>
    <t>U.S. Dollar Thousand</t>
  </si>
  <si>
    <t>ألف دولار أمريكي</t>
  </si>
  <si>
    <t>نوع المصرف</t>
  </si>
  <si>
    <t>Investors</t>
  </si>
  <si>
    <t>المستثمرون</t>
  </si>
  <si>
    <t>إجمالي المبالغ</t>
  </si>
  <si>
    <t>مؤسسات</t>
  </si>
  <si>
    <t>أفراد</t>
  </si>
  <si>
    <t>إجمالي المبالغ المستثمرة في صناديق الاستثمار</t>
  </si>
  <si>
    <t>Type of Bank</t>
  </si>
  <si>
    <t>Institutions</t>
  </si>
  <si>
    <t>Individuals</t>
  </si>
  <si>
    <t>Total Amount Invested in the Funds</t>
  </si>
  <si>
    <t xml:space="preserve">  Retail Banks</t>
  </si>
  <si>
    <t xml:space="preserve">  Wholesale Banks</t>
  </si>
  <si>
    <t xml:space="preserve">  Other Institutions</t>
  </si>
  <si>
    <t xml:space="preserve">  Grand Total</t>
  </si>
  <si>
    <t xml:space="preserve">  2024  Q1</t>
  </si>
  <si>
    <t xml:space="preserve">  2024  Q2</t>
  </si>
  <si>
    <t xml:space="preserve">  2024  Q3</t>
  </si>
  <si>
    <t xml:space="preserve">  2024  Q4</t>
  </si>
  <si>
    <t xml:space="preserve">  2025  Q1</t>
  </si>
  <si>
    <t xml:space="preserve">  2025  Q2</t>
  </si>
  <si>
    <t xml:space="preserve">  2025  Q3</t>
  </si>
  <si>
    <t xml:space="preserve">القيمة </t>
  </si>
  <si>
    <t>02.11.2025</t>
  </si>
  <si>
    <t>05.11.2025</t>
  </si>
  <si>
    <t>19.11.2025</t>
  </si>
  <si>
    <t>20.11.2025</t>
  </si>
  <si>
    <t>23.11.2025</t>
  </si>
  <si>
    <t>26.11.2025</t>
  </si>
  <si>
    <t>December</t>
  </si>
  <si>
    <t>03.12.2025</t>
  </si>
  <si>
    <t>17.12.2025</t>
  </si>
  <si>
    <t>18.12.2025</t>
  </si>
  <si>
    <t>21.12.2025</t>
  </si>
  <si>
    <t>24.12.2025</t>
  </si>
  <si>
    <t>31.12.2025</t>
  </si>
  <si>
    <t>*Gold</t>
  </si>
  <si>
    <t>*ذهب</t>
  </si>
  <si>
    <t>*تمت إعادة التقييم  وفقاً للقيمة السوقية إعتباراً من ديسمبر 2025.</t>
  </si>
  <si>
    <t>*Revalued as market cost starting from December 2025.</t>
  </si>
  <si>
    <t>January</t>
  </si>
  <si>
    <t xml:space="preserve">  2025  Q4</t>
  </si>
  <si>
    <t>February</t>
  </si>
  <si>
    <t>تقنية المعلومات​​</t>
  </si>
  <si>
    <t xml:space="preserve">Information </t>
  </si>
  <si>
    <t>Technology</t>
  </si>
  <si>
    <t>(4) الفئة</t>
  </si>
  <si>
    <t>Category (4)</t>
  </si>
  <si>
    <t>Total Assets (j) = (h+i)</t>
  </si>
  <si>
    <t>Total (h)</t>
  </si>
  <si>
    <t xml:space="preserve">Total (i) </t>
  </si>
  <si>
    <t>Total Assets  (Cat 1,2,3) (k) = (c+f+g+j)</t>
  </si>
  <si>
    <t xml:space="preserve">Islamic Instruments </t>
  </si>
  <si>
    <t>Development Bonds 1/</t>
  </si>
  <si>
    <t>Al Salam Islamic Securities 4/</t>
  </si>
  <si>
    <t xml:space="preserve"> Islamic Securities 3/</t>
  </si>
  <si>
    <t>1/  Development Bonds are issued in BD &amp; US Dollar.</t>
  </si>
  <si>
    <t>1/ سندات التنمية الحكومية  تصدر بالدينار البحريني وبالدولار الأمريكي.</t>
  </si>
  <si>
    <t>3/  Islamic securities, Short Term ( 6 &amp; 12months) &amp; Long term which are issued in BD &amp; US Dollar.</t>
  </si>
  <si>
    <t>3/ صكوك إسلامية قصيره الأجل تستحق بعد 182 يوم و 12 شهراً وطويلة الأجل تصدر بالدينار البحريني وبالدولار الأمريكي.</t>
  </si>
  <si>
    <t>4/  Al Salam Islamic securities have a maturity of 91 days.</t>
  </si>
  <si>
    <t>4/  صكوك السلم الإسلامية تستحق بعد 91  يوم.</t>
  </si>
  <si>
    <t>صكوك إسلامية</t>
  </si>
  <si>
    <t>March</t>
  </si>
  <si>
    <t>04.03.2026</t>
  </si>
  <si>
    <t>18.03.2026</t>
  </si>
  <si>
    <t>19.03.2026</t>
  </si>
  <si>
    <t>22.03.2026</t>
  </si>
  <si>
    <t>25.03.2026</t>
  </si>
  <si>
    <t>04.02.2026</t>
  </si>
  <si>
    <t>18.02.2026</t>
  </si>
  <si>
    <t>19.02.2026</t>
  </si>
  <si>
    <t>22.02.2026</t>
  </si>
  <si>
    <t>25.02.2026</t>
  </si>
  <si>
    <t>14.01.2026</t>
  </si>
  <si>
    <t>15.01.2026</t>
  </si>
  <si>
    <t>21.01.2026</t>
  </si>
  <si>
    <t>25.01.2026</t>
  </si>
  <si>
    <t>28.01.2026</t>
  </si>
  <si>
    <t>Q4 2025</t>
  </si>
  <si>
    <t>Q4 2024</t>
  </si>
  <si>
    <t xml:space="preserve">  2026  Q1</t>
  </si>
  <si>
    <t>April</t>
  </si>
  <si>
    <t>01.04.2026</t>
  </si>
  <si>
    <t>15.04.2026</t>
  </si>
  <si>
    <t>16.04.2026</t>
  </si>
  <si>
    <t>22.04.2026</t>
  </si>
  <si>
    <t>29.04.2026</t>
  </si>
  <si>
    <t>May.</t>
  </si>
  <si>
    <t>Classification of Restricted &amp; Unrestricted account for Islamic Banks (Consolidated) May 2026</t>
  </si>
  <si>
    <t>الحسابات المقيدة وغير المقيدة للمصارف الإسلامية (مجمعة) مايو 2026</t>
  </si>
  <si>
    <r>
      <t>Islamic Retail Banks - Rates of Profit on Personal and Business Loans by Banks -</t>
    </r>
    <r>
      <rPr>
        <b/>
        <sz val="14"/>
        <color indexed="8"/>
        <rFont val="Arial"/>
        <family val="2"/>
      </rPr>
      <t xml:space="preserve"> May 2026</t>
    </r>
    <r>
      <rPr>
        <b/>
        <sz val="14"/>
        <color indexed="8"/>
        <rFont val="Arial"/>
        <family val="2"/>
        <charset val="178"/>
      </rPr>
      <t xml:space="preserve"> - 1/</t>
    </r>
  </si>
  <si>
    <r>
      <t>مصارف قطاع التجزئة الإسلامية - معدلات الربح على القروض الشخصية وقروض قطاع الأعمال حسب المصارف -</t>
    </r>
    <r>
      <rPr>
        <b/>
        <sz val="14"/>
        <color indexed="8"/>
        <rFont val="Arial (Arabic)"/>
      </rPr>
      <t xml:space="preserve"> مايو 2026</t>
    </r>
    <r>
      <rPr>
        <b/>
        <sz val="14"/>
        <color indexed="8"/>
        <rFont val="Arial (Arabic)"/>
        <family val="2"/>
        <charset val="178"/>
      </rPr>
      <t xml:space="preserve"> - 1/</t>
    </r>
  </si>
  <si>
    <r>
      <t>مصارف قطاع التجزئة التقليدية - أسعار الفائدة على القروض الشخصية وقروض قطاع الأعمال حسب المصارف -</t>
    </r>
    <r>
      <rPr>
        <b/>
        <sz val="14"/>
        <color indexed="8"/>
        <rFont val="Arial (Arabic)"/>
      </rPr>
      <t xml:space="preserve"> مايو 2026</t>
    </r>
    <r>
      <rPr>
        <b/>
        <sz val="14"/>
        <color indexed="8"/>
        <rFont val="Arial (Arabic)"/>
        <family val="2"/>
        <charset val="178"/>
      </rPr>
      <t xml:space="preserve"> - 1/</t>
    </r>
  </si>
  <si>
    <r>
      <t>Conventional Retail Banks - Interest Rates on Personal and Business Loans by Banks -</t>
    </r>
    <r>
      <rPr>
        <b/>
        <sz val="14"/>
        <color indexed="8"/>
        <rFont val="Arial"/>
        <family val="2"/>
      </rPr>
      <t xml:space="preserve"> May 2026</t>
    </r>
    <r>
      <rPr>
        <b/>
        <sz val="14"/>
        <color indexed="8"/>
        <rFont val="Arial"/>
        <family val="2"/>
        <charset val="178"/>
      </rPr>
      <t xml:space="preserve"> - 1/</t>
    </r>
  </si>
  <si>
    <t>03.05.2026</t>
  </si>
  <si>
    <t>06.05.2026</t>
  </si>
  <si>
    <t>20.05.2026</t>
  </si>
  <si>
    <t>21.05.2026</t>
  </si>
  <si>
    <t>24.05.2026</t>
  </si>
  <si>
    <t>27.05.2026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</si>
</sst>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8">
    <numFmt numFmtId="44" formatCode="_(&quot;$&quot;* #,##0.00_);_(&quot;$&quot;* \(#,##0.00\);_(&quot;$&quot;* &quot;-&quot;??_);_(@_)"/>
    <numFmt numFmtId="43" formatCode="_(* #,##0.00_);_(* \(#,##0.00\);_(* &quot;-&quot;??_);_(@_)"/>
    <numFmt numFmtId="164" formatCode="0.0"/>
    <numFmt numFmtId="165" formatCode="#,##0.0"/>
    <numFmt numFmtId="166" formatCode="\ \ 0"/>
    <numFmt numFmtId="167" formatCode="#,##0.0\ \ \ \ \ ;\-#,##0.0\ \ \ \ \ ;\-\-\ \ \ \ "/>
    <numFmt numFmtId="168" formatCode="#,##0.0\ \ \ \ \ \ \ ;\-#,##0.0\ \ \ \ \ \ \ ;\-\-\ \ \ \ "/>
    <numFmt numFmtId="169" formatCode="#,##0.0\ \ \ \ \ \ \ \ ;\-#,##0.0\ \ \ \ \ \ \ \ ;\-\-\ \ \ \ "/>
    <numFmt numFmtId="170" formatCode="#,##0.0;\-#,##0.0;\-\-"/>
    <numFmt numFmtId="171" formatCode="#,##0.0\ \ \ \ ;\-#,##0.0\ \ \ \ ;\-\-\ \ \ \ "/>
    <numFmt numFmtId="172" formatCode="#,##0.0\ \ \ \ \ \ ;\-#,##0.0\ \ \ \ \ \ ;\-\-\ \ \ \ "/>
    <numFmt numFmtId="173" formatCode="\(0\)"/>
    <numFmt numFmtId="174" formatCode="0.0\ \ \ \ \ \ \ "/>
    <numFmt numFmtId="175" formatCode="#,##0.0\ \ \ \ \ \ \ \ \ \ ;\-#,##0.0\ \ \ \ \ \ \ \ \ \ ;\-\-\ \ \ \ \ "/>
    <numFmt numFmtId="176" formatCode="#,##0.0\ ;\-#,##0.0\ ;\-\-\ "/>
    <numFmt numFmtId="177" formatCode="#,##0.0\ \ ;\-#,##0.0\ \ ;\-\-\ \ "/>
    <numFmt numFmtId="178" formatCode="#,##0.0\ \ \ ;\-#,##0.0\ \ \ ;\-\-\ \ \ "/>
    <numFmt numFmtId="179" formatCode="#,##0.0\ \ \ \ ;\-#,##0.0\ \ \ \ ;\-\-\ \ \ "/>
    <numFmt numFmtId="180" formatCode="#,##0.0\ \ \ \ \ \ ;\-#,##0.0\ \ \ \ \ \ ;\-\-\ \ \ "/>
    <numFmt numFmtId="181" formatCode="#,##0.0\ \ \ \ \ \ \ \ ;\-#,##0.0\ \ \ \ \ \ \ \ ;\-\-\ \ \ \ \ "/>
    <numFmt numFmtId="182" formatCode="#,##0.0\ \ \ \ \ \ \ \ \ ;\-#,##0.0\ \ \ \ \ \ \ \ \ ;\-\-\ \ \ \ \ "/>
    <numFmt numFmtId="183" formatCode="#,##0.0\ \ \ \ \ ;\-#,##0.0\ \ \ \ \ ;\-\-\ \ \ \ \ "/>
    <numFmt numFmtId="184" formatCode="#,##0.0\ \ \ \ \ \ \ ;\-#,##0.0\ \ \ \ \ \ \ ;\-\-\ \ \ \ \ \ "/>
    <numFmt numFmtId="185" formatCode="#,##0.0\ \ \ \ \ \ ;\-#,##0.0\ \ \ \ \ \ ;\-\-\ \ \ \ \ "/>
    <numFmt numFmtId="186" formatCode="#,##0.0\ \ \ \ \ \ \ \ \ \ \ ;\-#,##0.0\ \ \ \ \ \ \ \ \ \ \ ;\-\-\ \ \ \ \ \ "/>
    <numFmt numFmtId="187" formatCode="#,##0.0\ \ \ \ \ \ \ ;\-#,##0.0\ \ \ \ \ \ \ ;\-\-\ \ \ \ \ "/>
    <numFmt numFmtId="188" formatCode="#,##0.0\ \ \ \ \ ;\-#,##0.0\ \ \ \ \ ;\-\-\ \ \ "/>
    <numFmt numFmtId="189" formatCode="#,##0.0\ \ \ ;\-#,##0.0\ \ \ ;\-\-\ \ "/>
    <numFmt numFmtId="190" formatCode="#,##0.0\ \ \ \ \ \ \ \ \ \ ;\-#,##0.0\ \ \ \ \ \ \ \ \ \ ;\-\-\ \ \ \ \ \ "/>
    <numFmt numFmtId="191" formatCode="#,##0.0\ \ \ \ \ \ ;\-#,##0.0\ \ \ \ \ \ ;\-\-\ \ "/>
    <numFmt numFmtId="192" formatCode="#,##0.0\ \ \ \ \ \ \ \ \ \ \ ;\-#,##0.0\ \ \ \ \ \ \ \ \ \ \ ;\-\-\ \ \ \ \ \ \ \ \ \ \ "/>
    <numFmt numFmtId="193" formatCode="#,##0.0\ \ \ \ \ \ \ \ \ \ \ \ \ ;\-#,##0.0\ \ \ \ \ \ \ \ \ \ \ \ \ ;\-\-\ \ \ \ \ \ \ "/>
    <numFmt numFmtId="194" formatCode="#,##0.0\ \ \ \ \ \ \ \ \ \ \ \ \ ;\-#,##0.0\ \ \ \ \ \ \ \ \ \ \ \ \ ;\-\-\ \ \ \ \ "/>
    <numFmt numFmtId="195" formatCode="#,##0.0\ \ \ \ \ \ ;\-#,##0.0\ \ \ \ ;\-\-\ \ \ \ \ \ "/>
    <numFmt numFmtId="196" formatCode="#,##0.0\ \ \ \ \ \ \ ;\-#,##0.0\ \ \ \ \ \ \ ;\-\-\ \ \ "/>
    <numFmt numFmtId="197" formatCode="#,##0.0\ \ \ \ \ \ \ \ \ \ ;\-#,##0.0\ \ \ \ \ \ \ \ \ \ ;\-\-\ \ \ \ \ \ \ \ \ \ "/>
    <numFmt numFmtId="198" formatCode="#,##0.0;#,##0.0;\-\-"/>
    <numFmt numFmtId="199" formatCode="#,##0.000"/>
    <numFmt numFmtId="200" formatCode="#,##0.0\ \ \ \ \ ;\-#,##0.0\ \ \ \ \ ;0.0\ \ \ \ \ "/>
    <numFmt numFmtId="201" formatCode="#,##0.0\ \ \ \ \ ;\-#,##0.0\ \ \ \ "/>
    <numFmt numFmtId="202" formatCode="#,##0.0\ \ \ \ ;\-#,##0.0\ \ \ \ ;\-\-\ \ \ \ \ "/>
    <numFmt numFmtId="203" formatCode="#,##0.0\ \ \ \ \ \ \ \ \ ;\-#,##0.0\ \ \ \ \ \ \ \ ;\-\-\ \ \ \ \ \ "/>
    <numFmt numFmtId="204" formatCode="#,##0.0\ \ \ \ \ \ \ ;\-#,##0.0\ \ \ \ \ \ \ ;\-\-\ "/>
    <numFmt numFmtId="205" formatCode="#,##0.0;\-#,##0.0\ ;\-\-"/>
    <numFmt numFmtId="206" formatCode="\ \ 0.0"/>
    <numFmt numFmtId="207" formatCode="#,##0.0\ \ \ \ \ \ ;\-#,##0.0\ \ \ \ \ "/>
    <numFmt numFmtId="208" formatCode="#,##0.0\ \ ;\-#,##0.0\ \ ;\-\-\ "/>
    <numFmt numFmtId="209" formatCode="\ 0"/>
    <numFmt numFmtId="210" formatCode="0.000"/>
    <numFmt numFmtId="211" formatCode="\ \ 0.00"/>
    <numFmt numFmtId="212" formatCode="#,##0.0\ "/>
    <numFmt numFmtId="213" formatCode="#,##0.0\ \ \ \ \ \ \ \ \ ;\-#,##0.0\ \ \ \ \ \ \ \ \ ;\-\-\ \ \ \ \ \ "/>
    <numFmt numFmtId="214" formatCode="#,##0.0\ \ \ \ \ \ \ \ \ \ ;\-#,##0.0\ \ \ \ \ \ \ \ \ \ ;\-\-\ \ \ \ \ \ \ \ "/>
    <numFmt numFmtId="215" formatCode="#,##0.0\ \ \ \ \ ;\-#,##0.0\ \ \ \ \ ;\-\-\ \ \ \ \ \ "/>
    <numFmt numFmtId="216" formatCode="#,##0.0\ \ ;\-#,##0.\ \ \ ;\-\-\ "/>
    <numFmt numFmtId="217" formatCode="_(* #,##0.0_);_(* \(#,##0.0\);_(* &quot;-&quot;??_);_(@_)"/>
    <numFmt numFmtId="218" formatCode="0.0000"/>
    <numFmt numFmtId="219" formatCode="#,##0.0\ \ \ "/>
    <numFmt numFmtId="220" formatCode="#,##0.0\ \ ;\-#,##0.0\ \ ;\-\-\ \ \ "/>
    <numFmt numFmtId="221" formatCode="#,##0.0\ \ \ \ ;\-#,##0.0\ \ \ \ ;\-\-\ \ "/>
    <numFmt numFmtId="222" formatCode="#,##0.0\ \ \ ;\-#,##0.0\ \ \ ;\-\-\ "/>
    <numFmt numFmtId="223" formatCode="#,##0.0\ \ \ \ \ \ \ ;\-#,##0.0\ \ \ \ \ \ \ ;0.0\ \ \ \ \ \ \ "/>
    <numFmt numFmtId="224" formatCode="_(* #,##0_);_(* \(#,##0\);_(* &quot;-&quot;??_);_(@_)"/>
    <numFmt numFmtId="225" formatCode="0.0%"/>
    <numFmt numFmtId="226" formatCode="#,##0.00;\-#,##0.00;\-\-"/>
    <numFmt numFmtId="227" formatCode="\ \ 0.0000"/>
    <numFmt numFmtId="228" formatCode="#,##0\ \ \ \ ;\-#,##0\ \ \ \ ;\-\-\ \ \ "/>
    <numFmt numFmtId="229" formatCode="#,##0.0\ \ \ \ \ ;\-#,##0.0\ \ \ \ \ \ \ "/>
  </numFmts>
  <fonts count="155">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0"/>
      <name val="Arabic Transparent"/>
      <charset val="178"/>
    </font>
    <font>
      <sz val="10"/>
      <name val="Arial"/>
      <family val="2"/>
    </font>
    <font>
      <sz val="12"/>
      <name val="Arial"/>
      <family val="2"/>
      <charset val="178"/>
    </font>
    <font>
      <b/>
      <sz val="14"/>
      <name val="Arial"/>
      <family val="2"/>
      <charset val="178"/>
    </font>
    <font>
      <sz val="10"/>
      <name val="Arial"/>
      <family val="2"/>
      <charset val="178"/>
    </font>
    <font>
      <b/>
      <sz val="10"/>
      <name val="Arial"/>
      <family val="2"/>
      <charset val="178"/>
    </font>
    <font>
      <sz val="10"/>
      <name val="Arial (Arabic)"/>
      <family val="2"/>
      <charset val="178"/>
    </font>
    <font>
      <b/>
      <sz val="14"/>
      <name val="Arial (Arabic)"/>
      <family val="2"/>
      <charset val="178"/>
    </font>
    <font>
      <b/>
      <sz val="12"/>
      <name val="Arial"/>
      <family val="2"/>
      <charset val="178"/>
    </font>
    <font>
      <sz val="10"/>
      <name val="MS Sans Serif"/>
      <family val="2"/>
    </font>
    <font>
      <b/>
      <sz val="12"/>
      <name val="Arial (Arabic)"/>
      <family val="2"/>
      <charset val="178"/>
    </font>
    <font>
      <sz val="12"/>
      <name val="Arial (Arabic)"/>
      <family val="2"/>
      <charset val="178"/>
    </font>
    <font>
      <sz val="12"/>
      <name val="Arial"/>
      <family val="2"/>
    </font>
    <font>
      <sz val="12"/>
      <name val="Arial CE"/>
      <family val="2"/>
      <charset val="178"/>
    </font>
    <font>
      <sz val="11"/>
      <name val="Arial"/>
      <family val="2"/>
      <charset val="178"/>
    </font>
    <font>
      <b/>
      <sz val="11"/>
      <name val="Arial (Arabic)"/>
      <family val="2"/>
      <charset val="178"/>
    </font>
    <font>
      <sz val="11"/>
      <name val="Arial (Arabic)"/>
      <family val="2"/>
      <charset val="178"/>
    </font>
    <font>
      <b/>
      <sz val="11"/>
      <name val="Arial"/>
      <family val="2"/>
      <charset val="178"/>
    </font>
    <font>
      <sz val="11"/>
      <name val="Arial"/>
      <family val="2"/>
    </font>
    <font>
      <sz val="14"/>
      <name val="Arial"/>
      <family val="2"/>
      <charset val="178"/>
    </font>
    <font>
      <b/>
      <sz val="13"/>
      <name val="Arial (Arabic)"/>
      <family val="2"/>
      <charset val="178"/>
    </font>
    <font>
      <b/>
      <sz val="12"/>
      <color indexed="8"/>
      <name val="Arial"/>
      <family val="2"/>
      <charset val="178"/>
    </font>
    <font>
      <b/>
      <sz val="12"/>
      <color indexed="8"/>
      <name val="Arial (Arabic)"/>
      <family val="2"/>
      <charset val="178"/>
    </font>
    <font>
      <sz val="10"/>
      <color indexed="10"/>
      <name val="Arial"/>
      <family val="2"/>
      <charset val="178"/>
    </font>
    <font>
      <sz val="12"/>
      <color indexed="8"/>
      <name val="Arial"/>
      <family val="2"/>
      <charset val="178"/>
    </font>
    <font>
      <sz val="8"/>
      <name val="Arial"/>
      <family val="2"/>
      <charset val="178"/>
    </font>
    <font>
      <sz val="11"/>
      <color indexed="8"/>
      <name val="Arial"/>
      <family val="2"/>
      <charset val="178"/>
    </font>
    <font>
      <sz val="9"/>
      <name val="Arial"/>
      <family val="2"/>
      <charset val="178"/>
    </font>
    <font>
      <sz val="9"/>
      <name val="Arial (Arabic)"/>
      <family val="2"/>
      <charset val="178"/>
    </font>
    <font>
      <sz val="10"/>
      <color indexed="8"/>
      <name val="Arial"/>
      <family val="2"/>
      <charset val="178"/>
    </font>
    <font>
      <b/>
      <sz val="11"/>
      <color indexed="8"/>
      <name val="Arial"/>
      <family val="2"/>
      <charset val="178"/>
    </font>
    <font>
      <b/>
      <sz val="10"/>
      <color indexed="8"/>
      <name val="Arial"/>
      <family val="2"/>
      <charset val="178"/>
    </font>
    <font>
      <b/>
      <sz val="12"/>
      <color indexed="10"/>
      <name val="Arial"/>
      <family val="2"/>
      <charset val="178"/>
    </font>
    <font>
      <sz val="13"/>
      <color indexed="17"/>
      <name val="Times New Roman"/>
      <family val="1"/>
      <charset val="178"/>
    </font>
    <font>
      <sz val="11"/>
      <color indexed="8"/>
      <name val="Arial"/>
      <family val="2"/>
    </font>
    <font>
      <b/>
      <sz val="11"/>
      <color indexed="8"/>
      <name val="Arial"/>
      <family val="2"/>
    </font>
    <font>
      <sz val="10"/>
      <color indexed="8"/>
      <name val="Arial"/>
      <family val="2"/>
    </font>
    <font>
      <sz val="12"/>
      <color indexed="8"/>
      <name val="Arial"/>
      <family val="2"/>
    </font>
    <font>
      <b/>
      <sz val="10"/>
      <color indexed="8"/>
      <name val="Arial"/>
      <family val="2"/>
    </font>
    <font>
      <sz val="12"/>
      <name val="Times New Roman"/>
      <family val="1"/>
    </font>
    <font>
      <sz val="12"/>
      <color indexed="8"/>
      <name val="Arial (Arabic)"/>
      <family val="2"/>
      <charset val="178"/>
    </font>
    <font>
      <sz val="10"/>
      <color indexed="8"/>
      <name val="Arial (Arabic)"/>
      <family val="2"/>
      <charset val="178"/>
    </font>
    <font>
      <sz val="10"/>
      <color indexed="8"/>
      <name val="Arial"/>
      <family val="2"/>
    </font>
    <font>
      <sz val="8"/>
      <color indexed="8"/>
      <name val="Arial"/>
      <family val="2"/>
      <charset val="178"/>
    </font>
    <font>
      <b/>
      <sz val="12"/>
      <name val="Arial"/>
      <family val="2"/>
    </font>
    <font>
      <sz val="9"/>
      <name val="Arial"/>
      <family val="2"/>
    </font>
    <font>
      <b/>
      <sz val="11"/>
      <name val="Arial"/>
      <family val="2"/>
    </font>
    <font>
      <sz val="8"/>
      <name val="Arial"/>
      <family val="2"/>
    </font>
    <font>
      <sz val="12"/>
      <name val="Arial"/>
      <family val="2"/>
    </font>
    <font>
      <sz val="11"/>
      <color indexed="8"/>
      <name val="Arial (Arabic)"/>
      <family val="2"/>
      <charset val="178"/>
    </font>
    <font>
      <sz val="12"/>
      <name val="Times New Roman"/>
      <family val="1"/>
      <charset val="178"/>
    </font>
    <font>
      <b/>
      <sz val="13"/>
      <color indexed="10"/>
      <name val="Arial"/>
      <family val="2"/>
      <charset val="178"/>
    </font>
    <font>
      <b/>
      <sz val="11"/>
      <color indexed="8"/>
      <name val="Arial (Arabic)"/>
      <family val="2"/>
      <charset val="178"/>
    </font>
    <font>
      <b/>
      <u/>
      <sz val="12"/>
      <name val="Arial"/>
      <family val="2"/>
      <charset val="178"/>
    </font>
    <font>
      <b/>
      <sz val="8"/>
      <name val="Arial (Arabic)"/>
      <family val="2"/>
      <charset val="178"/>
    </font>
    <font>
      <sz val="1"/>
      <color indexed="9"/>
      <name val="Arial"/>
      <family val="2"/>
      <charset val="178"/>
    </font>
    <font>
      <sz val="9.5"/>
      <name val="Arial"/>
      <family val="2"/>
      <charset val="178"/>
    </font>
    <font>
      <sz val="10"/>
      <name val="Times New Roman"/>
      <family val="1"/>
      <charset val="178"/>
    </font>
    <font>
      <b/>
      <sz val="13"/>
      <name val="Arial"/>
      <family val="2"/>
    </font>
    <font>
      <b/>
      <sz val="14"/>
      <color indexed="8"/>
      <name val="Arial (Arabic)"/>
      <family val="2"/>
      <charset val="178"/>
    </font>
    <font>
      <b/>
      <sz val="13"/>
      <color indexed="8"/>
      <name val="Arial (Arabic)"/>
      <family val="2"/>
      <charset val="178"/>
    </font>
    <font>
      <b/>
      <sz val="11"/>
      <color indexed="8"/>
      <name val="Simple Bold Jut Out"/>
      <charset val="178"/>
    </font>
    <font>
      <b/>
      <sz val="11"/>
      <color indexed="8"/>
      <name val="Mudir MT"/>
      <charset val="178"/>
    </font>
    <font>
      <sz val="10"/>
      <color indexed="10"/>
      <name val="Arial"/>
      <family val="2"/>
    </font>
    <font>
      <b/>
      <sz val="14"/>
      <color indexed="10"/>
      <name val="Arial (Arabic)"/>
      <family val="2"/>
      <charset val="178"/>
    </font>
    <font>
      <b/>
      <sz val="10"/>
      <color indexed="10"/>
      <name val="Arial"/>
      <family val="2"/>
      <charset val="178"/>
    </font>
    <font>
      <b/>
      <sz val="14"/>
      <name val="Arial"/>
      <family val="2"/>
    </font>
    <font>
      <b/>
      <sz val="14"/>
      <color indexed="10"/>
      <name val="Arial"/>
      <family val="2"/>
      <charset val="178"/>
    </font>
    <font>
      <sz val="11.5"/>
      <name val="Arial"/>
      <family val="2"/>
      <charset val="178"/>
    </font>
    <font>
      <b/>
      <sz val="14"/>
      <color indexed="8"/>
      <name val="Arial"/>
      <family val="2"/>
    </font>
    <font>
      <b/>
      <sz val="14"/>
      <color indexed="8"/>
      <name val="Arial"/>
      <family val="2"/>
      <charset val="178"/>
    </font>
    <font>
      <b/>
      <sz val="14"/>
      <color indexed="8"/>
      <name val="Arial (Arabic)"/>
    </font>
    <font>
      <sz val="11"/>
      <color rgb="FF000000"/>
      <name val="Calibri"/>
      <family val="2"/>
      <scheme val="minor"/>
    </font>
    <font>
      <b/>
      <sz val="11"/>
      <color theme="1"/>
      <name val="Arial"/>
      <family val="2"/>
      <charset val="178"/>
    </font>
    <font>
      <sz val="11"/>
      <color theme="1"/>
      <name val="Arial"/>
      <family val="2"/>
      <charset val="178"/>
    </font>
    <font>
      <sz val="11"/>
      <color theme="1"/>
      <name val="Arial"/>
      <family val="2"/>
    </font>
    <font>
      <b/>
      <sz val="12"/>
      <color theme="1"/>
      <name val="Arial"/>
      <family val="2"/>
    </font>
    <font>
      <sz val="12"/>
      <color theme="1"/>
      <name val="Arial"/>
      <family val="2"/>
    </font>
    <font>
      <sz val="12"/>
      <color rgb="FFFF0000"/>
      <name val="Arial"/>
      <family val="2"/>
    </font>
    <font>
      <sz val="11"/>
      <color rgb="FFFF0000"/>
      <name val="Arial"/>
      <family val="2"/>
    </font>
    <font>
      <b/>
      <sz val="11"/>
      <color theme="1"/>
      <name val="Arial"/>
      <family val="2"/>
    </font>
    <font>
      <sz val="10"/>
      <color theme="1"/>
      <name val="Arial"/>
      <family val="2"/>
    </font>
    <font>
      <b/>
      <sz val="10"/>
      <color theme="1"/>
      <name val="Arial"/>
      <family val="2"/>
    </font>
    <font>
      <b/>
      <sz val="16"/>
      <color theme="1"/>
      <name val="Arial"/>
      <family val="2"/>
    </font>
    <font>
      <b/>
      <sz val="14"/>
      <color theme="1"/>
      <name val="Arial"/>
      <family val="2"/>
    </font>
    <font>
      <sz val="1"/>
      <color theme="1"/>
      <name val="Arial"/>
      <family val="2"/>
    </font>
    <font>
      <sz val="10"/>
      <color rgb="FFFF0000"/>
      <name val="Arial"/>
      <family val="2"/>
    </font>
    <font>
      <sz val="10"/>
      <color theme="1"/>
      <name val="Arial"/>
      <family val="2"/>
      <charset val="178"/>
    </font>
    <font>
      <sz val="10.5"/>
      <color theme="1"/>
      <name val="Arial"/>
      <family val="2"/>
      <charset val="178"/>
    </font>
    <font>
      <b/>
      <sz val="14"/>
      <color theme="1"/>
      <name val="Arial"/>
      <family val="2"/>
      <charset val="178"/>
    </font>
    <font>
      <sz val="14"/>
      <color theme="1"/>
      <name val="Arial"/>
      <family val="2"/>
    </font>
    <font>
      <b/>
      <sz val="14"/>
      <color theme="1"/>
      <name val="Arial (Arabic)"/>
      <family val="2"/>
      <charset val="178"/>
    </font>
    <font>
      <sz val="14"/>
      <color theme="1"/>
      <name val="Arial"/>
      <family val="2"/>
      <charset val="178"/>
    </font>
    <font>
      <sz val="14"/>
      <color theme="1"/>
      <name val="Arial (Arabic)"/>
      <family val="2"/>
      <charset val="178"/>
    </font>
    <font>
      <b/>
      <u/>
      <sz val="14"/>
      <color theme="1"/>
      <name val="Arial"/>
      <family val="2"/>
      <charset val="178"/>
    </font>
    <font>
      <sz val="10.5"/>
      <color theme="1"/>
      <name val="Arial"/>
      <family val="2"/>
    </font>
    <font>
      <b/>
      <u/>
      <sz val="10.5"/>
      <color theme="1"/>
      <name val="Arial"/>
      <family val="2"/>
      <charset val="178"/>
    </font>
    <font>
      <b/>
      <u/>
      <sz val="14"/>
      <color theme="1"/>
      <name val="Arial (Arabic)"/>
      <family val="2"/>
      <charset val="178"/>
    </font>
    <font>
      <b/>
      <u/>
      <sz val="12"/>
      <color theme="1"/>
      <name val="Arial"/>
      <family val="2"/>
      <charset val="178"/>
    </font>
    <font>
      <b/>
      <u/>
      <sz val="12"/>
      <color theme="1"/>
      <name val="Arial (Arabic)"/>
      <family val="2"/>
      <charset val="178"/>
    </font>
    <font>
      <sz val="10.5"/>
      <color theme="1"/>
      <name val="Arial (Arabic)"/>
      <family val="2"/>
      <charset val="178"/>
    </font>
    <font>
      <sz val="12"/>
      <color theme="1"/>
      <name val="Arial"/>
      <family val="2"/>
      <charset val="178"/>
    </font>
    <font>
      <b/>
      <sz val="15"/>
      <color theme="1"/>
      <name val="Arial"/>
      <family val="2"/>
      <charset val="178"/>
    </font>
    <font>
      <b/>
      <sz val="12"/>
      <color theme="1"/>
      <name val="Arial"/>
      <family val="2"/>
      <charset val="178"/>
    </font>
    <font>
      <b/>
      <sz val="12"/>
      <color theme="1"/>
      <name val="Arial (Arabic)"/>
      <family val="2"/>
      <charset val="178"/>
    </font>
    <font>
      <b/>
      <sz val="13"/>
      <color theme="1"/>
      <name val="Arial"/>
      <family val="2"/>
      <charset val="178"/>
    </font>
    <font>
      <b/>
      <sz val="10"/>
      <color theme="1"/>
      <name val="Arial"/>
      <family val="2"/>
      <charset val="178"/>
    </font>
    <font>
      <sz val="12"/>
      <color theme="1"/>
      <name val="Times New Roman"/>
      <family val="1"/>
      <charset val="178"/>
    </font>
    <font>
      <b/>
      <sz val="13"/>
      <color theme="1"/>
      <name val="Arial (Arabic)"/>
      <family val="2"/>
      <charset val="178"/>
    </font>
    <font>
      <sz val="11"/>
      <color theme="1"/>
      <name val="Arial (Arabic)"/>
      <family val="2"/>
      <charset val="178"/>
    </font>
    <font>
      <sz val="10"/>
      <color theme="1"/>
      <name val="Arabic Transparent"/>
      <charset val="178"/>
    </font>
    <font>
      <sz val="12"/>
      <color theme="1"/>
      <name val="Arial (Arabic)"/>
      <family val="2"/>
      <charset val="178"/>
    </font>
    <font>
      <sz val="11"/>
      <color rgb="FFFF0000"/>
      <name val="Arial"/>
      <family val="2"/>
      <charset val="178"/>
    </font>
    <font>
      <sz val="10"/>
      <color theme="1"/>
      <name val="Arial (Arabic)"/>
      <family val="2"/>
      <charset val="178"/>
    </font>
    <font>
      <b/>
      <sz val="11"/>
      <color theme="1"/>
      <name val="Arial (Arabic)"/>
      <family val="2"/>
      <charset val="178"/>
    </font>
    <font>
      <sz val="13"/>
      <color theme="1"/>
      <name val="Arial"/>
      <family val="2"/>
      <charset val="178"/>
    </font>
    <font>
      <b/>
      <sz val="15"/>
      <color theme="1"/>
      <name val="Arial (Arabic)"/>
      <family val="2"/>
      <charset val="178"/>
    </font>
    <font>
      <sz val="12"/>
      <color rgb="FFFF0000"/>
      <name val="Arial"/>
      <family val="2"/>
      <charset val="178"/>
    </font>
    <font>
      <sz val="10"/>
      <color rgb="FFFF0000"/>
      <name val="Arial"/>
      <family val="2"/>
      <charset val="178"/>
    </font>
    <font>
      <b/>
      <sz val="12.5"/>
      <name val="Arial"/>
      <family val="2"/>
    </font>
    <font>
      <b/>
      <sz val="12.5"/>
      <color theme="1"/>
      <name val="Arial"/>
      <family val="2"/>
    </font>
    <font>
      <sz val="12.5"/>
      <name val="Arial"/>
      <family val="2"/>
    </font>
    <font>
      <b/>
      <sz val="12"/>
      <color indexed="8"/>
      <name val="Arial"/>
      <family val="2"/>
    </font>
    <font>
      <sz val="12"/>
      <color theme="1"/>
      <name val="Times New Roman"/>
      <family val="1"/>
    </font>
    <font>
      <b/>
      <sz val="12"/>
      <color theme="1"/>
      <name val="Times New Roman"/>
      <family val="1"/>
    </font>
    <font>
      <sz val="10"/>
      <color theme="1"/>
      <name val="Times New Roman"/>
      <family val="1"/>
    </font>
    <font>
      <vertAlign val="superscript"/>
      <sz val="10"/>
      <color theme="1"/>
      <name val="Arial"/>
      <family val="2"/>
    </font>
    <font>
      <b/>
      <sz val="10"/>
      <color rgb="FF000000"/>
      <name val="Arial"/>
      <family val="2"/>
      <charset val="178"/>
    </font>
    <font>
      <sz val="10"/>
      <color rgb="FF000000"/>
      <name val="Arial"/>
      <family val="2"/>
      <charset val="178"/>
    </font>
    <font>
      <b/>
      <sz val="10"/>
      <name val="Arial"/>
      <family val="2"/>
    </font>
    <font>
      <sz val="12"/>
      <color rgb="FFFF0000"/>
      <name val="Times New Roman"/>
      <family val="1"/>
    </font>
    <font>
      <sz val="13"/>
      <color theme="1"/>
      <name val="Arial"/>
      <family val="2"/>
    </font>
    <font>
      <b/>
      <sz val="13"/>
      <color theme="1"/>
      <name val="Arial"/>
      <family val="2"/>
    </font>
    <font>
      <sz val="12"/>
      <color theme="1"/>
      <name val="Calibri"/>
      <family val="2"/>
      <scheme val="minor"/>
    </font>
    <font>
      <b/>
      <sz val="11.8"/>
      <color theme="1"/>
      <name val="Arial"/>
      <family val="2"/>
    </font>
    <font>
      <sz val="11.8"/>
      <name val="Arial"/>
      <family val="2"/>
    </font>
    <font>
      <sz val="11.8"/>
      <color theme="1"/>
      <name val="Arial"/>
      <family val="2"/>
    </font>
    <font>
      <b/>
      <sz val="11.5"/>
      <color theme="1"/>
      <name val="Arial"/>
      <family val="2"/>
    </font>
    <font>
      <i/>
      <sz val="10"/>
      <color theme="1"/>
      <name val="Arial"/>
      <family val="2"/>
    </font>
    <font>
      <i/>
      <vertAlign val="superscript"/>
      <sz val="10"/>
      <color theme="1"/>
      <name val="Arial"/>
      <family val="2"/>
    </font>
    <font>
      <i/>
      <sz val="10"/>
      <color rgb="FF000000"/>
      <name val="Arial (Arabic)"/>
    </font>
    <font>
      <b/>
      <sz val="9.5"/>
      <name val="Arial"/>
      <family val="2"/>
    </font>
    <font>
      <b/>
      <sz val="10"/>
      <name val="Arial (Arabic)"/>
    </font>
    <font>
      <sz val="10"/>
      <name val="Arial (Arabic)"/>
    </font>
    <font>
      <b/>
      <sz val="12"/>
      <color rgb="FF000000"/>
      <name val="Arial"/>
      <family val="2"/>
    </font>
    <font>
      <b/>
      <sz val="11"/>
      <color rgb="FF000000"/>
      <name val="Arial"/>
      <family val="2"/>
    </font>
    <font>
      <sz val="11"/>
      <color rgb="FF000000"/>
      <name val="Arial"/>
      <family val="2"/>
    </font>
    <font>
      <b/>
      <sz val="14"/>
      <color rgb="FF000000"/>
      <name val="Arial (Arabic)"/>
    </font>
    <font>
      <sz val="10"/>
      <name val="Arial"/>
      <family val="2"/>
    </font>
    <font>
      <b/>
      <sz val="14"/>
      <color theme="1"/>
      <name val="Arial (Arabic)"/>
      <family val="2"/>
    </font>
    <font>
      <b/>
      <sz val="12"/>
      <color rgb="FFFF0000"/>
      <name val="Arial"/>
      <family val="2"/>
    </font>
  </fonts>
  <fills count="10">
    <fill>
      <patternFill patternType="none"/>
    </fill>
    <fill>
      <patternFill patternType="gray125"/>
    </fill>
    <fill>
      <patternFill patternType="darkTrellis">
        <fgColor indexed="36"/>
        <bgColor indexed="73"/>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s>
  <borders count="47">
    <border>
      <left/>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medium">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5">
    <xf numFmtId="166" fontId="0" fillId="2" borderId="0" quotePrefix="1" applyFill="0" applyAlignment="0">
      <alignment horizontal="fill" vertical="justify" textRotation="180" wrapText="1"/>
      <protection locked="0" hidden="1"/>
    </xf>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0" fontId="4" fillId="0" borderId="0" applyNumberFormat="0">
      <alignment horizontal="right"/>
    </xf>
    <xf numFmtId="0" fontId="13" fillId="0" borderId="0" applyNumberFormat="0">
      <alignment horizontal="left"/>
    </xf>
    <xf numFmtId="0" fontId="76" fillId="0" borderId="0"/>
    <xf numFmtId="0" fontId="5" fillId="0" borderId="0"/>
    <xf numFmtId="0" fontId="76" fillId="0" borderId="0"/>
    <xf numFmtId="0" fontId="76" fillId="0" borderId="0"/>
    <xf numFmtId="0" fontId="76" fillId="0" borderId="0"/>
    <xf numFmtId="0" fontId="5" fillId="0" borderId="0"/>
    <xf numFmtId="0" fontId="5" fillId="0" borderId="0"/>
    <xf numFmtId="0" fontId="5" fillId="0" borderId="0"/>
    <xf numFmtId="0" fontId="5" fillId="0" borderId="0"/>
    <xf numFmtId="166" fontId="5" fillId="2" borderId="0" quotePrefix="1" applyFill="0" applyAlignment="0">
      <alignment horizontal="fill" vertical="justify" textRotation="180" wrapText="1"/>
      <protection locked="0" hidden="1"/>
    </xf>
    <xf numFmtId="0" fontId="13" fillId="0" borderId="0"/>
    <xf numFmtId="0" fontId="13" fillId="0" borderId="0"/>
    <xf numFmtId="0" fontId="13" fillId="0" borderId="0"/>
    <xf numFmtId="0" fontId="13" fillId="0" borderId="0"/>
    <xf numFmtId="9" fontId="5" fillId="0" borderId="0" applyFont="0" applyFill="0" applyBorder="0" applyAlignment="0" applyProtection="0"/>
    <xf numFmtId="9" fontId="5" fillId="0" borderId="0" applyFont="0" applyFill="0" applyBorder="0" applyAlignment="0" applyProtection="0"/>
    <xf numFmtId="0" fontId="8" fillId="0" borderId="0" applyNumberFormat="0">
      <alignment horizontal="right"/>
    </xf>
    <xf numFmtId="166" fontId="5" fillId="2" borderId="0" quotePrefix="1" applyFill="0" applyAlignment="0">
      <alignment horizontal="fill" vertical="justify" textRotation="180" wrapText="1"/>
      <protection locked="0" hidden="1"/>
    </xf>
    <xf numFmtId="0" fontId="3" fillId="0" borderId="0"/>
    <xf numFmtId="0" fontId="137"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152" fillId="0" borderId="0" applyFont="0" applyFill="0" applyBorder="0" applyAlignment="0" applyProtection="0"/>
  </cellStyleXfs>
  <cellXfs count="2781">
    <xf numFmtId="0" fontId="0" fillId="0" borderId="0" xfId="0" applyNumberFormat="1" applyFill="1" applyAlignment="1" applyProtection="1"/>
    <xf numFmtId="0" fontId="0" fillId="0" borderId="0" xfId="0" applyNumberFormat="1" applyFill="1" applyAlignment="1" applyProtection="1">
      <alignment horizontal="centerContinuous"/>
    </xf>
    <xf numFmtId="0" fontId="8" fillId="0" borderId="0" xfId="0" applyNumberFormat="1" applyFont="1" applyFill="1" applyAlignment="1" applyProtection="1">
      <alignment horizontal="centerContinuous" wrapText="1"/>
    </xf>
    <xf numFmtId="0" fontId="8" fillId="0" borderId="0" xfId="0" applyNumberFormat="1" applyFont="1" applyFill="1" applyAlignment="1" applyProtection="1">
      <alignment wrapText="1"/>
    </xf>
    <xf numFmtId="0" fontId="5" fillId="0" borderId="0" xfId="0" applyNumberFormat="1" applyFont="1" applyFill="1" applyAlignment="1" applyProtection="1">
      <alignment horizontal="centerContinuous"/>
    </xf>
    <xf numFmtId="0" fontId="5" fillId="0" borderId="0" xfId="0" applyNumberFormat="1" applyFont="1" applyFill="1" applyAlignment="1" applyProtection="1">
      <alignment horizontal="centerContinuous" wrapText="1"/>
    </xf>
    <xf numFmtId="0" fontId="8" fillId="0" borderId="0" xfId="0" applyNumberFormat="1" applyFont="1" applyFill="1" applyAlignment="1" applyProtection="1"/>
    <xf numFmtId="0" fontId="8" fillId="0" borderId="0" xfId="0" applyNumberFormat="1" applyFont="1" applyFill="1" applyAlignment="1" applyProtection="1">
      <alignment horizontal="right" wrapText="1"/>
    </xf>
    <xf numFmtId="0" fontId="8" fillId="0" borderId="0" xfId="0" applyNumberFormat="1" applyFont="1" applyFill="1" applyAlignment="1" applyProtection="1">
      <alignment horizontal="centerContinuous"/>
    </xf>
    <xf numFmtId="0" fontId="6" fillId="0" borderId="0" xfId="0" applyNumberFormat="1" applyFont="1" applyFill="1" applyAlignment="1" applyProtection="1"/>
    <xf numFmtId="22" fontId="8" fillId="0" borderId="0" xfId="0" applyNumberFormat="1" applyFont="1" applyFill="1" applyAlignment="1">
      <alignment horizontal="centerContinuous"/>
      <protection locked="0" hidden="1"/>
    </xf>
    <xf numFmtId="0" fontId="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wrapText="1"/>
    </xf>
    <xf numFmtId="0" fontId="16" fillId="0" borderId="0" xfId="0" applyNumberFormat="1" applyFont="1" applyFill="1" applyAlignment="1" applyProtection="1"/>
    <xf numFmtId="0" fontId="16" fillId="0" borderId="0" xfId="0" applyNumberFormat="1" applyFont="1" applyFill="1" applyAlignment="1" applyProtection="1">
      <alignment wrapText="1"/>
    </xf>
    <xf numFmtId="0" fontId="17" fillId="0" borderId="0" xfId="0" applyNumberFormat="1" applyFont="1" applyFill="1" applyAlignment="1" applyProtection="1"/>
    <xf numFmtId="0" fontId="7" fillId="0" borderId="0" xfId="0" applyNumberFormat="1" applyFont="1" applyFill="1" applyAlignment="1" applyProtection="1">
      <alignment horizontal="centerContinuous"/>
    </xf>
    <xf numFmtId="166" fontId="0" fillId="0" borderId="0" xfId="0" applyFill="1" applyAlignment="1">
      <protection locked="0" hidden="1"/>
    </xf>
    <xf numFmtId="166" fontId="8" fillId="0" borderId="0" xfId="0" applyFont="1" applyFill="1" applyAlignment="1">
      <alignment horizontal="left"/>
      <protection locked="0" hidden="1"/>
    </xf>
    <xf numFmtId="0" fontId="6" fillId="0" borderId="0" xfId="0" applyNumberFormat="1" applyFont="1" applyFill="1" applyAlignment="1" applyProtection="1">
      <alignment horizontal="left" vertical="top"/>
    </xf>
    <xf numFmtId="0" fontId="6" fillId="0" borderId="0" xfId="0" applyNumberFormat="1" applyFont="1" applyFill="1" applyAlignment="1" applyProtection="1">
      <alignment horizontal="centerContinuous" vertical="top" wrapText="1"/>
    </xf>
    <xf numFmtId="0" fontId="10" fillId="0" borderId="0" xfId="0" applyNumberFormat="1" applyFont="1" applyFill="1" applyAlignment="1" applyProtection="1"/>
    <xf numFmtId="0" fontId="15" fillId="0" borderId="0" xfId="0" applyNumberFormat="1" applyFont="1" applyFill="1" applyAlignment="1" applyProtection="1"/>
    <xf numFmtId="0" fontId="14" fillId="0" borderId="0" xfId="0" applyNumberFormat="1" applyFont="1" applyFill="1" applyAlignment="1" applyProtection="1">
      <alignment horizontal="centerContinuous"/>
    </xf>
    <xf numFmtId="0" fontId="5" fillId="0" borderId="0" xfId="0" applyNumberFormat="1" applyFont="1" applyFill="1" applyAlignment="1" applyProtection="1">
      <alignment wrapText="1"/>
    </xf>
    <xf numFmtId="0" fontId="14" fillId="0" borderId="1" xfId="0" applyNumberFormat="1" applyFont="1" applyFill="1" applyBorder="1" applyAlignment="1" applyProtection="1">
      <alignment horizontal="centerContinuous"/>
    </xf>
    <xf numFmtId="0" fontId="5" fillId="0" borderId="0" xfId="0" applyNumberFormat="1" applyFont="1" applyFill="1" applyAlignment="1" applyProtection="1"/>
    <xf numFmtId="0" fontId="6" fillId="0" borderId="0" xfId="0" applyNumberFormat="1" applyFont="1" applyFill="1" applyAlignment="1" applyProtection="1">
      <alignment wrapText="1"/>
    </xf>
    <xf numFmtId="0" fontId="14" fillId="0" borderId="2" xfId="0" applyNumberFormat="1" applyFont="1" applyFill="1" applyBorder="1" applyAlignment="1" applyProtection="1">
      <alignment horizontal="centerContinuous" vertical="center"/>
    </xf>
    <xf numFmtId="0" fontId="14" fillId="0" borderId="1" xfId="0" applyNumberFormat="1" applyFont="1" applyFill="1" applyBorder="1" applyAlignment="1" applyProtection="1">
      <alignment horizontal="centerContinuous" vertical="center"/>
    </xf>
    <xf numFmtId="0" fontId="16" fillId="0" borderId="3" xfId="0" applyNumberFormat="1" applyFont="1" applyFill="1" applyBorder="1" applyAlignment="1" applyProtection="1">
      <alignment horizontal="centerContinuous" wrapText="1"/>
    </xf>
    <xf numFmtId="0" fontId="14" fillId="0" borderId="2" xfId="0" applyNumberFormat="1" applyFont="1" applyFill="1" applyBorder="1" applyAlignment="1" applyProtection="1">
      <alignment horizontal="centerContinuous" wrapText="1"/>
    </xf>
    <xf numFmtId="0" fontId="14" fillId="0" borderId="1" xfId="0" applyNumberFormat="1" applyFont="1" applyFill="1" applyBorder="1" applyAlignment="1" applyProtection="1">
      <alignment horizontal="centerContinuous" wrapText="1"/>
    </xf>
    <xf numFmtId="0" fontId="12" fillId="0" borderId="4"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wrapText="1"/>
    </xf>
    <xf numFmtId="0" fontId="12" fillId="0" borderId="0" xfId="0" applyNumberFormat="1" applyFont="1" applyFill="1" applyAlignment="1" applyProtection="1">
      <alignment wrapText="1"/>
    </xf>
    <xf numFmtId="0" fontId="16" fillId="0" borderId="3" xfId="0" applyNumberFormat="1" applyFont="1" applyFill="1" applyBorder="1" applyAlignment="1" applyProtection="1">
      <alignment horizontal="left"/>
    </xf>
    <xf numFmtId="0" fontId="15" fillId="0" borderId="3" xfId="0" applyNumberFormat="1" applyFont="1" applyFill="1" applyBorder="1" applyAlignment="1" applyProtection="1"/>
    <xf numFmtId="0" fontId="6" fillId="0" borderId="3" xfId="0" applyNumberFormat="1" applyFont="1" applyFill="1" applyBorder="1" applyAlignment="1" applyProtection="1">
      <alignment horizontal="left" vertical="top"/>
    </xf>
    <xf numFmtId="0" fontId="18" fillId="0" borderId="0" xfId="0" applyNumberFormat="1" applyFont="1" applyFill="1" applyAlignment="1" applyProtection="1"/>
    <xf numFmtId="0" fontId="12" fillId="0" borderId="0" xfId="0" applyNumberFormat="1" applyFont="1" applyFill="1" applyAlignment="1" applyProtection="1"/>
    <xf numFmtId="0" fontId="12" fillId="0" borderId="5" xfId="0" applyNumberFormat="1" applyFont="1" applyFill="1" applyBorder="1" applyAlignment="1" applyProtection="1">
      <alignment horizontal="centerContinuous" vertical="center"/>
    </xf>
    <xf numFmtId="0" fontId="12" fillId="0" borderId="0" xfId="0" applyNumberFormat="1" applyFont="1" applyFill="1" applyAlignment="1" applyProtection="1">
      <alignment vertical="center"/>
    </xf>
    <xf numFmtId="0" fontId="12" fillId="0" borderId="1" xfId="0" applyNumberFormat="1" applyFont="1" applyFill="1" applyBorder="1" applyAlignment="1" applyProtection="1">
      <alignment vertical="center"/>
    </xf>
    <xf numFmtId="0" fontId="12" fillId="0" borderId="6" xfId="0" applyNumberFormat="1" applyFont="1" applyFill="1" applyBorder="1" applyAlignment="1" applyProtection="1">
      <alignment vertical="center"/>
    </xf>
    <xf numFmtId="0" fontId="12" fillId="0" borderId="2" xfId="0" applyNumberFormat="1" applyFont="1" applyFill="1" applyBorder="1" applyAlignment="1" applyProtection="1">
      <alignment vertical="center"/>
    </xf>
    <xf numFmtId="0" fontId="12" fillId="0" borderId="7" xfId="0" applyNumberFormat="1" applyFont="1" applyFill="1" applyBorder="1" applyAlignment="1" applyProtection="1">
      <alignment vertical="center"/>
    </xf>
    <xf numFmtId="0" fontId="12" fillId="0" borderId="6" xfId="0" applyNumberFormat="1" applyFont="1" applyFill="1" applyBorder="1" applyAlignment="1" applyProtection="1">
      <alignment horizontal="centerContinuous" vertical="center"/>
    </xf>
    <xf numFmtId="0" fontId="12" fillId="0" borderId="4" xfId="0" applyNumberFormat="1" applyFont="1" applyFill="1" applyBorder="1" applyAlignment="1" applyProtection="1"/>
    <xf numFmtId="0" fontId="12" fillId="0" borderId="3" xfId="0" applyNumberFormat="1" applyFont="1" applyFill="1" applyBorder="1" applyAlignment="1" applyProtection="1">
      <alignment horizontal="center" vertical="top"/>
    </xf>
    <xf numFmtId="0" fontId="12" fillId="0" borderId="8" xfId="0" applyNumberFormat="1" applyFont="1" applyFill="1" applyBorder="1" applyAlignment="1" applyProtection="1">
      <alignment horizontal="center"/>
    </xf>
    <xf numFmtId="0" fontId="12" fillId="0" borderId="0" xfId="0" applyNumberFormat="1" applyFont="1" applyFill="1" applyAlignment="1" applyProtection="1">
      <alignment vertical="top"/>
    </xf>
    <xf numFmtId="0" fontId="12" fillId="0" borderId="9" xfId="0" applyNumberFormat="1" applyFont="1" applyFill="1" applyBorder="1" applyAlignment="1" applyProtection="1">
      <alignment horizontal="center" wrapText="1"/>
    </xf>
    <xf numFmtId="0" fontId="12" fillId="0" borderId="10" xfId="0" applyNumberFormat="1" applyFont="1" applyFill="1" applyBorder="1" applyAlignment="1" applyProtection="1">
      <alignment horizontal="center" wrapText="1"/>
    </xf>
    <xf numFmtId="0" fontId="12" fillId="0" borderId="2" xfId="0" applyNumberFormat="1" applyFont="1" applyFill="1" applyBorder="1" applyAlignment="1" applyProtection="1">
      <alignment wrapText="1"/>
    </xf>
    <xf numFmtId="0" fontId="12" fillId="0" borderId="9" xfId="0" applyNumberFormat="1" applyFont="1" applyFill="1" applyBorder="1" applyAlignment="1" applyProtection="1">
      <alignment horizontal="centerContinuous" wrapText="1"/>
    </xf>
    <xf numFmtId="0" fontId="12" fillId="0" borderId="0" xfId="0" applyNumberFormat="1" applyFont="1" applyFill="1" applyAlignment="1" applyProtection="1">
      <alignment horizontal="centerContinuous" wrapText="1"/>
    </xf>
    <xf numFmtId="0" fontId="12" fillId="0" borderId="1" xfId="0" applyNumberFormat="1" applyFont="1" applyFill="1" applyBorder="1" applyAlignment="1" applyProtection="1">
      <alignment wrapText="1"/>
    </xf>
    <xf numFmtId="0" fontId="12" fillId="0" borderId="4"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wrapText="1"/>
    </xf>
    <xf numFmtId="0" fontId="19"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wrapText="1"/>
    </xf>
    <xf numFmtId="0" fontId="12" fillId="0" borderId="11" xfId="0" applyNumberFormat="1" applyFont="1" applyFill="1" applyBorder="1" applyAlignment="1" applyProtection="1">
      <alignment horizontal="center"/>
    </xf>
    <xf numFmtId="0"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wrapText="1"/>
    </xf>
    <xf numFmtId="0" fontId="12" fillId="0" borderId="3" xfId="0" applyNumberFormat="1" applyFont="1" applyFill="1" applyBorder="1" applyAlignment="1" applyProtection="1">
      <alignment horizontal="centerContinuous"/>
    </xf>
    <xf numFmtId="0" fontId="12" fillId="0" borderId="4"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 wrapText="1"/>
    </xf>
    <xf numFmtId="0" fontId="9" fillId="0" borderId="9" xfId="0" applyNumberFormat="1" applyFont="1" applyFill="1" applyBorder="1" applyAlignment="1" applyProtection="1"/>
    <xf numFmtId="0" fontId="12" fillId="0" borderId="9" xfId="0" applyNumberFormat="1" applyFont="1" applyFill="1" applyBorder="1" applyAlignment="1" applyProtection="1"/>
    <xf numFmtId="0" fontId="14" fillId="0" borderId="6"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Continuous"/>
    </xf>
    <xf numFmtId="0" fontId="12" fillId="0" borderId="11" xfId="0" applyNumberFormat="1" applyFont="1" applyFill="1" applyBorder="1" applyAlignment="1" applyProtection="1"/>
    <xf numFmtId="0" fontId="14" fillId="0" borderId="11" xfId="0" applyNumberFormat="1" applyFont="1" applyFill="1" applyBorder="1" applyAlignment="1" applyProtection="1"/>
    <xf numFmtId="0" fontId="9" fillId="0" borderId="11" xfId="0" applyNumberFormat="1" applyFont="1" applyFill="1" applyBorder="1" applyAlignment="1" applyProtection="1"/>
    <xf numFmtId="0" fontId="14" fillId="0" borderId="0" xfId="0" applyNumberFormat="1" applyFont="1" applyFill="1" applyAlignment="1" applyProtection="1">
      <alignment horizontal="center"/>
    </xf>
    <xf numFmtId="0" fontId="14"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horizontal="centerContinuous" vertical="center"/>
    </xf>
    <xf numFmtId="0" fontId="12" fillId="0" borderId="1" xfId="0" applyNumberFormat="1" applyFont="1" applyFill="1" applyBorder="1" applyAlignment="1" applyProtection="1">
      <alignment horizontal="centerContinuous" vertical="top"/>
    </xf>
    <xf numFmtId="0" fontId="12" fillId="0" borderId="9"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 vertical="top"/>
    </xf>
    <xf numFmtId="16" fontId="12" fillId="0" borderId="11" xfId="0" applyNumberFormat="1" applyFont="1" applyFill="1" applyBorder="1" applyAlignment="1" applyProtection="1">
      <alignment horizontal="center" vertical="top"/>
    </xf>
    <xf numFmtId="16"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vertical="top"/>
    </xf>
    <xf numFmtId="0" fontId="12" fillId="0" borderId="10" xfId="0" applyNumberFormat="1" applyFont="1" applyFill="1" applyBorder="1" applyAlignment="1" applyProtection="1">
      <alignment horizontal="centerContinuous" vertical="top"/>
    </xf>
    <xf numFmtId="0"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vertical="top"/>
    </xf>
    <xf numFmtId="16" fontId="12" fillId="0" borderId="10" xfId="0" applyNumberFormat="1" applyFont="1" applyFill="1" applyBorder="1" applyAlignment="1" applyProtection="1">
      <alignment horizontal="center" vertical="top"/>
    </xf>
    <xf numFmtId="16"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xf>
    <xf numFmtId="0" fontId="14" fillId="0" borderId="12" xfId="0" applyNumberFormat="1" applyFont="1" applyFill="1" applyBorder="1" applyAlignment="1" applyProtection="1">
      <alignment horizontal="center"/>
    </xf>
    <xf numFmtId="0" fontId="14"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
    </xf>
    <xf numFmtId="0" fontId="12" fillId="0" borderId="1"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xf>
    <xf numFmtId="0" fontId="14"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horizontal="centerContinuous" vertical="center"/>
    </xf>
    <xf numFmtId="0" fontId="14" fillId="0" borderId="11" xfId="0" applyNumberFormat="1" applyFont="1" applyFill="1" applyBorder="1" applyAlignment="1" applyProtection="1">
      <alignment vertical="center"/>
    </xf>
    <xf numFmtId="0" fontId="12" fillId="0" borderId="3" xfId="0" applyNumberFormat="1" applyFont="1" applyFill="1" applyBorder="1" applyAlignment="1" applyProtection="1">
      <alignment horizontal="centerContinuous" vertical="center"/>
    </xf>
    <xf numFmtId="0" fontId="12" fillId="0" borderId="10"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vertical="center"/>
    </xf>
    <xf numFmtId="0" fontId="14" fillId="0" borderId="0" xfId="0" applyNumberFormat="1" applyFont="1" applyFill="1" applyAlignment="1" applyProtection="1">
      <alignment horizontal="center" vertical="center"/>
    </xf>
    <xf numFmtId="0" fontId="14" fillId="0" borderId="11"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4" fillId="0" borderId="0" xfId="0" applyNumberFormat="1" applyFont="1" applyFill="1" applyAlignment="1" applyProtection="1">
      <alignment horizontal="center" vertical="top"/>
    </xf>
    <xf numFmtId="0" fontId="12" fillId="0" borderId="0" xfId="0" applyNumberFormat="1" applyFont="1" applyFill="1" applyAlignment="1" applyProtection="1">
      <alignment horizontal="center" vertical="top"/>
    </xf>
    <xf numFmtId="0" fontId="12" fillId="0" borderId="9" xfId="0" applyNumberFormat="1" applyFont="1" applyFill="1" applyBorder="1" applyAlignment="1" applyProtection="1">
      <alignment horizontal="center" vertical="top"/>
    </xf>
    <xf numFmtId="0" fontId="12" fillId="0" borderId="4" xfId="0" applyNumberFormat="1" applyFont="1" applyFill="1" applyBorder="1" applyAlignment="1" applyProtection="1">
      <alignment vertical="top"/>
    </xf>
    <xf numFmtId="0" fontId="12" fillId="0" borderId="10" xfId="0" applyNumberFormat="1" applyFont="1" applyFill="1" applyBorder="1" applyAlignment="1" applyProtection="1">
      <alignment vertical="top"/>
    </xf>
    <xf numFmtId="0" fontId="12" fillId="0" borderId="6" xfId="0" applyNumberFormat="1" applyFont="1" applyFill="1" applyBorder="1" applyAlignment="1" applyProtection="1">
      <alignment horizontal="centerContinuous"/>
    </xf>
    <xf numFmtId="0" fontId="9" fillId="0" borderId="0" xfId="0" applyNumberFormat="1" applyFont="1" applyFill="1" applyAlignment="1" applyProtection="1">
      <alignment horizontal="centerContinuous"/>
    </xf>
    <xf numFmtId="0" fontId="9"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xf numFmtId="0" fontId="12" fillId="0" borderId="10" xfId="0" applyNumberFormat="1" applyFont="1" applyFill="1" applyBorder="1" applyAlignment="1" applyProtection="1"/>
    <xf numFmtId="0" fontId="12" fillId="0" borderId="1" xfId="0" applyNumberFormat="1" applyFont="1" applyFill="1" applyBorder="1" applyAlignment="1" applyProtection="1">
      <alignment horizontal="centerContinuous" vertical="top" wrapText="1"/>
    </xf>
    <xf numFmtId="0" fontId="12" fillId="0" borderId="3"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Continuous" vertical="center"/>
    </xf>
    <xf numFmtId="0" fontId="12" fillId="0" borderId="5" xfId="0" applyNumberFormat="1" applyFont="1" applyFill="1" applyBorder="1" applyAlignment="1" applyProtection="1">
      <alignment vertical="center"/>
    </xf>
    <xf numFmtId="0" fontId="14" fillId="0" borderId="6"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Continuous" vertical="top"/>
    </xf>
    <xf numFmtId="0" fontId="12" fillId="0" borderId="1" xfId="0" applyNumberFormat="1" applyFont="1" applyFill="1" applyBorder="1" applyAlignment="1" applyProtection="1">
      <alignment horizontal="center" vertical="top"/>
    </xf>
    <xf numFmtId="0" fontId="12" fillId="0" borderId="7" xfId="0" applyNumberFormat="1" applyFont="1" applyFill="1" applyBorder="1" applyAlignment="1" applyProtection="1"/>
    <xf numFmtId="0" fontId="14" fillId="0" borderId="13"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wrapText="1"/>
    </xf>
    <xf numFmtId="0" fontId="12" fillId="0" borderId="8" xfId="0" applyNumberFormat="1" applyFont="1" applyFill="1" applyBorder="1" applyAlignment="1" applyProtection="1"/>
    <xf numFmtId="0" fontId="9" fillId="0" borderId="10" xfId="0" applyNumberFormat="1" applyFont="1" applyFill="1" applyBorder="1" applyAlignment="1" applyProtection="1"/>
    <xf numFmtId="0" fontId="9" fillId="0" borderId="14" xfId="0" applyNumberFormat="1" applyFont="1" applyFill="1" applyBorder="1" applyAlignment="1" applyProtection="1"/>
    <xf numFmtId="0" fontId="12" fillId="0" borderId="5" xfId="0" applyNumberFormat="1" applyFont="1" applyFill="1" applyBorder="1" applyAlignment="1" applyProtection="1"/>
    <xf numFmtId="0" fontId="9" fillId="0" borderId="7" xfId="0" applyNumberFormat="1" applyFont="1" applyFill="1" applyBorder="1" applyAlignment="1" applyProtection="1"/>
    <xf numFmtId="0" fontId="9" fillId="0" borderId="5" xfId="0" applyNumberFormat="1" applyFont="1" applyFill="1" applyBorder="1" applyAlignment="1" applyProtection="1">
      <alignment horizontal="centerContinuous"/>
    </xf>
    <xf numFmtId="0" fontId="14" fillId="0" borderId="7" xfId="0" applyNumberFormat="1" applyFont="1" applyFill="1" applyBorder="1" applyAlignment="1" applyProtection="1">
      <alignment horizontal="centerContinuous" vertical="center"/>
    </xf>
    <xf numFmtId="0" fontId="9" fillId="0" borderId="6" xfId="0" applyNumberFormat="1" applyFont="1" applyFill="1" applyBorder="1" applyAlignment="1" applyProtection="1">
      <alignment horizontal="centerContinuous" vertical="center"/>
    </xf>
    <xf numFmtId="0" fontId="26" fillId="0" borderId="7" xfId="0" applyNumberFormat="1" applyFont="1" applyFill="1" applyBorder="1" applyAlignment="1" applyProtection="1">
      <alignment horizontal="centerContinuous"/>
    </xf>
    <xf numFmtId="0" fontId="12" fillId="0" borderId="8"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9" fillId="0" borderId="0" xfId="0" applyNumberFormat="1" applyFont="1" applyFill="1" applyAlignment="1" applyProtection="1"/>
    <xf numFmtId="0" fontId="14" fillId="0" borderId="7" xfId="0" applyNumberFormat="1" applyFont="1" applyFill="1" applyBorder="1" applyAlignment="1" applyProtection="1">
      <alignment horizontal="centerContinuous" wrapText="1"/>
    </xf>
    <xf numFmtId="0" fontId="12" fillId="0" borderId="1" xfId="0" applyNumberFormat="1" applyFont="1" applyFill="1" applyBorder="1" applyAlignment="1" applyProtection="1">
      <alignment horizontal="center" vertical="top" wrapText="1"/>
    </xf>
    <xf numFmtId="164" fontId="0" fillId="0" borderId="0" xfId="0" applyNumberFormat="1" applyFill="1" applyAlignment="1" applyProtection="1"/>
    <xf numFmtId="164" fontId="12" fillId="0" borderId="0" xfId="0" applyNumberFormat="1" applyFont="1" applyFill="1" applyAlignment="1" applyProtection="1">
      <alignment vertical="center"/>
    </xf>
    <xf numFmtId="164" fontId="12" fillId="0" borderId="0" xfId="0" applyNumberFormat="1" applyFont="1" applyFill="1" applyAlignment="1" applyProtection="1"/>
    <xf numFmtId="164" fontId="8" fillId="0" borderId="0" xfId="0" applyNumberFormat="1" applyFont="1" applyFill="1" applyAlignment="1" applyProtection="1">
      <alignment wrapText="1"/>
    </xf>
    <xf numFmtId="22" fontId="29" fillId="0" borderId="0" xfId="0" applyNumberFormat="1" applyFont="1" applyFill="1" applyAlignment="1" applyProtection="1">
      <alignment horizontal="centerContinuous"/>
    </xf>
    <xf numFmtId="0" fontId="29" fillId="0" borderId="0" xfId="0" applyNumberFormat="1" applyFont="1" applyFill="1" applyAlignment="1" applyProtection="1"/>
    <xf numFmtId="166" fontId="6" fillId="0" borderId="0" xfId="0" applyFont="1" applyFill="1" applyAlignment="1">
      <protection locked="0" hidden="1"/>
    </xf>
    <xf numFmtId="166" fontId="8" fillId="0" borderId="0" xfId="0" applyFont="1" applyFill="1" applyAlignment="1">
      <protection locked="0" hidden="1"/>
    </xf>
    <xf numFmtId="170" fontId="5" fillId="0" borderId="0" xfId="0" applyNumberFormat="1" applyFont="1" applyFill="1" applyAlignment="1" applyProtection="1">
      <alignment horizontal="centerContinuous"/>
    </xf>
    <xf numFmtId="170" fontId="15" fillId="0" borderId="0" xfId="0" applyNumberFormat="1" applyFont="1" applyFill="1" applyAlignment="1" applyProtection="1"/>
    <xf numFmtId="170" fontId="14" fillId="0" borderId="9" xfId="0" applyNumberFormat="1" applyFont="1" applyFill="1" applyBorder="1" applyAlignment="1" applyProtection="1">
      <alignment horizontal="center"/>
    </xf>
    <xf numFmtId="170" fontId="12" fillId="0" borderId="9" xfId="0" applyNumberFormat="1" applyFont="1" applyFill="1" applyBorder="1" applyAlignment="1" applyProtection="1">
      <alignment horizontal="center"/>
    </xf>
    <xf numFmtId="170" fontId="12" fillId="0" borderId="11" xfId="0" applyNumberFormat="1" applyFont="1" applyFill="1" applyBorder="1" applyAlignment="1" applyProtection="1">
      <alignment horizontal="center" vertical="top"/>
    </xf>
    <xf numFmtId="170" fontId="12" fillId="0" borderId="10" xfId="0" applyNumberFormat="1" applyFont="1" applyFill="1" applyBorder="1" applyAlignment="1" applyProtection="1">
      <alignment horizontal="center" vertical="top"/>
    </xf>
    <xf numFmtId="170" fontId="5" fillId="0" borderId="0" xfId="0" applyNumberFormat="1" applyFont="1" applyFill="1" applyAlignment="1" applyProtection="1"/>
    <xf numFmtId="170" fontId="29" fillId="0" borderId="0" xfId="0" applyNumberFormat="1" applyFont="1" applyFill="1" applyAlignment="1" applyProtection="1">
      <alignment horizontal="right"/>
    </xf>
    <xf numFmtId="170" fontId="0" fillId="0" borderId="0" xfId="0" applyNumberFormat="1" applyFill="1" applyAlignment="1" applyProtection="1">
      <alignment horizontal="centerContinuous"/>
    </xf>
    <xf numFmtId="0" fontId="14" fillId="0" borderId="1" xfId="0" applyNumberFormat="1" applyFont="1" applyFill="1" applyBorder="1" applyAlignment="1" applyProtection="1">
      <alignment vertical="center"/>
    </xf>
    <xf numFmtId="166" fontId="12" fillId="0" borderId="7" xfId="0" applyFont="1" applyFill="1" applyBorder="1" applyAlignment="1">
      <alignment vertical="center"/>
      <protection locked="0" hidden="1"/>
    </xf>
    <xf numFmtId="166" fontId="12" fillId="0" borderId="5" xfId="0" applyFont="1" applyFill="1" applyBorder="1" applyAlignment="1">
      <alignment vertical="center"/>
      <protection locked="0" hidden="1"/>
    </xf>
    <xf numFmtId="166" fontId="12" fillId="0" borderId="0" xfId="0" applyFont="1" applyFill="1" applyAlignment="1">
      <alignment vertical="center"/>
      <protection locked="0" hidden="1"/>
    </xf>
    <xf numFmtId="166" fontId="14" fillId="0" borderId="11" xfId="0" applyFont="1" applyFill="1" applyBorder="1" applyAlignment="1">
      <alignment horizontal="center"/>
      <protection locked="0" hidden="1"/>
    </xf>
    <xf numFmtId="166" fontId="14" fillId="0" borderId="1" xfId="0" applyFont="1" applyFill="1" applyBorder="1" applyAlignment="1">
      <alignment horizontal="centerContinuous" wrapText="1"/>
      <protection locked="0" hidden="1"/>
    </xf>
    <xf numFmtId="166" fontId="12" fillId="0" borderId="0" xfId="0" applyFont="1" applyFill="1" applyAlignment="1">
      <protection locked="0" hidden="1"/>
    </xf>
    <xf numFmtId="166" fontId="12" fillId="0" borderId="0" xfId="0" applyFont="1" applyFill="1" applyAlignment="1">
      <alignment horizontal="centerContinuous"/>
      <protection locked="0" hidden="1"/>
    </xf>
    <xf numFmtId="166" fontId="12" fillId="0" borderId="11" xfId="0" applyFont="1" applyFill="1" applyBorder="1" applyAlignment="1">
      <alignment horizontal="center" wrapText="1"/>
      <protection locked="0" hidden="1"/>
    </xf>
    <xf numFmtId="166" fontId="12" fillId="0" borderId="0" xfId="0" applyFont="1" applyFill="1" applyAlignment="1">
      <alignment horizontal="centerContinuous" vertical="center"/>
      <protection locked="0" hidden="1"/>
    </xf>
    <xf numFmtId="166" fontId="12" fillId="0" borderId="11" xfId="0" applyFont="1" applyFill="1" applyBorder="1" applyAlignment="1">
      <alignment horizontal="center" vertical="center" wrapText="1"/>
      <protection locked="0" hidden="1"/>
    </xf>
    <xf numFmtId="166" fontId="12" fillId="0" borderId="9" xfId="0" applyFont="1" applyFill="1" applyBorder="1" applyAlignment="1">
      <alignment horizontal="center" vertical="center" wrapText="1"/>
      <protection locked="0" hidden="1"/>
    </xf>
    <xf numFmtId="166" fontId="12" fillId="0" borderId="3" xfId="0" applyFont="1" applyFill="1" applyBorder="1" applyAlignment="1">
      <alignment horizontal="centerContinuous"/>
      <protection locked="0" hidden="1"/>
    </xf>
    <xf numFmtId="166" fontId="12" fillId="0" borderId="2" xfId="0" applyFont="1" applyFill="1" applyBorder="1" applyAlignment="1">
      <alignment vertical="center" wrapText="1"/>
      <protection locked="0" hidden="1"/>
    </xf>
    <xf numFmtId="0" fontId="6" fillId="0" borderId="3" xfId="0" applyNumberFormat="1" applyFont="1" applyFill="1" applyBorder="1" applyAlignment="1" applyProtection="1"/>
    <xf numFmtId="0" fontId="12" fillId="0" borderId="15" xfId="0" applyNumberFormat="1" applyFont="1" applyFill="1" applyBorder="1" applyAlignment="1" applyProtection="1">
      <alignment horizontal="center" vertical="top"/>
    </xf>
    <xf numFmtId="166" fontId="12" fillId="0" borderId="5" xfId="0" applyFont="1" applyFill="1" applyBorder="1" applyAlignment="1">
      <alignment horizontal="centerContinuous" vertical="center"/>
      <protection locked="0" hidden="1"/>
    </xf>
    <xf numFmtId="166" fontId="12" fillId="0" borderId="1" xfId="0" applyFont="1" applyFill="1" applyBorder="1" applyAlignment="1">
      <alignment horizontal="center" wrapText="1"/>
      <protection locked="0" hidden="1"/>
    </xf>
    <xf numFmtId="166" fontId="12" fillId="0" borderId="0" xfId="0" applyFont="1" applyFill="1" applyAlignment="1">
      <alignment horizontal="center"/>
      <protection locked="0" hidden="1"/>
    </xf>
    <xf numFmtId="166" fontId="14" fillId="0" borderId="11" xfId="0" applyFont="1" applyFill="1" applyBorder="1" applyAlignment="1">
      <alignment horizontal="center" wrapText="1"/>
      <protection locked="0" hidden="1"/>
    </xf>
    <xf numFmtId="166" fontId="12" fillId="0" borderId="1" xfId="0" applyFont="1" applyFill="1" applyBorder="1" applyAlignment="1">
      <alignment horizontal="centerContinuous" vertical="top" wrapText="1"/>
      <protection locked="0" hidden="1"/>
    </xf>
    <xf numFmtId="166" fontId="12" fillId="0" borderId="4" xfId="0" applyFont="1" applyFill="1" applyBorder="1" applyAlignment="1">
      <alignment horizontal="centerContinuous" vertical="top" wrapText="1"/>
      <protection locked="0" hidden="1"/>
    </xf>
    <xf numFmtId="166" fontId="16" fillId="0" borderId="0" xfId="0" applyFont="1" applyFill="1" applyAlignment="1">
      <protection locked="0" hidden="1"/>
    </xf>
    <xf numFmtId="166" fontId="12" fillId="0" borderId="5" xfId="0" applyFont="1" applyFill="1" applyBorder="1" applyAlignment="1">
      <alignment vertical="center" wrapText="1"/>
      <protection locked="0" hidden="1"/>
    </xf>
    <xf numFmtId="166" fontId="14" fillId="0" borderId="1" xfId="0" applyFont="1" applyFill="1" applyBorder="1" applyAlignment="1">
      <alignment horizontal="center"/>
      <protection locked="0" hidden="1"/>
    </xf>
    <xf numFmtId="0" fontId="14" fillId="0" borderId="16"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Continuous" vertical="center"/>
    </xf>
    <xf numFmtId="0" fontId="14" fillId="0" borderId="0" xfId="0" applyNumberFormat="1" applyFont="1" applyFill="1" applyAlignment="1" applyProtection="1">
      <alignment vertical="center"/>
    </xf>
    <xf numFmtId="0" fontId="14" fillId="0" borderId="11" xfId="0" applyNumberFormat="1" applyFont="1" applyFill="1" applyBorder="1" applyAlignment="1" applyProtection="1">
      <alignment horizontal="centerContinuous"/>
    </xf>
    <xf numFmtId="0" fontId="14" fillId="0" borderId="11" xfId="0" applyNumberFormat="1" applyFont="1" applyFill="1" applyBorder="1" applyAlignment="1" applyProtection="1">
      <alignment horizontal="center" wrapText="1"/>
    </xf>
    <xf numFmtId="0" fontId="14"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alignment horizontal="centerContinuous" wrapText="1"/>
    </xf>
    <xf numFmtId="0" fontId="12" fillId="0" borderId="17" xfId="0" applyNumberFormat="1" applyFont="1" applyFill="1" applyBorder="1" applyAlignment="1" applyProtection="1">
      <alignment horizontal="center" wrapText="1"/>
    </xf>
    <xf numFmtId="166" fontId="12" fillId="0" borderId="1" xfId="0" applyFont="1" applyFill="1" applyBorder="1" applyAlignment="1">
      <alignment horizontal="center"/>
      <protection locked="0" hidden="1"/>
    </xf>
    <xf numFmtId="166" fontId="12" fillId="0" borderId="4" xfId="0" applyFont="1" applyFill="1" applyBorder="1" applyAlignment="1">
      <alignment horizontal="center" vertical="center"/>
      <protection locked="0" hidden="1"/>
    </xf>
    <xf numFmtId="166" fontId="14" fillId="0" borderId="15" xfId="0" applyFont="1" applyFill="1" applyBorder="1" applyAlignment="1">
      <alignment horizontal="center"/>
      <protection locked="0" hidden="1"/>
    </xf>
    <xf numFmtId="166" fontId="12" fillId="0" borderId="15" xfId="0" applyFont="1" applyFill="1" applyBorder="1" applyAlignment="1">
      <alignment horizontal="center"/>
      <protection locked="0" hidden="1"/>
    </xf>
    <xf numFmtId="166" fontId="12" fillId="0" borderId="15" xfId="0" applyFont="1" applyFill="1" applyBorder="1" applyAlignment="1">
      <alignment horizontal="center" vertical="center"/>
      <protection locked="0" hidden="1"/>
    </xf>
    <xf numFmtId="166" fontId="12" fillId="0" borderId="18" xfId="0" applyFont="1" applyFill="1" applyBorder="1" applyAlignment="1">
      <alignment horizontal="center" vertical="center"/>
      <protection locked="0" hidden="1"/>
    </xf>
    <xf numFmtId="0" fontId="18" fillId="0" borderId="0" xfId="0" applyNumberFormat="1" applyFont="1" applyFill="1" applyAlignment="1" applyProtection="1">
      <alignment horizontal="center"/>
    </xf>
    <xf numFmtId="166" fontId="12" fillId="0" borderId="8" xfId="0" applyFont="1" applyFill="1" applyBorder="1" applyAlignment="1">
      <alignment horizontal="center" vertical="center"/>
      <protection locked="0" hidden="1"/>
    </xf>
    <xf numFmtId="166" fontId="12" fillId="0" borderId="3" xfId="0" applyFont="1" applyFill="1" applyBorder="1" applyAlignment="1">
      <alignment horizontal="center" vertical="center"/>
      <protection locked="0" hidden="1"/>
    </xf>
    <xf numFmtId="166" fontId="25" fillId="0" borderId="10" xfId="0" applyFont="1" applyFill="1" applyBorder="1" applyAlignment="1">
      <alignment horizontal="center" vertical="top"/>
      <protection locked="0" hidden="1"/>
    </xf>
    <xf numFmtId="0" fontId="19" fillId="0" borderId="3"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wrapText="1"/>
    </xf>
    <xf numFmtId="0" fontId="19" fillId="0" borderId="0" xfId="0" applyNumberFormat="1" applyFont="1" applyFill="1" applyAlignment="1" applyProtection="1">
      <alignment horizontal="center" vertical="top"/>
    </xf>
    <xf numFmtId="0" fontId="12" fillId="0" borderId="3" xfId="0" applyNumberFormat="1" applyFont="1" applyFill="1" applyBorder="1" applyAlignment="1" applyProtection="1">
      <alignment horizontal="centerContinuous" vertical="top" wrapText="1"/>
    </xf>
    <xf numFmtId="0" fontId="19" fillId="0" borderId="11" xfId="0" applyNumberFormat="1" applyFont="1" applyFill="1" applyBorder="1" applyAlignment="1" applyProtection="1">
      <alignment horizontal="center" vertical="top"/>
    </xf>
    <xf numFmtId="0" fontId="19" fillId="0" borderId="9" xfId="0" applyNumberFormat="1" applyFont="1" applyFill="1" applyBorder="1" applyAlignment="1" applyProtection="1">
      <alignment horizontal="center" vertical="top"/>
    </xf>
    <xf numFmtId="0" fontId="6" fillId="0" borderId="1" xfId="0" applyNumberFormat="1" applyFont="1" applyFill="1" applyBorder="1" applyAlignment="1" applyProtection="1"/>
    <xf numFmtId="0" fontId="12" fillId="0" borderId="4" xfId="0" applyNumberFormat="1" applyFont="1" applyFill="1" applyBorder="1" applyAlignment="1" applyProtection="1">
      <alignment horizontal="center" vertical="top"/>
    </xf>
    <xf numFmtId="0" fontId="14" fillId="0" borderId="3" xfId="0" applyNumberFormat="1" applyFont="1" applyFill="1" applyBorder="1" applyAlignment="1" applyProtection="1">
      <alignment horizontal="centerContinuous" vertical="top"/>
    </xf>
    <xf numFmtId="0" fontId="12" fillId="0" borderId="3" xfId="0" applyNumberFormat="1" applyFont="1" applyFill="1" applyBorder="1" applyAlignment="1" applyProtection="1">
      <alignment horizontal="center" vertical="center"/>
    </xf>
    <xf numFmtId="0" fontId="6" fillId="0" borderId="15" xfId="0" applyNumberFormat="1" applyFont="1" applyFill="1" applyBorder="1" applyAlignment="1" applyProtection="1"/>
    <xf numFmtId="0" fontId="12" fillId="0" borderId="15" xfId="0" applyNumberFormat="1" applyFont="1" applyFill="1" applyBorder="1" applyAlignment="1" applyProtection="1">
      <alignment wrapText="1"/>
    </xf>
    <xf numFmtId="0" fontId="12" fillId="0" borderId="18" xfId="0" applyNumberFormat="1" applyFont="1" applyFill="1" applyBorder="1" applyAlignment="1" applyProtection="1">
      <alignment horizontal="center" vertical="top"/>
    </xf>
    <xf numFmtId="0" fontId="0" fillId="0" borderId="9" xfId="0" applyNumberFormat="1" applyFill="1" applyBorder="1" applyAlignment="1" applyProtection="1"/>
    <xf numFmtId="0" fontId="12" fillId="0" borderId="5" xfId="0" applyNumberFormat="1" applyFont="1" applyFill="1" applyBorder="1" applyAlignment="1" applyProtection="1">
      <alignment horizontal="right" vertical="center"/>
    </xf>
    <xf numFmtId="170" fontId="12" fillId="0" borderId="6" xfId="0" applyNumberFormat="1" applyFont="1" applyFill="1" applyBorder="1" applyAlignment="1" applyProtection="1">
      <alignment horizontal="center" vertical="center"/>
    </xf>
    <xf numFmtId="179" fontId="30" fillId="0" borderId="11" xfId="0" applyNumberFormat="1" applyFont="1" applyFill="1" applyBorder="1" applyAlignment="1">
      <protection locked="0" hidden="1"/>
    </xf>
    <xf numFmtId="177" fontId="30" fillId="0" borderId="11" xfId="0" applyNumberFormat="1" applyFont="1" applyFill="1" applyBorder="1" applyAlignment="1">
      <protection locked="0" hidden="1"/>
    </xf>
    <xf numFmtId="0" fontId="0" fillId="0" borderId="7" xfId="0" applyNumberFormat="1" applyFill="1" applyBorder="1" applyAlignment="1" applyProtection="1"/>
    <xf numFmtId="0" fontId="8" fillId="0" borderId="7" xfId="0" applyNumberFormat="1" applyFont="1" applyFill="1" applyBorder="1" applyAlignment="1" applyProtection="1"/>
    <xf numFmtId="0" fontId="17" fillId="0" borderId="7" xfId="0" applyNumberFormat="1" applyFont="1" applyFill="1" applyBorder="1" applyAlignment="1" applyProtection="1"/>
    <xf numFmtId="0" fontId="8" fillId="0" borderId="7" xfId="0" applyNumberFormat="1" applyFont="1" applyFill="1" applyBorder="1" applyAlignment="1" applyProtection="1">
      <alignment wrapText="1"/>
    </xf>
    <xf numFmtId="0" fontId="29" fillId="0" borderId="7" xfId="0" applyNumberFormat="1" applyFont="1" applyFill="1" applyBorder="1" applyAlignment="1" applyProtection="1">
      <alignment horizontal="right"/>
    </xf>
    <xf numFmtId="0" fontId="4" fillId="0" borderId="7" xfId="0" applyNumberFormat="1" applyFont="1" applyFill="1" applyBorder="1" applyAlignment="1" applyProtection="1">
      <alignment horizontal="right"/>
    </xf>
    <xf numFmtId="0" fontId="5" fillId="0" borderId="7" xfId="0" applyNumberFormat="1" applyFont="1" applyFill="1" applyBorder="1" applyAlignment="1" applyProtection="1"/>
    <xf numFmtId="0" fontId="31" fillId="0" borderId="7" xfId="0" applyNumberFormat="1" applyFont="1" applyFill="1" applyBorder="1" applyAlignment="1" applyProtection="1"/>
    <xf numFmtId="166" fontId="0" fillId="0" borderId="7" xfId="0" applyFill="1" applyBorder="1" applyAlignment="1">
      <protection locked="0" hidden="1"/>
    </xf>
    <xf numFmtId="0" fontId="24" fillId="0" borderId="5" xfId="0" applyNumberFormat="1" applyFont="1" applyFill="1" applyBorder="1" applyAlignment="1" applyProtection="1">
      <alignment vertical="center"/>
    </xf>
    <xf numFmtId="0" fontId="29" fillId="0" borderId="7" xfId="0" applyNumberFormat="1" applyFont="1" applyFill="1" applyBorder="1" applyAlignment="1" applyProtection="1"/>
    <xf numFmtId="0" fontId="33" fillId="0" borderId="0" xfId="0" applyNumberFormat="1" applyFont="1" applyFill="1" applyAlignment="1" applyProtection="1"/>
    <xf numFmtId="0" fontId="28" fillId="0" borderId="0" xfId="0" applyNumberFormat="1" applyFont="1" applyFill="1" applyAlignment="1" applyProtection="1"/>
    <xf numFmtId="0" fontId="12" fillId="0" borderId="16" xfId="0" applyNumberFormat="1" applyFont="1" applyFill="1" applyBorder="1" applyAlignment="1" applyProtection="1">
      <alignment horizontal="center" wrapText="1"/>
    </xf>
    <xf numFmtId="0" fontId="12" fillId="0" borderId="9"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Continuous" vertical="center"/>
    </xf>
    <xf numFmtId="0" fontId="12" fillId="0" borderId="11" xfId="0" applyNumberFormat="1" applyFont="1" applyFill="1" applyBorder="1" applyAlignment="1" applyProtection="1">
      <alignment horizontal="center" vertical="center"/>
    </xf>
    <xf numFmtId="0" fontId="0" fillId="0" borderId="1" xfId="0" applyNumberFormat="1" applyFill="1" applyBorder="1" applyAlignment="1" applyProtection="1"/>
    <xf numFmtId="0" fontId="12" fillId="0" borderId="3"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wrapText="1"/>
    </xf>
    <xf numFmtId="0" fontId="0" fillId="0" borderId="19" xfId="0" applyNumberFormat="1" applyFill="1" applyBorder="1" applyAlignment="1" applyProtection="1"/>
    <xf numFmtId="0" fontId="0" fillId="0" borderId="9" xfId="0" applyNumberFormat="1" applyFill="1" applyBorder="1" applyAlignment="1" applyProtection="1">
      <alignment horizontal="center" vertical="center"/>
    </xf>
    <xf numFmtId="0" fontId="14" fillId="0" borderId="19" xfId="0" applyNumberFormat="1" applyFont="1" applyFill="1" applyBorder="1" applyAlignment="1" applyProtection="1">
      <alignment horizontal="center"/>
    </xf>
    <xf numFmtId="165" fontId="6" fillId="0" borderId="0" xfId="0" applyNumberFormat="1" applyFont="1" applyFill="1" applyAlignment="1" applyProtection="1">
      <alignment horizontal="right"/>
    </xf>
    <xf numFmtId="170" fontId="32" fillId="0" borderId="7" xfId="0" applyNumberFormat="1" applyFont="1" applyFill="1" applyBorder="1" applyAlignment="1" applyProtection="1">
      <alignment horizontal="right" readingOrder="2"/>
    </xf>
    <xf numFmtId="0" fontId="10" fillId="0" borderId="7" xfId="0" applyNumberFormat="1" applyFont="1" applyFill="1" applyBorder="1" applyAlignment="1" applyProtection="1">
      <alignment horizontal="right" readingOrder="2"/>
    </xf>
    <xf numFmtId="0" fontId="10" fillId="0" borderId="0" xfId="0" applyNumberFormat="1" applyFont="1" applyFill="1" applyAlignment="1" applyProtection="1">
      <alignment horizontal="right" readingOrder="2"/>
    </xf>
    <xf numFmtId="178" fontId="30" fillId="0" borderId="11" xfId="0" applyNumberFormat="1" applyFont="1" applyFill="1" applyBorder="1" applyAlignment="1">
      <protection locked="0" hidden="1"/>
    </xf>
    <xf numFmtId="176" fontId="30" fillId="0" borderId="11" xfId="0" applyNumberFormat="1" applyFont="1" applyFill="1" applyBorder="1" applyAlignment="1">
      <protection locked="0" hidden="1"/>
    </xf>
    <xf numFmtId="0" fontId="12" fillId="0" borderId="5" xfId="0" applyNumberFormat="1" applyFont="1" applyFill="1" applyBorder="1" applyAlignment="1" applyProtection="1">
      <alignment horizontal="left"/>
    </xf>
    <xf numFmtId="0" fontId="12" fillId="0" borderId="7" xfId="0" applyNumberFormat="1" applyFont="1" applyFill="1" applyBorder="1" applyAlignment="1" applyProtection="1">
      <alignment horizontal="left"/>
    </xf>
    <xf numFmtId="165" fontId="12" fillId="0" borderId="0" xfId="0" applyNumberFormat="1" applyFont="1" applyFill="1" applyAlignment="1" applyProtection="1">
      <alignment horizontal="right" wrapText="1"/>
    </xf>
    <xf numFmtId="165" fontId="12" fillId="0" borderId="0" xfId="0" applyNumberFormat="1" applyFont="1" applyFill="1" applyAlignment="1" applyProtection="1">
      <alignment horizontal="right"/>
    </xf>
    <xf numFmtId="165" fontId="8" fillId="0" borderId="0" xfId="0" applyNumberFormat="1" applyFont="1" applyFill="1" applyAlignment="1" applyProtection="1">
      <alignment horizontal="center" wrapText="1"/>
    </xf>
    <xf numFmtId="165" fontId="0" fillId="0" borderId="0" xfId="0" applyNumberFormat="1" applyFill="1" applyAlignment="1" applyProtection="1">
      <alignment horizontal="right"/>
    </xf>
    <xf numFmtId="183" fontId="30" fillId="0" borderId="11" xfId="0" applyNumberFormat="1" applyFont="1" applyFill="1" applyBorder="1" applyAlignment="1">
      <protection locked="0" hidden="1"/>
    </xf>
    <xf numFmtId="166" fontId="34" fillId="0" borderId="1" xfId="0" applyFont="1" applyFill="1" applyBorder="1" applyAlignment="1">
      <alignment horizontal="left"/>
      <protection locked="0" hidden="1"/>
    </xf>
    <xf numFmtId="0" fontId="0" fillId="0" borderId="13" xfId="0" applyNumberFormat="1" applyFill="1" applyBorder="1" applyAlignment="1" applyProtection="1"/>
    <xf numFmtId="166" fontId="34" fillId="0" borderId="1" xfId="0" applyFont="1" applyFill="1" applyBorder="1" applyAlignment="1">
      <alignment horizontal="left" vertical="top"/>
      <protection locked="0" hidden="1"/>
    </xf>
    <xf numFmtId="0" fontId="9" fillId="0" borderId="5"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readingOrder="2"/>
    </xf>
    <xf numFmtId="0" fontId="9" fillId="0" borderId="5" xfId="0" applyNumberFormat="1" applyFont="1" applyFill="1" applyBorder="1" applyAlignment="1" applyProtection="1">
      <alignment horizontal="right" readingOrder="2"/>
    </xf>
    <xf numFmtId="166" fontId="0" fillId="0" borderId="0" xfId="0" applyFill="1" applyAlignment="1">
      <alignment horizontal="centerContinuous"/>
      <protection locked="0" hidden="1"/>
    </xf>
    <xf numFmtId="166" fontId="15" fillId="0" borderId="0" xfId="0" applyFont="1" applyFill="1" applyAlignment="1">
      <alignment horizontal="right"/>
      <protection locked="0" hidden="1"/>
    </xf>
    <xf numFmtId="22" fontId="29" fillId="0" borderId="0" xfId="0" applyNumberFormat="1" applyFont="1" applyFill="1" applyAlignment="1">
      <alignment horizontal="centerContinuous"/>
      <protection locked="0" hidden="1"/>
    </xf>
    <xf numFmtId="171" fontId="30" fillId="0" borderId="9" xfId="0" applyNumberFormat="1" applyFont="1" applyFill="1" applyBorder="1" applyAlignment="1">
      <protection locked="0" hidden="1"/>
    </xf>
    <xf numFmtId="166" fontId="34" fillId="0" borderId="0" xfId="0" applyFont="1" applyFill="1" applyAlignment="1">
      <alignment horizontal="left"/>
      <protection locked="0" hidden="1"/>
    </xf>
    <xf numFmtId="166" fontId="30" fillId="0" borderId="0" xfId="0" applyFont="1" applyFill="1" applyAlignment="1">
      <protection locked="0" hidden="1"/>
    </xf>
    <xf numFmtId="166" fontId="34" fillId="0" borderId="0" xfId="0" applyFont="1" applyFill="1" applyAlignment="1">
      <alignment horizontal="left" vertical="top"/>
      <protection locked="0" hidden="1"/>
    </xf>
    <xf numFmtId="166" fontId="30" fillId="0" borderId="0" xfId="0" applyFont="1" applyFill="1" applyAlignment="1">
      <alignment vertical="top"/>
      <protection locked="0" hidden="1"/>
    </xf>
    <xf numFmtId="188" fontId="30" fillId="0" borderId="20" xfId="0" applyNumberFormat="1" applyFont="1" applyFill="1" applyBorder="1" applyAlignment="1">
      <protection locked="0" hidden="1"/>
    </xf>
    <xf numFmtId="167" fontId="30" fillId="0" borderId="20" xfId="0" applyNumberFormat="1" applyFont="1" applyFill="1" applyBorder="1" applyAlignment="1">
      <protection locked="0" hidden="1"/>
    </xf>
    <xf numFmtId="167" fontId="30" fillId="0" borderId="11" xfId="0" applyNumberFormat="1" applyFont="1" applyFill="1" applyBorder="1" applyAlignment="1">
      <alignment horizontal="right"/>
      <protection locked="0" hidden="1"/>
    </xf>
    <xf numFmtId="184" fontId="30" fillId="0" borderId="11" xfId="0" applyNumberFormat="1" applyFont="1" applyFill="1" applyBorder="1" applyAlignment="1">
      <alignment horizontal="right"/>
      <protection locked="0" hidden="1"/>
    </xf>
    <xf numFmtId="185" fontId="30" fillId="0" borderId="11" xfId="0" applyNumberFormat="1" applyFont="1" applyFill="1" applyBorder="1" applyAlignment="1">
      <alignment horizontal="right"/>
      <protection locked="0" hidden="1"/>
    </xf>
    <xf numFmtId="172" fontId="30" fillId="0" borderId="11" xfId="0" applyNumberFormat="1" applyFont="1" applyFill="1" applyBorder="1" applyAlignment="1">
      <alignment horizontal="right"/>
      <protection locked="0" hidden="1"/>
    </xf>
    <xf numFmtId="171" fontId="30" fillId="0" borderId="11" xfId="0" applyNumberFormat="1" applyFont="1" applyFill="1" applyBorder="1" applyAlignment="1">
      <alignment horizontal="right"/>
      <protection locked="0" hidden="1"/>
    </xf>
    <xf numFmtId="187" fontId="30" fillId="0" borderId="11" xfId="0" applyNumberFormat="1" applyFont="1" applyFill="1" applyBorder="1" applyAlignment="1">
      <protection locked="0" hidden="1"/>
    </xf>
    <xf numFmtId="187" fontId="30" fillId="0" borderId="11" xfId="0" applyNumberFormat="1" applyFont="1" applyFill="1" applyBorder="1" applyAlignment="1">
      <alignment vertical="top"/>
      <protection locked="0" hidden="1"/>
    </xf>
    <xf numFmtId="0" fontId="29" fillId="0" borderId="0" xfId="0" applyNumberFormat="1" applyFont="1" applyFill="1" applyAlignment="1" applyProtection="1">
      <alignment horizontal="right"/>
    </xf>
    <xf numFmtId="0" fontId="29" fillId="0" borderId="0" xfId="0" applyNumberFormat="1" applyFont="1" applyFill="1" applyAlignment="1" applyProtection="1">
      <alignment horizontal="centerContinuous"/>
    </xf>
    <xf numFmtId="0" fontId="6" fillId="0" borderId="0" xfId="0" applyNumberFormat="1" applyFont="1" applyFill="1" applyAlignment="1" applyProtection="1">
      <alignment horizontal="centerContinuous" vertical="top"/>
    </xf>
    <xf numFmtId="22" fontId="8" fillId="0" borderId="7" xfId="0" applyNumberFormat="1" applyFont="1" applyFill="1" applyBorder="1" applyAlignment="1">
      <alignment horizontal="centerContinuous"/>
      <protection locked="0" hidden="1"/>
    </xf>
    <xf numFmtId="164" fontId="30" fillId="0" borderId="11" xfId="0" applyNumberFormat="1" applyFont="1" applyFill="1" applyBorder="1" applyAlignment="1">
      <alignment horizontal="right" indent="2"/>
      <protection locked="0" hidden="1"/>
    </xf>
    <xf numFmtId="166" fontId="18" fillId="0" borderId="7" xfId="0" applyFont="1" applyFill="1" applyBorder="1" applyAlignment="1">
      <alignment horizontal="right" readingOrder="2"/>
      <protection locked="0" hidden="1"/>
    </xf>
    <xf numFmtId="166" fontId="18" fillId="0" borderId="7" xfId="0" applyFont="1" applyFill="1" applyBorder="1" applyAlignment="1">
      <protection locked="0" hidden="1"/>
    </xf>
    <xf numFmtId="166" fontId="34" fillId="0" borderId="2" xfId="0" applyFont="1" applyFill="1" applyBorder="1" applyAlignment="1">
      <alignment horizontal="left"/>
      <protection locked="0" hidden="1"/>
    </xf>
    <xf numFmtId="166" fontId="21" fillId="0" borderId="1" xfId="0" applyFont="1" applyFill="1" applyBorder="1" applyAlignment="1">
      <alignment horizontal="center"/>
      <protection locked="0" hidden="1"/>
    </xf>
    <xf numFmtId="166" fontId="21" fillId="0" borderId="8" xfId="0" applyFont="1" applyFill="1" applyBorder="1" applyAlignment="1">
      <alignment horizontal="center"/>
      <protection locked="0" hidden="1"/>
    </xf>
    <xf numFmtId="166" fontId="21" fillId="0" borderId="11" xfId="0" applyFont="1" applyFill="1" applyBorder="1" applyAlignment="1">
      <alignment horizontal="center"/>
      <protection locked="0" hidden="1"/>
    </xf>
    <xf numFmtId="166" fontId="21" fillId="0" borderId="9" xfId="0" applyFont="1" applyFill="1" applyBorder="1" applyAlignment="1">
      <alignment horizontal="center" wrapText="1"/>
      <protection locked="0" hidden="1"/>
    </xf>
    <xf numFmtId="166" fontId="21" fillId="0" borderId="11" xfId="0" applyFont="1" applyFill="1" applyBorder="1" applyAlignment="1">
      <alignment horizontal="center" wrapText="1"/>
      <protection locked="0" hidden="1"/>
    </xf>
    <xf numFmtId="166" fontId="21" fillId="0" borderId="15" xfId="0" applyFont="1" applyFill="1" applyBorder="1" applyAlignment="1">
      <alignment horizontal="center"/>
      <protection locked="0" hidden="1"/>
    </xf>
    <xf numFmtId="166" fontId="21" fillId="0" borderId="0" xfId="0" applyFont="1" applyFill="1" applyAlignment="1">
      <alignment horizontal="center"/>
      <protection locked="0" hidden="1"/>
    </xf>
    <xf numFmtId="166" fontId="21" fillId="0" borderId="3" xfId="0" applyFont="1" applyFill="1" applyBorder="1" applyAlignment="1">
      <alignment horizontal="center" wrapText="1"/>
      <protection locked="0" hidden="1"/>
    </xf>
    <xf numFmtId="166" fontId="21" fillId="0" borderId="8" xfId="0" applyFont="1" applyFill="1" applyBorder="1" applyAlignment="1">
      <alignment horizontal="center" wrapText="1"/>
      <protection locked="0" hidden="1"/>
    </xf>
    <xf numFmtId="166" fontId="21" fillId="0" borderId="18" xfId="0" applyFont="1" applyFill="1" applyBorder="1" applyAlignment="1">
      <alignment horizontal="center"/>
      <protection locked="0" hidden="1"/>
    </xf>
    <xf numFmtId="0" fontId="12" fillId="0" borderId="21" xfId="0" applyNumberFormat="1" applyFont="1" applyFill="1" applyBorder="1" applyAlignment="1" applyProtection="1">
      <alignment horizontal="left" vertical="center" indent="2" readingOrder="1"/>
    </xf>
    <xf numFmtId="0" fontId="12" fillId="0" borderId="21" xfId="0" applyNumberFormat="1" applyFont="1" applyFill="1" applyBorder="1" applyAlignment="1" applyProtection="1">
      <alignment horizontal="left" vertical="center" indent="1"/>
    </xf>
    <xf numFmtId="0" fontId="24" fillId="0" borderId="22" xfId="0" applyNumberFormat="1" applyFont="1" applyFill="1" applyBorder="1" applyAlignment="1" applyProtection="1">
      <alignment horizontal="right" vertical="center" indent="1" readingOrder="2"/>
    </xf>
    <xf numFmtId="0" fontId="24" fillId="0" borderId="22" xfId="0" applyNumberFormat="1" applyFont="1" applyFill="1" applyBorder="1" applyAlignment="1" applyProtection="1">
      <alignment horizontal="right" vertical="center" indent="2" readingOrder="2"/>
    </xf>
    <xf numFmtId="0" fontId="12" fillId="0" borderId="9" xfId="0" applyNumberFormat="1" applyFont="1" applyFill="1" applyBorder="1" applyAlignment="1" applyProtection="1">
      <alignment horizontal="center" readingOrder="1"/>
    </xf>
    <xf numFmtId="0" fontId="12" fillId="0" borderId="11" xfId="0" applyNumberFormat="1" applyFont="1" applyFill="1" applyBorder="1" applyAlignment="1" applyProtection="1">
      <alignment horizontal="center" vertical="top" readingOrder="1"/>
    </xf>
    <xf numFmtId="0" fontId="14" fillId="0" borderId="11" xfId="0" applyNumberFormat="1" applyFont="1" applyFill="1" applyBorder="1" applyAlignment="1" applyProtection="1">
      <alignment horizontal="center" readingOrder="2"/>
    </xf>
    <xf numFmtId="0" fontId="14" fillId="0" borderId="9" xfId="0" applyNumberFormat="1" applyFont="1" applyFill="1" applyBorder="1" applyAlignment="1" applyProtection="1">
      <alignment horizontal="center" readingOrder="2"/>
    </xf>
    <xf numFmtId="0" fontId="12" fillId="0" borderId="3" xfId="0" applyNumberFormat="1" applyFont="1" applyFill="1" applyBorder="1" applyAlignment="1" applyProtection="1">
      <alignment vertical="center" wrapText="1"/>
    </xf>
    <xf numFmtId="0" fontId="19" fillId="0" borderId="1" xfId="0" applyNumberFormat="1" applyFont="1" applyFill="1" applyBorder="1" applyAlignment="1" applyProtection="1">
      <alignment horizontal="centerContinuous" vertical="center" wrapText="1"/>
    </xf>
    <xf numFmtId="0" fontId="19" fillId="0" borderId="11" xfId="0" applyNumberFormat="1" applyFont="1" applyFill="1" applyBorder="1" applyAlignment="1" applyProtection="1">
      <alignment horizontal="center" vertical="center"/>
    </xf>
    <xf numFmtId="174" fontId="30" fillId="0" borderId="11" xfId="0" applyNumberFormat="1" applyFont="1" applyFill="1" applyBorder="1" applyAlignment="1">
      <alignment horizontal="right"/>
      <protection locked="0" hidden="1"/>
    </xf>
    <xf numFmtId="166" fontId="16" fillId="0" borderId="0" xfId="0" applyFont="1" applyFill="1" applyAlignment="1">
      <alignment horizontal="centerContinuous" wrapText="1"/>
      <protection locked="0" hidden="1"/>
    </xf>
    <xf numFmtId="166" fontId="16" fillId="0" borderId="0" xfId="0" applyFont="1" applyFill="1" applyAlignment="1">
      <alignment horizontal="centerContinuous"/>
      <protection locked="0" hidden="1"/>
    </xf>
    <xf numFmtId="166" fontId="7" fillId="0" borderId="0" xfId="0" applyFont="1" applyFill="1" applyAlignment="1">
      <alignment horizontal="centerContinuous"/>
      <protection locked="0" hidden="1"/>
    </xf>
    <xf numFmtId="166" fontId="16" fillId="0" borderId="0" xfId="0" applyFont="1" applyFill="1" applyAlignment="1">
      <alignment wrapText="1"/>
      <protection locked="0" hidden="1"/>
    </xf>
    <xf numFmtId="166" fontId="34" fillId="0" borderId="6" xfId="0" applyFont="1" applyFill="1" applyBorder="1" applyAlignment="1">
      <alignment horizontal="left"/>
      <protection locked="0" hidden="1"/>
    </xf>
    <xf numFmtId="166" fontId="34" fillId="0" borderId="9" xfId="0" applyFont="1" applyFill="1" applyBorder="1" applyAlignment="1">
      <alignment horizontal="left" vertical="top"/>
      <protection locked="0" hidden="1"/>
    </xf>
    <xf numFmtId="166" fontId="8" fillId="0" borderId="7" xfId="0" applyFont="1" applyFill="1" applyBorder="1" applyAlignment="1">
      <protection locked="0" hidden="1"/>
    </xf>
    <xf numFmtId="166" fontId="17" fillId="0" borderId="7" xfId="0" applyFont="1" applyFill="1" applyBorder="1" applyAlignment="1">
      <protection locked="0" hidden="1"/>
    </xf>
    <xf numFmtId="166" fontId="17" fillId="0" borderId="0" xfId="0" applyFont="1" applyFill="1" applyAlignment="1">
      <protection locked="0" hidden="1"/>
    </xf>
    <xf numFmtId="166" fontId="29" fillId="0" borderId="0" xfId="0" applyFont="1" applyFill="1" applyAlignment="1">
      <alignment horizontal="centerContinuous"/>
      <protection locked="0" hidden="1"/>
    </xf>
    <xf numFmtId="166" fontId="6" fillId="0" borderId="0" xfId="0" applyFont="1" applyFill="1" applyAlignment="1">
      <alignment horizontal="centerContinuous" vertical="top"/>
      <protection locked="0" hidden="1"/>
    </xf>
    <xf numFmtId="166" fontId="6" fillId="0" borderId="0" xfId="0" applyFont="1" applyFill="1" applyAlignment="1">
      <alignment horizontal="centerContinuous" vertical="top" wrapText="1"/>
      <protection locked="0" hidden="1"/>
    </xf>
    <xf numFmtId="164" fontId="30" fillId="0" borderId="11" xfId="0" applyNumberFormat="1" applyFont="1" applyFill="1" applyBorder="1" applyAlignment="1">
      <alignment horizontal="center"/>
      <protection locked="0" hidden="1"/>
    </xf>
    <xf numFmtId="164" fontId="30" fillId="0" borderId="11" xfId="0" applyNumberFormat="1" applyFont="1" applyFill="1" applyBorder="1" applyAlignment="1">
      <alignment horizontal="center" vertical="top"/>
      <protection locked="0" hidden="1"/>
    </xf>
    <xf numFmtId="164" fontId="30" fillId="0" borderId="12" xfId="0" applyNumberFormat="1" applyFont="1" applyFill="1" applyBorder="1" applyAlignment="1">
      <alignment horizontal="center"/>
      <protection locked="0" hidden="1"/>
    </xf>
    <xf numFmtId="166" fontId="12" fillId="0" borderId="0" xfId="0" applyFont="1" applyFill="1" applyAlignment="1">
      <alignment wrapText="1"/>
      <protection locked="0" hidden="1"/>
    </xf>
    <xf numFmtId="166" fontId="14" fillId="0" borderId="2" xfId="0" applyFont="1" applyFill="1" applyBorder="1" applyAlignment="1">
      <alignment horizontal="centerContinuous" wrapText="1"/>
      <protection locked="0" hidden="1"/>
    </xf>
    <xf numFmtId="166" fontId="12" fillId="0" borderId="6" xfId="0" applyFont="1" applyFill="1" applyBorder="1" applyAlignment="1">
      <alignment horizontal="centerContinuous" wrapText="1"/>
      <protection locked="0" hidden="1"/>
    </xf>
    <xf numFmtId="0" fontId="14" fillId="0" borderId="6" xfId="0" applyNumberFormat="1" applyFont="1" applyFill="1" applyBorder="1" applyAlignment="1" applyProtection="1">
      <alignment horizontal="center" wrapText="1" readingOrder="2"/>
    </xf>
    <xf numFmtId="198" fontId="37" fillId="0" borderId="0" xfId="0" applyNumberFormat="1" applyFont="1" applyFill="1" applyAlignment="1">
      <alignment horizontal="right" indent="1"/>
      <protection locked="0" hidden="1"/>
    </xf>
    <xf numFmtId="164" fontId="0" fillId="0" borderId="0" xfId="0" applyNumberFormat="1" applyFill="1" applyAlignment="1">
      <protection locked="0" hidden="1"/>
    </xf>
    <xf numFmtId="0" fontId="12" fillId="0" borderId="1" xfId="0" applyNumberFormat="1" applyFont="1" applyFill="1" applyBorder="1" applyAlignment="1" applyProtection="1"/>
    <xf numFmtId="0" fontId="12" fillId="0" borderId="2" xfId="0" applyNumberFormat="1" applyFont="1" applyFill="1" applyBorder="1" applyAlignment="1" applyProtection="1">
      <alignment horizontal="center"/>
    </xf>
    <xf numFmtId="0" fontId="12" fillId="0" borderId="12"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Continuous"/>
    </xf>
    <xf numFmtId="0" fontId="8" fillId="0" borderId="7" xfId="0" applyNumberFormat="1" applyFont="1" applyFill="1" applyBorder="1" applyAlignment="1" applyProtection="1">
      <alignment horizontal="right"/>
    </xf>
    <xf numFmtId="0" fontId="8" fillId="0" borderId="7" xfId="0" applyNumberFormat="1" applyFont="1" applyFill="1" applyBorder="1" applyAlignment="1" applyProtection="1">
      <alignment horizontal="right" readingOrder="2"/>
    </xf>
    <xf numFmtId="1" fontId="30" fillId="0" borderId="0" xfId="0" applyNumberFormat="1" applyFont="1" applyFill="1" applyAlignment="1" applyProtection="1">
      <alignment horizontal="center" vertical="center" textRotation="90"/>
    </xf>
    <xf numFmtId="178" fontId="38" fillId="0" borderId="11" xfId="0" applyNumberFormat="1" applyFont="1" applyFill="1" applyBorder="1" applyAlignment="1">
      <protection locked="0" hidden="1"/>
    </xf>
    <xf numFmtId="176" fontId="38" fillId="0" borderId="11" xfId="0" applyNumberFormat="1" applyFont="1" applyFill="1" applyBorder="1" applyAlignment="1">
      <protection locked="0" hidden="1"/>
    </xf>
    <xf numFmtId="177" fontId="38" fillId="0" borderId="11" xfId="0" applyNumberFormat="1" applyFont="1" applyFill="1" applyBorder="1" applyAlignment="1">
      <protection locked="0" hidden="1"/>
    </xf>
    <xf numFmtId="188" fontId="38" fillId="0" borderId="20" xfId="0" applyNumberFormat="1" applyFont="1" applyFill="1" applyBorder="1" applyAlignment="1">
      <protection locked="0" hidden="1"/>
    </xf>
    <xf numFmtId="178" fontId="38" fillId="0" borderId="19" xfId="0" applyNumberFormat="1" applyFont="1" applyFill="1" applyBorder="1" applyAlignment="1">
      <protection locked="0" hidden="1"/>
    </xf>
    <xf numFmtId="183" fontId="38" fillId="0" borderId="11" xfId="0" applyNumberFormat="1" applyFont="1" applyFill="1" applyBorder="1" applyAlignment="1">
      <protection locked="0" hidden="1"/>
    </xf>
    <xf numFmtId="179" fontId="38" fillId="0" borderId="11" xfId="0" applyNumberFormat="1" applyFont="1" applyFill="1" applyBorder="1" applyAlignment="1">
      <protection locked="0" hidden="1"/>
    </xf>
    <xf numFmtId="165" fontId="38" fillId="0" borderId="11" xfId="0" applyNumberFormat="1" applyFont="1" applyFill="1" applyBorder="1" applyAlignment="1">
      <alignment horizontal="right" indent="2"/>
      <protection locked="0" hidden="1"/>
    </xf>
    <xf numFmtId="164" fontId="41" fillId="0" borderId="0" xfId="0" applyNumberFormat="1" applyFont="1" applyFill="1" applyAlignment="1">
      <protection locked="0" hidden="1"/>
    </xf>
    <xf numFmtId="0" fontId="12" fillId="0" borderId="8" xfId="0" applyNumberFormat="1" applyFont="1" applyFill="1" applyBorder="1" applyAlignment="1" applyProtection="1">
      <alignment horizontal="left" wrapText="1"/>
    </xf>
    <xf numFmtId="164" fontId="38" fillId="0" borderId="0" xfId="0" applyNumberFormat="1" applyFont="1" applyFill="1" applyAlignment="1">
      <protection locked="0" hidden="1"/>
    </xf>
    <xf numFmtId="166" fontId="38" fillId="0" borderId="0" xfId="0" applyFont="1" applyFill="1" applyAlignment="1">
      <protection locked="0" hidden="1"/>
    </xf>
    <xf numFmtId="166" fontId="39" fillId="0" borderId="1" xfId="0" applyFont="1" applyFill="1" applyBorder="1" applyAlignment="1">
      <alignment horizontal="left" vertical="top"/>
      <protection locked="0" hidden="1"/>
    </xf>
    <xf numFmtId="166" fontId="38" fillId="0" borderId="0" xfId="0" applyFont="1" applyFill="1" applyAlignment="1">
      <alignment vertical="top"/>
      <protection locked="0" hidden="1"/>
    </xf>
    <xf numFmtId="167" fontId="38" fillId="0" borderId="20" xfId="0" applyNumberFormat="1" applyFont="1" applyFill="1" applyBorder="1" applyAlignment="1">
      <protection locked="0" hidden="1"/>
    </xf>
    <xf numFmtId="164" fontId="38" fillId="0" borderId="11" xfId="0" applyNumberFormat="1" applyFont="1" applyFill="1" applyBorder="1" applyAlignment="1">
      <alignment horizontal="center"/>
      <protection locked="0" hidden="1"/>
    </xf>
    <xf numFmtId="181" fontId="30" fillId="0" borderId="0" xfId="0" applyNumberFormat="1" applyFont="1" applyFill="1" applyAlignment="1" applyProtection="1"/>
    <xf numFmtId="0" fontId="14" fillId="0" borderId="22" xfId="0" applyNumberFormat="1" applyFont="1" applyFill="1" applyBorder="1" applyAlignment="1" applyProtection="1">
      <alignment horizontal="right" vertical="center" indent="2" readingOrder="2"/>
    </xf>
    <xf numFmtId="0" fontId="12" fillId="0" borderId="23" xfId="0" applyNumberFormat="1" applyFont="1" applyFill="1" applyBorder="1" applyAlignment="1" applyProtection="1">
      <alignment horizontal="left" vertical="center" indent="2" readingOrder="1"/>
    </xf>
    <xf numFmtId="0" fontId="12" fillId="0" borderId="4" xfId="0" applyNumberFormat="1" applyFont="1" applyFill="1" applyBorder="1" applyAlignment="1" applyProtection="1">
      <alignment horizontal="left" indent="1"/>
    </xf>
    <xf numFmtId="0" fontId="14" fillId="0" borderId="10" xfId="0" applyNumberFormat="1" applyFont="1" applyFill="1" applyBorder="1" applyAlignment="1" applyProtection="1">
      <alignment horizontal="left" indent="1" readingOrder="2"/>
    </xf>
    <xf numFmtId="0" fontId="12" fillId="0" borderId="21" xfId="0" applyNumberFormat="1" applyFont="1" applyFill="1" applyBorder="1" applyAlignment="1" applyProtection="1">
      <alignment horizontal="left" vertical="center" indent="3"/>
    </xf>
    <xf numFmtId="0" fontId="14" fillId="0" borderId="22" xfId="0" applyNumberFormat="1" applyFont="1" applyFill="1" applyBorder="1" applyAlignment="1" applyProtection="1">
      <alignment horizontal="right" vertical="center" indent="3"/>
    </xf>
    <xf numFmtId="0" fontId="12" fillId="0" borderId="23" xfId="0" applyNumberFormat="1" applyFont="1" applyFill="1" applyBorder="1" applyAlignment="1" applyProtection="1">
      <alignment horizontal="left" vertical="center" indent="3"/>
    </xf>
    <xf numFmtId="0" fontId="12" fillId="0" borderId="12" xfId="0" applyNumberFormat="1" applyFont="1" applyFill="1" applyBorder="1" applyAlignment="1" applyProtection="1">
      <alignment vertical="center"/>
    </xf>
    <xf numFmtId="181" fontId="5" fillId="0" borderId="0" xfId="0" applyNumberFormat="1" applyFont="1" applyFill="1" applyAlignment="1" applyProtection="1">
      <alignment horizontal="centerContinuous"/>
    </xf>
    <xf numFmtId="164" fontId="38" fillId="0" borderId="0" xfId="0" applyNumberFormat="1" applyFont="1" applyFill="1" applyAlignment="1">
      <alignment vertical="top"/>
      <protection locked="0" hidden="1"/>
    </xf>
    <xf numFmtId="166" fontId="20" fillId="0" borderId="0" xfId="0" applyFont="1" applyFill="1" applyAlignment="1">
      <alignment horizontal="right" readingOrder="2"/>
      <protection locked="0" hidden="1"/>
    </xf>
    <xf numFmtId="166" fontId="18" fillId="0" borderId="0" xfId="0" applyFont="1" applyFill="1" applyAlignment="1">
      <protection locked="0" hidden="1"/>
    </xf>
    <xf numFmtId="165" fontId="30" fillId="0" borderId="11" xfId="0" applyNumberFormat="1" applyFont="1" applyFill="1" applyBorder="1" applyAlignment="1">
      <alignment horizontal="right" indent="2"/>
      <protection locked="0" hidden="1"/>
    </xf>
    <xf numFmtId="0" fontId="19" fillId="0" borderId="1" xfId="0" applyNumberFormat="1" applyFont="1" applyFill="1" applyBorder="1" applyAlignment="1" applyProtection="1">
      <alignment horizontal="center"/>
    </xf>
    <xf numFmtId="0" fontId="19" fillId="0" borderId="0" xfId="0" applyNumberFormat="1" applyFont="1" applyFill="1" applyAlignment="1" applyProtection="1">
      <alignment horizontal="center"/>
    </xf>
    <xf numFmtId="0" fontId="19"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Continuous"/>
    </xf>
    <xf numFmtId="0" fontId="14" fillId="0" borderId="10" xfId="0" applyNumberFormat="1" applyFont="1" applyFill="1" applyBorder="1" applyAlignment="1" applyProtection="1">
      <alignment horizontal="centerContinuous"/>
    </xf>
    <xf numFmtId="0" fontId="19" fillId="0" borderId="11" xfId="0" applyNumberFormat="1" applyFont="1" applyFill="1" applyBorder="1" applyAlignment="1" applyProtection="1">
      <alignment horizontal="center" wrapText="1"/>
    </xf>
    <xf numFmtId="0" fontId="19" fillId="0" borderId="15" xfId="0" applyNumberFormat="1" applyFont="1" applyFill="1" applyBorder="1" applyAlignment="1" applyProtection="1">
      <alignment horizontal="center"/>
    </xf>
    <xf numFmtId="0" fontId="0" fillId="0" borderId="0" xfId="0" applyNumberFormat="1" applyFill="1" applyAlignment="1" applyProtection="1">
      <alignment horizontal="right" readingOrder="2"/>
    </xf>
    <xf numFmtId="165" fontId="38" fillId="0" borderId="0" xfId="0" applyNumberFormat="1" applyFont="1" applyFill="1" applyAlignment="1">
      <protection locked="0" hidden="1"/>
    </xf>
    <xf numFmtId="1" fontId="38" fillId="0" borderId="0" xfId="0" applyNumberFormat="1" applyFont="1" applyFill="1" applyAlignment="1">
      <alignment vertical="top"/>
      <protection locked="0" hidden="1"/>
    </xf>
    <xf numFmtId="189" fontId="30" fillId="0" borderId="11" xfId="0" applyNumberFormat="1" applyFont="1" applyFill="1" applyBorder="1" applyAlignment="1">
      <alignment horizontal="right"/>
      <protection locked="0" hidden="1"/>
    </xf>
    <xf numFmtId="167" fontId="30" fillId="0" borderId="11" xfId="0" applyNumberFormat="1" applyFont="1" applyFill="1" applyBorder="1" applyAlignment="1">
      <protection locked="0" hidden="1"/>
    </xf>
    <xf numFmtId="167" fontId="30" fillId="0" borderId="11" xfId="0" applyNumberFormat="1" applyFont="1" applyFill="1" applyBorder="1" applyAlignment="1">
      <alignment vertical="top"/>
      <protection locked="0" hidden="1"/>
    </xf>
    <xf numFmtId="204" fontId="30" fillId="0" borderId="11" xfId="0" applyNumberFormat="1" applyFont="1" applyFill="1" applyBorder="1" applyAlignment="1">
      <protection locked="0" hidden="1"/>
    </xf>
    <xf numFmtId="204" fontId="30" fillId="0" borderId="11" xfId="0" applyNumberFormat="1" applyFont="1" applyFill="1" applyBorder="1" applyAlignment="1">
      <alignment vertical="top"/>
      <protection locked="0" hidden="1"/>
    </xf>
    <xf numFmtId="167" fontId="38" fillId="0" borderId="11" xfId="0" applyNumberFormat="1" applyFont="1" applyFill="1" applyBorder="1" applyAlignment="1">
      <protection locked="0" hidden="1"/>
    </xf>
    <xf numFmtId="167" fontId="38" fillId="0" borderId="12" xfId="0" applyNumberFormat="1" applyFont="1" applyFill="1" applyBorder="1" applyAlignment="1">
      <protection locked="0" hidden="1"/>
    </xf>
    <xf numFmtId="172" fontId="30" fillId="0" borderId="11" xfId="0" applyNumberFormat="1" applyFont="1" applyFill="1" applyBorder="1" applyAlignment="1">
      <protection locked="0" hidden="1"/>
    </xf>
    <xf numFmtId="172" fontId="38" fillId="0" borderId="11" xfId="0" applyNumberFormat="1" applyFont="1" applyFill="1" applyBorder="1" applyAlignment="1">
      <protection locked="0" hidden="1"/>
    </xf>
    <xf numFmtId="202" fontId="30" fillId="0" borderId="11" xfId="0" applyNumberFormat="1" applyFont="1" applyFill="1" applyBorder="1" applyAlignment="1">
      <protection locked="0" hidden="1"/>
    </xf>
    <xf numFmtId="202" fontId="38" fillId="0" borderId="11" xfId="0" applyNumberFormat="1" applyFont="1" applyFill="1" applyBorder="1" applyAlignment="1">
      <protection locked="0" hidden="1"/>
    </xf>
    <xf numFmtId="165" fontId="33" fillId="0" borderId="1" xfId="0" applyNumberFormat="1" applyFont="1" applyFill="1" applyBorder="1" applyAlignment="1">
      <alignment horizontal="right" indent="2"/>
      <protection locked="0" hidden="1"/>
    </xf>
    <xf numFmtId="165" fontId="33" fillId="0" borderId="11" xfId="0" applyNumberFormat="1" applyFont="1" applyFill="1" applyBorder="1" applyAlignment="1">
      <alignment horizontal="right" indent="2"/>
      <protection locked="0" hidden="1"/>
    </xf>
    <xf numFmtId="168" fontId="30" fillId="0" borderId="11" xfId="0" applyNumberFormat="1" applyFont="1" applyFill="1" applyBorder="1" applyAlignment="1">
      <protection locked="0" hidden="1"/>
    </xf>
    <xf numFmtId="172" fontId="30" fillId="0" borderId="0" xfId="0" applyNumberFormat="1" applyFont="1" applyFill="1" applyAlignment="1">
      <protection locked="0" hidden="1"/>
    </xf>
    <xf numFmtId="191" fontId="30" fillId="0" borderId="15" xfId="0" applyNumberFormat="1" applyFont="1" applyFill="1" applyBorder="1" applyAlignment="1">
      <protection locked="0" hidden="1"/>
    </xf>
    <xf numFmtId="195" fontId="30" fillId="0" borderId="11" xfId="0" applyNumberFormat="1" applyFont="1" applyFill="1" applyBorder="1" applyAlignment="1">
      <protection locked="0" hidden="1"/>
    </xf>
    <xf numFmtId="180" fontId="30" fillId="0" borderId="11" xfId="0" applyNumberFormat="1" applyFont="1" applyFill="1" applyBorder="1" applyAlignment="1">
      <protection locked="0" hidden="1"/>
    </xf>
    <xf numFmtId="166" fontId="39" fillId="0" borderId="0" xfId="0" applyFont="1" applyFill="1" applyAlignment="1">
      <alignment horizontal="left" vertical="top"/>
      <protection locked="0" hidden="1"/>
    </xf>
    <xf numFmtId="172" fontId="30" fillId="0" borderId="0" xfId="0" applyNumberFormat="1" applyFont="1" applyFill="1" applyAlignment="1">
      <alignment vertical="top"/>
      <protection locked="0" hidden="1"/>
    </xf>
    <xf numFmtId="166" fontId="34" fillId="0" borderId="0" xfId="0" applyFont="1" applyFill="1" applyAlignment="1">
      <protection locked="0" hidden="1"/>
    </xf>
    <xf numFmtId="179" fontId="30" fillId="0" borderId="1" xfId="0" applyNumberFormat="1" applyFont="1" applyFill="1" applyBorder="1" applyAlignment="1">
      <protection locked="0" hidden="1"/>
    </xf>
    <xf numFmtId="166" fontId="34" fillId="0" borderId="9" xfId="0" applyFont="1" applyFill="1" applyBorder="1" applyAlignment="1">
      <alignment horizontal="left"/>
      <protection locked="0" hidden="1"/>
    </xf>
    <xf numFmtId="181" fontId="30" fillId="0" borderId="0" xfId="0" applyNumberFormat="1" applyFont="1" applyFill="1" applyAlignment="1">
      <protection locked="0" hidden="1"/>
    </xf>
    <xf numFmtId="182" fontId="30" fillId="0" borderId="11" xfId="0" applyNumberFormat="1" applyFont="1" applyFill="1" applyBorder="1" applyAlignment="1">
      <protection locked="0" hidden="1"/>
    </xf>
    <xf numFmtId="175" fontId="30" fillId="0" borderId="11" xfId="0" applyNumberFormat="1" applyFont="1" applyFill="1" applyBorder="1" applyAlignment="1">
      <protection locked="0" hidden="1"/>
    </xf>
    <xf numFmtId="181" fontId="30" fillId="0" borderId="11" xfId="0" applyNumberFormat="1" applyFont="1" applyFill="1" applyBorder="1" applyAlignment="1">
      <protection locked="0" hidden="1"/>
    </xf>
    <xf numFmtId="181" fontId="30" fillId="0" borderId="9" xfId="0" applyNumberFormat="1" applyFont="1" applyFill="1" applyBorder="1" applyAlignment="1">
      <protection locked="0" hidden="1"/>
    </xf>
    <xf numFmtId="165" fontId="18" fillId="0" borderId="0" xfId="0" applyNumberFormat="1" applyFont="1" applyFill="1" applyAlignment="1">
      <protection locked="0" hidden="1"/>
    </xf>
    <xf numFmtId="181" fontId="30" fillId="0" borderId="11" xfId="0" applyNumberFormat="1" applyFont="1" applyFill="1" applyBorder="1" applyAlignment="1">
      <alignment vertical="top"/>
      <protection locked="0" hidden="1"/>
    </xf>
    <xf numFmtId="182" fontId="30" fillId="0" borderId="11" xfId="0" applyNumberFormat="1" applyFont="1" applyFill="1" applyBorder="1" applyAlignment="1">
      <alignment vertical="top"/>
      <protection locked="0" hidden="1"/>
    </xf>
    <xf numFmtId="175" fontId="30" fillId="0" borderId="11" xfId="0" applyNumberFormat="1" applyFont="1" applyFill="1" applyBorder="1" applyAlignment="1">
      <alignment vertical="top"/>
      <protection locked="0" hidden="1"/>
    </xf>
    <xf numFmtId="190" fontId="30" fillId="0" borderId="0" xfId="0" applyNumberFormat="1" applyFont="1" applyFill="1" applyAlignment="1">
      <protection locked="0" hidden="1"/>
    </xf>
    <xf numFmtId="190" fontId="30" fillId="0" borderId="11" xfId="0" applyNumberFormat="1" applyFont="1" applyFill="1" applyBorder="1" applyAlignment="1">
      <protection locked="0" hidden="1"/>
    </xf>
    <xf numFmtId="182" fontId="30" fillId="0" borderId="9" xfId="0" applyNumberFormat="1" applyFont="1" applyFill="1" applyBorder="1" applyAlignment="1">
      <protection locked="0" hidden="1"/>
    </xf>
    <xf numFmtId="190" fontId="30" fillId="0" borderId="11" xfId="0" applyNumberFormat="1" applyFont="1" applyFill="1" applyBorder="1" applyAlignment="1">
      <alignment horizontal="right" vertical="top"/>
      <protection locked="0" hidden="1"/>
    </xf>
    <xf numFmtId="190" fontId="30" fillId="0" borderId="11" xfId="0" applyNumberFormat="1" applyFont="1" applyFill="1" applyBorder="1" applyAlignment="1">
      <alignment vertical="top"/>
      <protection locked="0" hidden="1"/>
    </xf>
    <xf numFmtId="169" fontId="30" fillId="0" borderId="11" xfId="0" applyNumberFormat="1" applyFont="1" applyFill="1" applyBorder="1" applyAlignment="1">
      <alignment horizontal="right"/>
      <protection locked="0" hidden="1"/>
    </xf>
    <xf numFmtId="178" fontId="30" fillId="0" borderId="11" xfId="0" applyNumberFormat="1" applyFont="1" applyFill="1" applyBorder="1" applyAlignment="1">
      <alignment horizontal="right"/>
      <protection locked="0" hidden="1"/>
    </xf>
    <xf numFmtId="177" fontId="30" fillId="0" borderId="11" xfId="0" applyNumberFormat="1" applyFont="1" applyFill="1" applyBorder="1" applyAlignment="1">
      <alignment horizontal="right"/>
      <protection locked="0" hidden="1"/>
    </xf>
    <xf numFmtId="179" fontId="30" fillId="0" borderId="9" xfId="0" applyNumberFormat="1" applyFont="1" applyFill="1" applyBorder="1" applyAlignment="1">
      <alignment horizontal="right"/>
      <protection locked="0" hidden="1"/>
    </xf>
    <xf numFmtId="165" fontId="30" fillId="0" borderId="0" xfId="0" applyNumberFormat="1" applyFont="1" applyFill="1" applyAlignment="1">
      <protection locked="0" hidden="1"/>
    </xf>
    <xf numFmtId="189" fontId="30" fillId="0" borderId="11" xfId="0" applyNumberFormat="1" applyFont="1" applyFill="1" applyBorder="1" applyAlignment="1">
      <alignment horizontal="right" vertical="top"/>
      <protection locked="0" hidden="1"/>
    </xf>
    <xf numFmtId="165" fontId="38" fillId="0" borderId="0" xfId="0" applyNumberFormat="1" applyFont="1" applyFill="1" applyAlignment="1">
      <alignment horizontal="right"/>
      <protection locked="0" hidden="1"/>
    </xf>
    <xf numFmtId="185" fontId="30" fillId="0" borderId="11" xfId="0" applyNumberFormat="1" applyFont="1" applyFill="1" applyBorder="1" applyAlignment="1">
      <protection locked="0" hidden="1"/>
    </xf>
    <xf numFmtId="167" fontId="30" fillId="0" borderId="16" xfId="0" applyNumberFormat="1" applyFont="1" applyFill="1" applyBorder="1" applyAlignment="1">
      <protection locked="0" hidden="1"/>
    </xf>
    <xf numFmtId="203" fontId="30" fillId="0" borderId="9" xfId="0" applyNumberFormat="1" applyFont="1" applyFill="1" applyBorder="1" applyAlignment="1">
      <protection locked="0" hidden="1"/>
    </xf>
    <xf numFmtId="185" fontId="30" fillId="0" borderId="11" xfId="0" applyNumberFormat="1" applyFont="1" applyFill="1" applyBorder="1" applyAlignment="1">
      <alignment vertical="top"/>
      <protection locked="0" hidden="1"/>
    </xf>
    <xf numFmtId="167" fontId="30" fillId="0" borderId="16" xfId="0" applyNumberFormat="1" applyFont="1" applyFill="1" applyBorder="1" applyAlignment="1">
      <alignment vertical="top"/>
      <protection locked="0" hidden="1"/>
    </xf>
    <xf numFmtId="203" fontId="30" fillId="0" borderId="20" xfId="0" applyNumberFormat="1" applyFont="1" applyFill="1" applyBorder="1" applyAlignment="1">
      <alignment vertical="top"/>
      <protection locked="0" hidden="1"/>
    </xf>
    <xf numFmtId="182" fontId="30" fillId="0" borderId="1" xfId="0" applyNumberFormat="1" applyFont="1" applyFill="1" applyBorder="1" applyAlignment="1">
      <protection locked="0" hidden="1"/>
    </xf>
    <xf numFmtId="169" fontId="30" fillId="0" borderId="1" xfId="0" applyNumberFormat="1" applyFont="1" applyFill="1" applyBorder="1" applyAlignment="1">
      <protection locked="0" hidden="1"/>
    </xf>
    <xf numFmtId="184" fontId="30" fillId="0" borderId="11" xfId="0" applyNumberFormat="1" applyFont="1" applyFill="1" applyBorder="1" applyAlignment="1">
      <protection locked="0" hidden="1"/>
    </xf>
    <xf numFmtId="187" fontId="30" fillId="0" borderId="16" xfId="0" applyNumberFormat="1" applyFont="1" applyFill="1" applyBorder="1" applyAlignment="1">
      <protection locked="0" hidden="1"/>
    </xf>
    <xf numFmtId="164" fontId="18" fillId="0" borderId="0" xfId="0" applyNumberFormat="1" applyFont="1" applyFill="1" applyAlignment="1">
      <protection locked="0" hidden="1"/>
    </xf>
    <xf numFmtId="182" fontId="30" fillId="0" borderId="1" xfId="0" applyNumberFormat="1" applyFont="1" applyFill="1" applyBorder="1" applyAlignment="1">
      <alignment vertical="top"/>
      <protection locked="0" hidden="1"/>
    </xf>
    <xf numFmtId="168" fontId="30" fillId="0" borderId="1" xfId="0" applyNumberFormat="1" applyFont="1" applyFill="1" applyBorder="1" applyAlignment="1">
      <alignment vertical="top"/>
      <protection locked="0" hidden="1"/>
    </xf>
    <xf numFmtId="187" fontId="30" fillId="0" borderId="1" xfId="0" applyNumberFormat="1" applyFont="1" applyFill="1" applyBorder="1" applyAlignment="1">
      <alignment vertical="top"/>
      <protection locked="0" hidden="1"/>
    </xf>
    <xf numFmtId="169" fontId="30" fillId="0" borderId="1" xfId="0" applyNumberFormat="1" applyFont="1" applyFill="1" applyBorder="1" applyAlignment="1">
      <alignment vertical="top"/>
      <protection locked="0" hidden="1"/>
    </xf>
    <xf numFmtId="181" fontId="30" fillId="0" borderId="1" xfId="0" applyNumberFormat="1" applyFont="1" applyFill="1" applyBorder="1" applyAlignment="1">
      <alignment vertical="top"/>
      <protection locked="0" hidden="1"/>
    </xf>
    <xf numFmtId="184" fontId="30" fillId="0" borderId="1" xfId="0" applyNumberFormat="1" applyFont="1" applyFill="1" applyBorder="1" applyAlignment="1">
      <alignment vertical="top"/>
      <protection locked="0" hidden="1"/>
    </xf>
    <xf numFmtId="187" fontId="30" fillId="0" borderId="16" xfId="0" applyNumberFormat="1" applyFont="1" applyFill="1" applyBorder="1" applyAlignment="1">
      <alignment vertical="top"/>
      <protection locked="0" hidden="1"/>
    </xf>
    <xf numFmtId="166" fontId="35" fillId="0" borderId="1" xfId="0" applyFont="1" applyFill="1" applyBorder="1" applyAlignment="1">
      <alignment horizontal="left"/>
      <protection locked="0" hidden="1"/>
    </xf>
    <xf numFmtId="166" fontId="35" fillId="0" borderId="0" xfId="0" applyFont="1" applyFill="1" applyAlignment="1">
      <alignment horizontal="left"/>
      <protection locked="0" hidden="1"/>
    </xf>
    <xf numFmtId="205" fontId="33" fillId="0" borderId="11" xfId="0" applyNumberFormat="1" applyFont="1" applyFill="1" applyBorder="1" applyAlignment="1">
      <alignment horizontal="right" indent="2"/>
      <protection locked="0" hidden="1"/>
    </xf>
    <xf numFmtId="166" fontId="33" fillId="0" borderId="0" xfId="0" applyFont="1" applyFill="1" applyAlignment="1">
      <protection locked="0" hidden="1"/>
    </xf>
    <xf numFmtId="185" fontId="30" fillId="0" borderId="1" xfId="0" applyNumberFormat="1" applyFont="1" applyFill="1" applyBorder="1" applyAlignment="1">
      <alignment horizontal="right"/>
      <protection locked="0" hidden="1"/>
    </xf>
    <xf numFmtId="167" fontId="30" fillId="0" borderId="1" xfId="0" applyNumberFormat="1" applyFont="1" applyFill="1" applyBorder="1" applyAlignment="1">
      <alignment horizontal="right"/>
      <protection locked="0" hidden="1"/>
    </xf>
    <xf numFmtId="179" fontId="30" fillId="0" borderId="11" xfId="0" applyNumberFormat="1" applyFont="1" applyFill="1" applyBorder="1" applyAlignment="1">
      <alignment horizontal="right"/>
      <protection locked="0" hidden="1"/>
    </xf>
    <xf numFmtId="185" fontId="30" fillId="0" borderId="1" xfId="0" applyNumberFormat="1" applyFont="1" applyFill="1" applyBorder="1" applyAlignment="1">
      <alignment horizontal="right" vertical="top"/>
      <protection locked="0" hidden="1"/>
    </xf>
    <xf numFmtId="167" fontId="30" fillId="0" borderId="1" xfId="0" applyNumberFormat="1" applyFont="1" applyFill="1" applyBorder="1" applyAlignment="1">
      <alignment horizontal="right" vertical="top"/>
      <protection locked="0" hidden="1"/>
    </xf>
    <xf numFmtId="167" fontId="30" fillId="0" borderId="11" xfId="0" applyNumberFormat="1" applyFont="1" applyFill="1" applyBorder="1" applyAlignment="1">
      <alignment horizontal="right" vertical="top"/>
      <protection locked="0" hidden="1"/>
    </xf>
    <xf numFmtId="185" fontId="30" fillId="0" borderId="11" xfId="0" applyNumberFormat="1" applyFont="1" applyFill="1" applyBorder="1" applyAlignment="1">
      <alignment horizontal="right" vertical="top"/>
      <protection locked="0" hidden="1"/>
    </xf>
    <xf numFmtId="184" fontId="30" fillId="0" borderId="0" xfId="0" applyNumberFormat="1" applyFont="1" applyFill="1" applyAlignment="1">
      <alignment horizontal="right" vertical="top"/>
      <protection locked="0" hidden="1"/>
    </xf>
    <xf numFmtId="184" fontId="30" fillId="0" borderId="11" xfId="0" applyNumberFormat="1" applyFont="1" applyFill="1" applyBorder="1" applyAlignment="1">
      <alignment horizontal="right" vertical="top"/>
      <protection locked="0" hidden="1"/>
    </xf>
    <xf numFmtId="179" fontId="30" fillId="0" borderId="11" xfId="0" applyNumberFormat="1" applyFont="1" applyFill="1" applyBorder="1" applyAlignment="1">
      <alignment horizontal="right" vertical="top"/>
      <protection locked="0" hidden="1"/>
    </xf>
    <xf numFmtId="172" fontId="30" fillId="0" borderId="11" xfId="0" applyNumberFormat="1" applyFont="1" applyFill="1" applyBorder="1" applyAlignment="1">
      <alignment horizontal="right" vertical="top"/>
      <protection locked="0" hidden="1"/>
    </xf>
    <xf numFmtId="188" fontId="30" fillId="0" borderId="11" xfId="0" applyNumberFormat="1" applyFont="1" applyFill="1" applyBorder="1" applyAlignment="1">
      <alignment horizontal="right"/>
      <protection locked="0" hidden="1"/>
    </xf>
    <xf numFmtId="187" fontId="30" fillId="0" borderId="0" xfId="0" applyNumberFormat="1" applyFont="1" applyFill="1" applyAlignment="1">
      <alignment horizontal="right"/>
      <protection locked="0" hidden="1"/>
    </xf>
    <xf numFmtId="172" fontId="30" fillId="0" borderId="1" xfId="0" applyNumberFormat="1" applyFont="1" applyFill="1" applyBorder="1" applyAlignment="1">
      <alignment horizontal="right" vertical="top"/>
      <protection locked="0" hidden="1"/>
    </xf>
    <xf numFmtId="188" fontId="30" fillId="0" borderId="11" xfId="0" applyNumberFormat="1" applyFont="1" applyFill="1" applyBorder="1" applyAlignment="1">
      <alignment horizontal="right" vertical="top"/>
      <protection locked="0" hidden="1"/>
    </xf>
    <xf numFmtId="172" fontId="30" fillId="0" borderId="0" xfId="0" applyNumberFormat="1" applyFont="1" applyFill="1" applyAlignment="1">
      <alignment horizontal="right" vertical="top"/>
      <protection locked="0" hidden="1"/>
    </xf>
    <xf numFmtId="187" fontId="30" fillId="0" borderId="0" xfId="0" applyNumberFormat="1" applyFont="1" applyFill="1" applyAlignment="1">
      <alignment horizontal="right" vertical="top"/>
      <protection locked="0" hidden="1"/>
    </xf>
    <xf numFmtId="171" fontId="30" fillId="0" borderId="11" xfId="0" applyNumberFormat="1" applyFont="1" applyFill="1" applyBorder="1" applyAlignment="1">
      <alignment horizontal="right" vertical="top"/>
      <protection locked="0" hidden="1"/>
    </xf>
    <xf numFmtId="170" fontId="30" fillId="0" borderId="11" xfId="0" applyNumberFormat="1" applyFont="1" applyFill="1" applyBorder="1" applyAlignment="1">
      <alignment horizontal="right" indent="1"/>
      <protection locked="0" hidden="1"/>
    </xf>
    <xf numFmtId="170" fontId="30" fillId="0" borderId="9" xfId="0" applyNumberFormat="1" applyFont="1" applyFill="1" applyBorder="1" applyAlignment="1">
      <alignment horizontal="right" indent="1"/>
      <protection locked="0" hidden="1"/>
    </xf>
    <xf numFmtId="170" fontId="38" fillId="0" borderId="11" xfId="0" applyNumberFormat="1" applyFont="1" applyFill="1" applyBorder="1" applyAlignment="1">
      <alignment horizontal="right" indent="1"/>
      <protection locked="0" hidden="1"/>
    </xf>
    <xf numFmtId="170" fontId="38" fillId="0" borderId="19" xfId="0" applyNumberFormat="1" applyFont="1" applyFill="1" applyBorder="1" applyAlignment="1">
      <alignment horizontal="right" indent="1"/>
      <protection locked="0" hidden="1"/>
    </xf>
    <xf numFmtId="181" fontId="30" fillId="0" borderId="0" xfId="0" applyNumberFormat="1" applyFont="1" applyFill="1" applyAlignment="1" applyProtection="1">
      <alignment horizontal="centerContinuous"/>
    </xf>
    <xf numFmtId="22" fontId="18" fillId="0" borderId="0" xfId="0" applyNumberFormat="1" applyFont="1" applyFill="1" applyAlignment="1" applyProtection="1">
      <alignment horizontal="centerContinuous"/>
    </xf>
    <xf numFmtId="0" fontId="18" fillId="0" borderId="0" xfId="0" applyNumberFormat="1" applyFont="1" applyFill="1" applyAlignment="1" applyProtection="1">
      <alignment horizontal="centerContinuous"/>
    </xf>
    <xf numFmtId="0" fontId="30" fillId="0" borderId="0" xfId="0" applyNumberFormat="1" applyFont="1" applyFill="1" applyAlignment="1" applyProtection="1"/>
    <xf numFmtId="0" fontId="22" fillId="0" borderId="0" xfId="0" applyNumberFormat="1" applyFont="1" applyFill="1" applyAlignment="1" applyProtection="1">
      <alignment horizontal="centerContinuous"/>
    </xf>
    <xf numFmtId="166" fontId="18" fillId="0" borderId="0" xfId="0" applyFont="1" applyFill="1" applyAlignment="1">
      <alignment horizontal="centerContinuous"/>
      <protection locked="0" hidden="1"/>
    </xf>
    <xf numFmtId="166" fontId="17" fillId="0" borderId="0" xfId="0" applyFont="1" applyFill="1" applyAlignment="1">
      <alignment horizontal="centerContinuous"/>
      <protection locked="0" hidden="1"/>
    </xf>
    <xf numFmtId="165" fontId="30" fillId="0" borderId="9" xfId="0" applyNumberFormat="1" applyFont="1" applyFill="1" applyBorder="1" applyAlignment="1">
      <alignment horizontal="right" indent="1"/>
      <protection locked="0" hidden="1"/>
    </xf>
    <xf numFmtId="165" fontId="38" fillId="0" borderId="9" xfId="0" applyNumberFormat="1" applyFont="1" applyFill="1" applyBorder="1" applyAlignment="1">
      <alignment horizontal="right" indent="1"/>
      <protection locked="0" hidden="1"/>
    </xf>
    <xf numFmtId="165" fontId="30" fillId="0" borderId="11" xfId="0" applyNumberFormat="1" applyFont="1" applyFill="1" applyBorder="1" applyAlignment="1">
      <alignment horizontal="right" indent="1"/>
      <protection locked="0" hidden="1"/>
    </xf>
    <xf numFmtId="165" fontId="38" fillId="0" borderId="11" xfId="0" applyNumberFormat="1" applyFont="1" applyFill="1" applyBorder="1" applyAlignment="1">
      <alignment horizontal="right" indent="1"/>
      <protection locked="0" hidden="1"/>
    </xf>
    <xf numFmtId="166" fontId="22" fillId="0" borderId="0" xfId="0" applyFont="1" applyFill="1" applyAlignment="1">
      <protection locked="0" hidden="1"/>
    </xf>
    <xf numFmtId="166" fontId="8" fillId="0" borderId="0" xfId="0" applyFont="1" applyFill="1" applyAlignment="1">
      <alignment horizontal="centerContinuous" wrapText="1"/>
      <protection locked="0" hidden="1"/>
    </xf>
    <xf numFmtId="166" fontId="8" fillId="0" borderId="0" xfId="0" applyFont="1" applyFill="1" applyAlignment="1">
      <alignment wrapText="1"/>
      <protection locked="0" hidden="1"/>
    </xf>
    <xf numFmtId="166" fontId="10" fillId="0" borderId="0" xfId="0" applyFont="1" applyFill="1" applyAlignment="1">
      <alignment horizontal="right"/>
      <protection locked="0" hidden="1"/>
    </xf>
    <xf numFmtId="166" fontId="19" fillId="0" borderId="2" xfId="0" applyFont="1" applyFill="1" applyBorder="1" applyAlignment="1">
      <alignment horizontal="centerContinuous" vertical="center"/>
      <protection locked="0" hidden="1"/>
    </xf>
    <xf numFmtId="166" fontId="21" fillId="0" borderId="7" xfId="0" applyFont="1" applyFill="1" applyBorder="1" applyAlignment="1">
      <alignment horizontal="centerContinuous" vertical="center"/>
      <protection locked="0" hidden="1"/>
    </xf>
    <xf numFmtId="166" fontId="21" fillId="0" borderId="21" xfId="0" applyFont="1" applyFill="1" applyBorder="1" applyAlignment="1">
      <alignment horizontal="left" vertical="center" indent="2"/>
      <protection locked="0" hidden="1"/>
    </xf>
    <xf numFmtId="166" fontId="21" fillId="0" borderId="5" xfId="0" applyFont="1" applyFill="1" applyBorder="1" applyAlignment="1">
      <alignment vertical="center"/>
      <protection locked="0" hidden="1"/>
    </xf>
    <xf numFmtId="166" fontId="19" fillId="0" borderId="5" xfId="0" applyFont="1" applyFill="1" applyBorder="1" applyAlignment="1">
      <alignment vertical="center"/>
      <protection locked="0" hidden="1"/>
    </xf>
    <xf numFmtId="166" fontId="19" fillId="0" borderId="6" xfId="0" applyFont="1" applyFill="1" applyBorder="1" applyAlignment="1">
      <alignment horizontal="right" vertical="center" indent="2"/>
      <protection locked="0" hidden="1"/>
    </xf>
    <xf numFmtId="166" fontId="19" fillId="0" borderId="22" xfId="0" applyFont="1" applyFill="1" applyBorder="1" applyAlignment="1">
      <alignment horizontal="right" vertical="center" indent="2"/>
      <protection locked="0" hidden="1"/>
    </xf>
    <xf numFmtId="166" fontId="19" fillId="0" borderId="12" xfId="0" applyFont="1" applyFill="1" applyBorder="1" applyAlignment="1">
      <alignment horizontal="center" vertical="center"/>
      <protection locked="0" hidden="1"/>
    </xf>
    <xf numFmtId="166" fontId="14" fillId="0" borderId="1" xfId="0" applyFont="1" applyFill="1" applyBorder="1" applyAlignment="1">
      <alignment horizontal="centerContinuous"/>
      <protection locked="0" hidden="1"/>
    </xf>
    <xf numFmtId="166" fontId="12" fillId="0" borderId="9" xfId="0" applyFont="1" applyFill="1" applyBorder="1" applyAlignment="1">
      <alignment horizontal="centerContinuous"/>
      <protection locked="0" hidden="1"/>
    </xf>
    <xf numFmtId="166" fontId="19" fillId="0" borderId="11" xfId="0" applyFont="1" applyFill="1" applyBorder="1" applyAlignment="1">
      <alignment horizontal="center"/>
      <protection locked="0" hidden="1"/>
    </xf>
    <xf numFmtId="166" fontId="19" fillId="0" borderId="9" xfId="0" applyFont="1" applyFill="1" applyBorder="1" applyAlignment="1">
      <alignment horizontal="center"/>
      <protection locked="0" hidden="1"/>
    </xf>
    <xf numFmtId="166" fontId="19" fillId="0" borderId="12" xfId="0" applyFont="1" applyFill="1" applyBorder="1" applyAlignment="1">
      <alignment horizontal="center"/>
      <protection locked="0" hidden="1"/>
    </xf>
    <xf numFmtId="166" fontId="19" fillId="0" borderId="6" xfId="0" applyFont="1" applyFill="1" applyBorder="1" applyAlignment="1">
      <alignment horizontal="center" wrapText="1"/>
      <protection locked="0" hidden="1"/>
    </xf>
    <xf numFmtId="166" fontId="19" fillId="0" borderId="9" xfId="0" applyFont="1" applyFill="1" applyBorder="1" applyAlignment="1">
      <alignment horizontal="center" wrapText="1"/>
      <protection locked="0" hidden="1"/>
    </xf>
    <xf numFmtId="166" fontId="21" fillId="0" borderId="4" xfId="0" applyFont="1" applyFill="1" applyBorder="1" applyAlignment="1">
      <alignment horizontal="centerContinuous" vertical="top"/>
      <protection locked="0" hidden="1"/>
    </xf>
    <xf numFmtId="166" fontId="21" fillId="0" borderId="3" xfId="0" applyFont="1" applyFill="1" applyBorder="1" applyAlignment="1">
      <alignment horizontal="centerContinuous" vertical="top"/>
      <protection locked="0" hidden="1"/>
    </xf>
    <xf numFmtId="166" fontId="21" fillId="0" borderId="8" xfId="0" applyFont="1" applyFill="1" applyBorder="1" applyAlignment="1">
      <alignment horizontal="center" vertical="center" wrapText="1"/>
      <protection locked="0" hidden="1"/>
    </xf>
    <xf numFmtId="166" fontId="21" fillId="0" borderId="10" xfId="0" applyFont="1" applyFill="1" applyBorder="1" applyAlignment="1">
      <alignment horizontal="center" vertical="center" wrapText="1"/>
      <protection locked="0" hidden="1"/>
    </xf>
    <xf numFmtId="166" fontId="21" fillId="0" borderId="4" xfId="0" applyFont="1" applyFill="1" applyBorder="1" applyAlignment="1">
      <alignment horizontal="centerContinuous" vertical="center"/>
      <protection locked="0" hidden="1"/>
    </xf>
    <xf numFmtId="166" fontId="8" fillId="0" borderId="0" xfId="0" applyFont="1" applyFill="1" applyAlignment="1">
      <alignment horizontal="center" vertical="center"/>
      <protection locked="0" hidden="1"/>
    </xf>
    <xf numFmtId="166" fontId="0" fillId="0" borderId="0" xfId="0" applyFill="1" applyAlignment="1">
      <alignment horizontal="center" vertical="center"/>
      <protection locked="0" hidden="1"/>
    </xf>
    <xf numFmtId="166" fontId="8" fillId="0" borderId="7" xfId="0" applyFont="1" applyFill="1" applyBorder="1" applyAlignment="1">
      <alignment wrapText="1"/>
      <protection locked="0" hidden="1"/>
    </xf>
    <xf numFmtId="166" fontId="8" fillId="0" borderId="7" xfId="0" applyFont="1" applyFill="1" applyBorder="1" applyAlignment="1">
      <alignment horizontal="right" wrapText="1"/>
      <protection locked="0" hidden="1"/>
    </xf>
    <xf numFmtId="166" fontId="0" fillId="0" borderId="7" xfId="0" applyFill="1" applyBorder="1" applyAlignment="1">
      <alignment horizontal="right" readingOrder="2"/>
      <protection locked="0" hidden="1"/>
    </xf>
    <xf numFmtId="166" fontId="0" fillId="0" borderId="0" xfId="0" applyFill="1" applyAlignment="1">
      <alignment horizontal="right" indent="1" readingOrder="2"/>
      <protection locked="0" hidden="1"/>
    </xf>
    <xf numFmtId="1" fontId="28" fillId="0" borderId="0" xfId="0" applyNumberFormat="1" applyFont="1" applyFill="1" applyAlignment="1">
      <alignment horizontal="center" vertical="center" textRotation="90"/>
      <protection locked="0" hidden="1"/>
    </xf>
    <xf numFmtId="166" fontId="28" fillId="0" borderId="0" xfId="0" applyFont="1" applyFill="1" applyAlignment="1">
      <protection locked="0" hidden="1"/>
    </xf>
    <xf numFmtId="0" fontId="44" fillId="0" borderId="3" xfId="0" applyNumberFormat="1" applyFont="1" applyFill="1" applyBorder="1" applyAlignment="1" applyProtection="1">
      <alignment vertical="top"/>
    </xf>
    <xf numFmtId="166" fontId="44" fillId="0" borderId="3" xfId="0" applyFont="1" applyFill="1" applyBorder="1" applyAlignment="1">
      <protection locked="0" hidden="1"/>
    </xf>
    <xf numFmtId="166" fontId="28" fillId="0" borderId="3" xfId="0" applyFont="1" applyFill="1" applyBorder="1" applyAlignment="1">
      <alignment horizontal="left"/>
      <protection locked="0" hidden="1"/>
    </xf>
    <xf numFmtId="0" fontId="28" fillId="0" borderId="3" xfId="0" applyNumberFormat="1" applyFont="1" applyFill="1" applyBorder="1" applyAlignment="1" applyProtection="1">
      <alignment horizontal="centerContinuous" vertical="top" wrapText="1"/>
    </xf>
    <xf numFmtId="0" fontId="28" fillId="0" borderId="3" xfId="0" applyNumberFormat="1" applyFont="1" applyFill="1" applyBorder="1" applyAlignment="1" applyProtection="1">
      <alignment vertical="top" wrapText="1"/>
    </xf>
    <xf numFmtId="0" fontId="28" fillId="0" borderId="0" xfId="0" applyNumberFormat="1" applyFont="1" applyFill="1" applyAlignment="1" applyProtection="1">
      <alignment vertical="top"/>
    </xf>
    <xf numFmtId="0" fontId="28" fillId="0" borderId="3" xfId="0" applyNumberFormat="1" applyFont="1" applyFill="1" applyBorder="1" applyAlignment="1" applyProtection="1">
      <alignment horizontal="centerContinuous" vertical="top"/>
    </xf>
    <xf numFmtId="0" fontId="28" fillId="0" borderId="5" xfId="0" applyNumberFormat="1" applyFont="1" applyFill="1" applyBorder="1" applyAlignment="1" applyProtection="1">
      <alignment vertical="top"/>
    </xf>
    <xf numFmtId="0" fontId="28" fillId="0" borderId="15" xfId="0" applyNumberFormat="1" applyFont="1" applyFill="1" applyBorder="1" applyAlignment="1" applyProtection="1">
      <alignment vertical="top" wrapText="1"/>
    </xf>
    <xf numFmtId="0" fontId="44" fillId="0" borderId="3" xfId="0" applyNumberFormat="1" applyFont="1" applyFill="1" applyBorder="1" applyAlignment="1" applyProtection="1">
      <alignment horizontal="centerContinuous" vertical="top"/>
    </xf>
    <xf numFmtId="0" fontId="25" fillId="0" borderId="0" xfId="0" applyNumberFormat="1" applyFont="1" applyFill="1" applyAlignment="1" applyProtection="1">
      <alignment vertical="top"/>
    </xf>
    <xf numFmtId="0" fontId="25" fillId="0" borderId="3" xfId="0" applyNumberFormat="1" applyFont="1" applyFill="1" applyBorder="1" applyAlignment="1" applyProtection="1">
      <alignment vertical="center"/>
    </xf>
    <xf numFmtId="0" fontId="26" fillId="0" borderId="3" xfId="0" applyNumberFormat="1" applyFont="1" applyFill="1" applyBorder="1" applyAlignment="1" applyProtection="1">
      <alignment horizontal="centerContinuous" vertical="center"/>
    </xf>
    <xf numFmtId="0" fontId="26" fillId="0" borderId="15" xfId="0" applyNumberFormat="1" applyFont="1" applyFill="1" applyBorder="1" applyAlignment="1" applyProtection="1">
      <alignment horizontal="center" vertical="top" wrapText="1"/>
    </xf>
    <xf numFmtId="0" fontId="26" fillId="0" borderId="11" xfId="0" applyNumberFormat="1" applyFont="1" applyFill="1" applyBorder="1" applyAlignment="1" applyProtection="1">
      <alignment horizontal="center" wrapText="1"/>
    </xf>
    <xf numFmtId="0" fontId="26" fillId="0" borderId="1" xfId="0" applyNumberFormat="1" applyFont="1" applyFill="1" applyBorder="1" applyAlignment="1" applyProtection="1">
      <alignment horizontal="centerContinuous"/>
    </xf>
    <xf numFmtId="0" fontId="25" fillId="0" borderId="9" xfId="0" applyNumberFormat="1" applyFont="1" applyFill="1" applyBorder="1" applyAlignment="1" applyProtection="1">
      <alignment horizontal="centerContinuous"/>
    </xf>
    <xf numFmtId="0" fontId="25" fillId="0" borderId="11" xfId="0" applyNumberFormat="1" applyFont="1" applyFill="1" applyBorder="1" applyAlignment="1" applyProtection="1">
      <alignment horizontal="center" vertical="top"/>
    </xf>
    <xf numFmtId="0" fontId="26" fillId="0" borderId="9" xfId="0" applyNumberFormat="1" applyFont="1" applyFill="1" applyBorder="1" applyAlignment="1" applyProtection="1">
      <alignment horizontal="center" vertical="top"/>
    </xf>
    <xf numFmtId="0" fontId="26" fillId="0" borderId="9" xfId="0" applyNumberFormat="1" applyFont="1" applyFill="1" applyBorder="1" applyAlignment="1" applyProtection="1">
      <alignment horizontal="centerContinuous" vertical="top"/>
    </xf>
    <xf numFmtId="0" fontId="25" fillId="0" borderId="9" xfId="0" applyNumberFormat="1" applyFont="1" applyFill="1" applyBorder="1" applyAlignment="1" applyProtection="1">
      <alignment horizontal="centerContinuous" vertical="top"/>
    </xf>
    <xf numFmtId="0" fontId="26" fillId="0" borderId="0" xfId="0" applyNumberFormat="1" applyFont="1" applyFill="1" applyAlignment="1" applyProtection="1">
      <alignment horizontal="center" vertical="top"/>
    </xf>
    <xf numFmtId="0" fontId="25" fillId="0" borderId="11" xfId="0" applyNumberFormat="1" applyFont="1" applyFill="1" applyBorder="1" applyAlignment="1" applyProtection="1">
      <alignment horizontal="centerContinuous" vertical="top"/>
    </xf>
    <xf numFmtId="0" fontId="26" fillId="0" borderId="9" xfId="0" applyNumberFormat="1" applyFont="1" applyFill="1" applyBorder="1" applyAlignment="1" applyProtection="1">
      <alignment horizontal="center" vertical="top" wrapText="1"/>
    </xf>
    <xf numFmtId="0" fontId="26" fillId="0" borderId="11" xfId="0" applyNumberFormat="1" applyFont="1" applyFill="1" applyBorder="1" applyAlignment="1" applyProtection="1">
      <alignment horizontal="center" vertical="top" readingOrder="2"/>
    </xf>
    <xf numFmtId="0" fontId="26" fillId="0" borderId="9" xfId="0" applyNumberFormat="1" applyFont="1" applyFill="1" applyBorder="1" applyAlignment="1" applyProtection="1">
      <alignment horizontal="center" vertical="top" readingOrder="2"/>
    </xf>
    <xf numFmtId="0" fontId="26" fillId="0" borderId="9" xfId="0" applyNumberFormat="1" applyFont="1" applyFill="1" applyBorder="1" applyAlignment="1" applyProtection="1">
      <alignment horizontal="centerContinuous" vertical="top" readingOrder="2"/>
    </xf>
    <xf numFmtId="0" fontId="26" fillId="0" borderId="0" xfId="0" applyNumberFormat="1" applyFont="1" applyFill="1" applyAlignment="1" applyProtection="1">
      <alignment horizontal="center" vertical="top" readingOrder="2"/>
    </xf>
    <xf numFmtId="0" fontId="25" fillId="0" borderId="15" xfId="0" applyNumberFormat="1" applyFont="1" applyFill="1" applyBorder="1" applyAlignment="1" applyProtection="1">
      <alignment horizontal="center" vertical="top"/>
    </xf>
    <xf numFmtId="0" fontId="26" fillId="0" borderId="11" xfId="0" applyNumberFormat="1" applyFont="1" applyFill="1" applyBorder="1" applyAlignment="1" applyProtection="1">
      <alignment horizontal="center" vertical="top"/>
    </xf>
    <xf numFmtId="0" fontId="25" fillId="0" borderId="1" xfId="0" applyNumberFormat="1" applyFont="1" applyFill="1" applyBorder="1" applyAlignment="1" applyProtection="1">
      <alignment horizontal="center"/>
    </xf>
    <xf numFmtId="0" fontId="25" fillId="0" borderId="11" xfId="0" applyNumberFormat="1" applyFont="1" applyFill="1" applyBorder="1" applyAlignment="1" applyProtection="1">
      <alignment horizontal="center" wrapText="1"/>
    </xf>
    <xf numFmtId="0" fontId="25" fillId="0" borderId="1" xfId="0" applyNumberFormat="1" applyFont="1" applyFill="1" applyBorder="1" applyAlignment="1" applyProtection="1">
      <alignment horizontal="centerContinuous"/>
    </xf>
    <xf numFmtId="0" fontId="25" fillId="0" borderId="15" xfId="0" applyNumberFormat="1" applyFont="1" applyFill="1" applyBorder="1" applyAlignment="1" applyProtection="1">
      <alignment horizontal="center" wrapText="1"/>
    </xf>
    <xf numFmtId="0" fontId="25" fillId="0" borderId="11" xfId="0" applyNumberFormat="1" applyFont="1" applyFill="1" applyBorder="1" applyAlignment="1" applyProtection="1">
      <alignment horizontal="center"/>
    </xf>
    <xf numFmtId="0" fontId="25" fillId="0" borderId="9" xfId="0" applyNumberFormat="1" applyFont="1" applyFill="1" applyBorder="1" applyAlignment="1" applyProtection="1">
      <alignment horizontal="center" wrapText="1"/>
    </xf>
    <xf numFmtId="0" fontId="33" fillId="0" borderId="0" xfId="0" applyNumberFormat="1" applyFont="1" applyFill="1" applyAlignment="1" applyProtection="1">
      <alignment horizontal="centerContinuous"/>
    </xf>
    <xf numFmtId="0" fontId="25" fillId="0" borderId="0" xfId="0" applyNumberFormat="1" applyFont="1" applyFill="1" applyAlignment="1" applyProtection="1"/>
    <xf numFmtId="0" fontId="25" fillId="0" borderId="8" xfId="0" applyNumberFormat="1" applyFont="1" applyFill="1" applyBorder="1" applyAlignment="1" applyProtection="1">
      <alignment horizontal="center" vertical="top" wrapText="1"/>
    </xf>
    <xf numFmtId="0" fontId="25" fillId="0" borderId="8" xfId="0" applyNumberFormat="1" applyFont="1" applyFill="1" applyBorder="1" applyAlignment="1" applyProtection="1">
      <alignment horizontal="center" vertical="top"/>
    </xf>
    <xf numFmtId="0" fontId="25" fillId="0" borderId="8" xfId="0" applyNumberFormat="1" applyFont="1" applyFill="1" applyBorder="1" applyAlignment="1" applyProtection="1">
      <alignment horizontal="centerContinuous" vertical="top" wrapText="1"/>
    </xf>
    <xf numFmtId="0" fontId="25" fillId="0" borderId="18" xfId="0" applyNumberFormat="1" applyFont="1" applyFill="1" applyBorder="1" applyAlignment="1" applyProtection="1">
      <alignment horizontal="center" vertical="top" wrapText="1"/>
    </xf>
    <xf numFmtId="0" fontId="33" fillId="0" borderId="0" xfId="0" applyNumberFormat="1" applyFont="1" applyFill="1" applyAlignment="1" applyProtection="1">
      <alignment horizontal="center" vertical="top"/>
    </xf>
    <xf numFmtId="0" fontId="33" fillId="0" borderId="0" xfId="0" applyNumberFormat="1" applyFont="1" applyFill="1" applyAlignment="1" applyProtection="1">
      <alignment horizontal="center"/>
    </xf>
    <xf numFmtId="0" fontId="33" fillId="0" borderId="7" xfId="0" applyNumberFormat="1" applyFont="1" applyFill="1" applyBorder="1" applyAlignment="1" applyProtection="1"/>
    <xf numFmtId="0" fontId="30" fillId="0" borderId="7" xfId="0" applyNumberFormat="1" applyFont="1" applyFill="1" applyBorder="1" applyAlignment="1" applyProtection="1">
      <alignment wrapText="1"/>
    </xf>
    <xf numFmtId="0" fontId="33" fillId="0" borderId="7" xfId="0" applyNumberFormat="1" applyFont="1" applyFill="1" applyBorder="1" applyAlignment="1" applyProtection="1">
      <alignment wrapText="1"/>
    </xf>
    <xf numFmtId="0" fontId="33" fillId="0" borderId="7" xfId="0" applyNumberFormat="1" applyFont="1" applyFill="1" applyBorder="1" applyAlignment="1" applyProtection="1">
      <alignment horizontal="right" wrapText="1"/>
    </xf>
    <xf numFmtId="0" fontId="45" fillId="0" borderId="7" xfId="0" applyNumberFormat="1" applyFont="1" applyFill="1" applyBorder="1" applyAlignment="1" applyProtection="1">
      <alignment horizontal="right" readingOrder="2"/>
    </xf>
    <xf numFmtId="0" fontId="33" fillId="0" borderId="0" xfId="0" applyNumberFormat="1" applyFont="1" applyFill="1" applyAlignment="1" applyProtection="1">
      <alignment wrapText="1"/>
    </xf>
    <xf numFmtId="0" fontId="30" fillId="0" borderId="0" xfId="0" applyNumberFormat="1" applyFont="1" applyFill="1" applyAlignment="1" applyProtection="1">
      <alignment wrapText="1"/>
    </xf>
    <xf numFmtId="0" fontId="45" fillId="0" borderId="0" xfId="0" applyNumberFormat="1" applyFont="1" applyFill="1" applyAlignment="1" applyProtection="1">
      <alignment horizontal="right" readingOrder="2"/>
    </xf>
    <xf numFmtId="0" fontId="30" fillId="0" borderId="0" xfId="0" applyNumberFormat="1" applyFont="1" applyFill="1" applyAlignment="1" applyProtection="1">
      <alignment horizontal="centerContinuous"/>
    </xf>
    <xf numFmtId="22" fontId="47" fillId="0" borderId="0" xfId="0" applyNumberFormat="1" applyFont="1" applyFill="1" applyAlignment="1" applyProtection="1">
      <alignment horizontal="centerContinuous"/>
    </xf>
    <xf numFmtId="0" fontId="28" fillId="0" borderId="0" xfId="0" applyNumberFormat="1" applyFont="1" applyFill="1" applyAlignment="1" applyProtection="1">
      <alignment horizontal="centerContinuous"/>
    </xf>
    <xf numFmtId="166" fontId="46" fillId="0" borderId="0" xfId="0" applyFont="1" applyFill="1" applyAlignment="1">
      <protection locked="0" hidden="1"/>
    </xf>
    <xf numFmtId="166" fontId="28" fillId="0" borderId="0" xfId="0" applyFont="1" applyFill="1" applyAlignment="1">
      <alignment horizontal="left"/>
      <protection locked="0" hidden="1"/>
    </xf>
    <xf numFmtId="166" fontId="28" fillId="0" borderId="0" xfId="0" applyFont="1" applyFill="1" applyAlignment="1">
      <alignment horizontal="centerContinuous"/>
      <protection locked="0" hidden="1"/>
    </xf>
    <xf numFmtId="166" fontId="26" fillId="0" borderId="20" xfId="0" applyFont="1" applyFill="1" applyBorder="1" applyAlignment="1">
      <alignment horizontal="center" vertical="top"/>
      <protection locked="0" hidden="1"/>
    </xf>
    <xf numFmtId="166" fontId="25" fillId="0" borderId="1" xfId="0" applyFont="1" applyFill="1" applyBorder="1" applyAlignment="1">
      <alignment vertical="top"/>
      <protection locked="0" hidden="1"/>
    </xf>
    <xf numFmtId="166" fontId="25" fillId="0" borderId="0" xfId="0" applyFont="1" applyFill="1" applyAlignment="1">
      <alignment vertical="top"/>
      <protection locked="0" hidden="1"/>
    </xf>
    <xf numFmtId="166" fontId="26" fillId="0" borderId="1" xfId="0" applyFont="1" applyFill="1" applyBorder="1" applyAlignment="1">
      <alignment horizontal="center" vertical="top"/>
      <protection locked="0" hidden="1"/>
    </xf>
    <xf numFmtId="166" fontId="26" fillId="0" borderId="11" xfId="0" applyFont="1" applyFill="1" applyBorder="1" applyAlignment="1">
      <alignment horizontal="center" vertical="top"/>
      <protection locked="0" hidden="1"/>
    </xf>
    <xf numFmtId="166" fontId="26" fillId="0" borderId="11" xfId="0" applyFont="1" applyFill="1" applyBorder="1" applyAlignment="1">
      <alignment horizontal="centerContinuous" vertical="top"/>
      <protection locked="0" hidden="1"/>
    </xf>
    <xf numFmtId="166" fontId="25" fillId="0" borderId="9" xfId="0" applyFont="1" applyFill="1" applyBorder="1" applyAlignment="1">
      <alignment horizontal="centerContinuous" vertical="top"/>
      <protection locked="0" hidden="1"/>
    </xf>
    <xf numFmtId="166" fontId="25" fillId="0" borderId="11" xfId="0" applyFont="1" applyFill="1" applyBorder="1" applyAlignment="1">
      <alignment vertical="top"/>
      <protection locked="0" hidden="1"/>
    </xf>
    <xf numFmtId="166" fontId="26" fillId="0" borderId="6" xfId="0" applyFont="1" applyFill="1" applyBorder="1" applyAlignment="1">
      <alignment horizontal="centerContinuous" vertical="top"/>
      <protection locked="0" hidden="1"/>
    </xf>
    <xf numFmtId="166" fontId="25" fillId="0" borderId="6" xfId="0" applyFont="1" applyFill="1" applyBorder="1" applyAlignment="1">
      <alignment horizontal="centerContinuous" vertical="top"/>
      <protection locked="0" hidden="1"/>
    </xf>
    <xf numFmtId="166" fontId="26" fillId="0" borderId="19" xfId="0" applyFont="1" applyFill="1" applyBorder="1" applyAlignment="1">
      <alignment horizontal="center"/>
      <protection locked="0" hidden="1"/>
    </xf>
    <xf numFmtId="166" fontId="26" fillId="0" borderId="11" xfId="0" applyFont="1" applyFill="1" applyBorder="1" applyAlignment="1">
      <alignment horizontal="center" vertical="top" readingOrder="2"/>
      <protection locked="0" hidden="1"/>
    </xf>
    <xf numFmtId="166" fontId="26" fillId="0" borderId="9" xfId="0" applyFont="1" applyFill="1" applyBorder="1" applyAlignment="1">
      <alignment horizontal="center" vertical="top"/>
      <protection locked="0" hidden="1"/>
    </xf>
    <xf numFmtId="166" fontId="26" fillId="0" borderId="19" xfId="0" applyFont="1" applyFill="1" applyBorder="1" applyAlignment="1">
      <alignment horizontal="center" vertical="top"/>
      <protection locked="0" hidden="1"/>
    </xf>
    <xf numFmtId="166" fontId="25" fillId="0" borderId="20" xfId="0" applyFont="1" applyFill="1" applyBorder="1" applyAlignment="1">
      <alignment horizontal="center" vertical="top"/>
      <protection locked="0" hidden="1"/>
    </xf>
    <xf numFmtId="166" fontId="25" fillId="0" borderId="1" xfId="0" applyFont="1" applyFill="1" applyBorder="1" applyAlignment="1">
      <alignment horizontal="centerContinuous" vertical="top"/>
      <protection locked="0" hidden="1"/>
    </xf>
    <xf numFmtId="166" fontId="25" fillId="0" borderId="0" xfId="0" applyFont="1" applyFill="1" applyAlignment="1">
      <alignment horizontal="centerContinuous" vertical="top"/>
      <protection locked="0" hidden="1"/>
    </xf>
    <xf numFmtId="166" fontId="25" fillId="0" borderId="9" xfId="0" applyFont="1" applyFill="1" applyBorder="1" applyAlignment="1">
      <alignment horizontal="center" vertical="top"/>
      <protection locked="0" hidden="1"/>
    </xf>
    <xf numFmtId="166" fontId="25" fillId="0" borderId="11" xfId="0" applyFont="1" applyFill="1" applyBorder="1" applyAlignment="1">
      <alignment horizontal="center" vertical="top"/>
      <protection locked="0" hidden="1"/>
    </xf>
    <xf numFmtId="166" fontId="25" fillId="0" borderId="11" xfId="0" applyFont="1" applyFill="1" applyBorder="1" applyAlignment="1">
      <alignment horizontal="centerContinuous" vertical="top"/>
      <protection locked="0" hidden="1"/>
    </xf>
    <xf numFmtId="166" fontId="25" fillId="0" borderId="19" xfId="0" applyFont="1" applyFill="1" applyBorder="1" applyAlignment="1">
      <alignment horizontal="center" vertical="top"/>
      <protection locked="0" hidden="1"/>
    </xf>
    <xf numFmtId="166" fontId="25" fillId="0" borderId="4" xfId="0" applyFont="1" applyFill="1" applyBorder="1" applyAlignment="1">
      <alignment horizontal="centerContinuous" vertical="top"/>
      <protection locked="0" hidden="1"/>
    </xf>
    <xf numFmtId="166" fontId="25" fillId="0" borderId="3" xfId="0" applyFont="1" applyFill="1" applyBorder="1" applyAlignment="1">
      <alignment horizontal="centerContinuous" vertical="top"/>
      <protection locked="0" hidden="1"/>
    </xf>
    <xf numFmtId="166" fontId="25" fillId="0" borderId="8" xfId="0" applyFont="1" applyFill="1" applyBorder="1" applyAlignment="1">
      <alignment horizontal="center" vertical="top"/>
      <protection locked="0" hidden="1"/>
    </xf>
    <xf numFmtId="166" fontId="25" fillId="0" borderId="3" xfId="0" applyFont="1" applyFill="1" applyBorder="1" applyAlignment="1">
      <alignment horizontal="center" vertical="top"/>
      <protection locked="0" hidden="1"/>
    </xf>
    <xf numFmtId="166" fontId="25" fillId="0" borderId="17" xfId="0" applyFont="1" applyFill="1" applyBorder="1" applyAlignment="1">
      <alignment horizontal="center" vertical="top"/>
      <protection locked="0" hidden="1"/>
    </xf>
    <xf numFmtId="166" fontId="33" fillId="0" borderId="0" xfId="0" applyFont="1" applyFill="1" applyAlignment="1">
      <alignment horizontal="center" vertical="top"/>
      <protection locked="0" hidden="1"/>
    </xf>
    <xf numFmtId="166" fontId="33" fillId="0" borderId="7" xfId="0" applyFont="1" applyFill="1" applyBorder="1" applyAlignment="1">
      <alignment horizontal="left"/>
      <protection locked="0" hidden="1"/>
    </xf>
    <xf numFmtId="166" fontId="45" fillId="0" borderId="7" xfId="0" applyFont="1" applyFill="1" applyBorder="1" applyAlignment="1">
      <alignment horizontal="right" readingOrder="2"/>
      <protection locked="0" hidden="1"/>
    </xf>
    <xf numFmtId="166" fontId="33" fillId="0" borderId="0" xfId="0" applyFont="1" applyFill="1" applyAlignment="1">
      <alignment horizontal="centerContinuous"/>
      <protection locked="0" hidden="1"/>
    </xf>
    <xf numFmtId="165" fontId="28" fillId="0" borderId="0" xfId="0" applyNumberFormat="1" applyFont="1" applyFill="1" applyAlignment="1">
      <protection locked="0" hidden="1"/>
    </xf>
    <xf numFmtId="166" fontId="45" fillId="0" borderId="0" xfId="0" applyFont="1" applyFill="1" applyAlignment="1">
      <alignment horizontal="right" readingOrder="2"/>
      <protection locked="0" hidden="1"/>
    </xf>
    <xf numFmtId="22" fontId="33" fillId="0" borderId="0" xfId="0" applyNumberFormat="1" applyFont="1" applyFill="1" applyAlignment="1">
      <alignment horizontal="left"/>
      <protection locked="0" hidden="1"/>
    </xf>
    <xf numFmtId="166" fontId="33" fillId="0" borderId="0" xfId="0" applyFont="1" applyFill="1" applyAlignment="1">
      <alignment horizontal="left"/>
      <protection locked="0" hidden="1"/>
    </xf>
    <xf numFmtId="166" fontId="26" fillId="0" borderId="11" xfId="0" applyFont="1" applyFill="1" applyBorder="1" applyAlignment="1">
      <alignment horizontal="center"/>
      <protection locked="0" hidden="1"/>
    </xf>
    <xf numFmtId="166" fontId="25" fillId="0" borderId="10" xfId="0" applyFont="1" applyFill="1" applyBorder="1" applyAlignment="1">
      <alignment vertical="top"/>
      <protection locked="0" hidden="1"/>
    </xf>
    <xf numFmtId="166" fontId="25" fillId="0" borderId="8" xfId="0" applyFont="1" applyFill="1" applyBorder="1" applyAlignment="1">
      <alignment vertical="top"/>
      <protection locked="0" hidden="1"/>
    </xf>
    <xf numFmtId="166" fontId="25" fillId="0" borderId="14" xfId="0" applyFont="1" applyFill="1" applyBorder="1" applyAlignment="1">
      <alignment vertical="top"/>
      <protection locked="0" hidden="1"/>
    </xf>
    <xf numFmtId="22" fontId="33" fillId="0" borderId="0" xfId="0" applyNumberFormat="1" applyFont="1" applyFill="1" applyAlignment="1">
      <alignment horizontal="centerContinuous"/>
      <protection locked="0" hidden="1"/>
    </xf>
    <xf numFmtId="165" fontId="28" fillId="0" borderId="0" xfId="0" applyNumberFormat="1" applyFont="1" applyFill="1" applyAlignment="1">
      <alignment horizontal="centerContinuous"/>
      <protection locked="0" hidden="1"/>
    </xf>
    <xf numFmtId="166" fontId="30" fillId="0" borderId="0" xfId="0" applyFont="1" applyFill="1" applyAlignment="1">
      <alignment horizontal="centerContinuous"/>
      <protection locked="0" hidden="1"/>
    </xf>
    <xf numFmtId="206" fontId="16" fillId="0" borderId="0" xfId="0" applyNumberFormat="1" applyFont="1" applyFill="1" applyAlignment="1">
      <protection locked="0" hidden="1"/>
    </xf>
    <xf numFmtId="166" fontId="49" fillId="0" borderId="0" xfId="0" applyFont="1" applyFill="1" applyAlignment="1">
      <alignment horizontal="centerContinuous"/>
      <protection locked="0" hidden="1"/>
    </xf>
    <xf numFmtId="166" fontId="29" fillId="0" borderId="0" xfId="0" applyFont="1" applyFill="1" applyAlignment="1">
      <alignment horizontal="left"/>
      <protection locked="0" hidden="1"/>
    </xf>
    <xf numFmtId="22" fontId="29" fillId="0" borderId="0" xfId="0" applyNumberFormat="1" applyFont="1" applyFill="1" applyAlignment="1">
      <alignment horizontal="left"/>
      <protection locked="0" hidden="1"/>
    </xf>
    <xf numFmtId="164" fontId="16" fillId="0" borderId="0" xfId="0" applyNumberFormat="1" applyFont="1" applyFill="1" applyAlignment="1">
      <protection locked="0" hidden="1"/>
    </xf>
    <xf numFmtId="198" fontId="16" fillId="0" borderId="0" xfId="0" applyNumberFormat="1" applyFont="1" applyFill="1" applyAlignment="1">
      <protection locked="0" hidden="1"/>
    </xf>
    <xf numFmtId="166" fontId="35" fillId="0" borderId="0" xfId="0" applyFont="1" applyFill="1" applyAlignment="1">
      <alignment horizontal="right" indent="2"/>
      <protection locked="0" hidden="1"/>
    </xf>
    <xf numFmtId="166" fontId="33" fillId="0" borderId="0" xfId="0" applyFont="1" applyFill="1" applyAlignment="1">
      <alignment horizontal="right" indent="2"/>
      <protection locked="0" hidden="1"/>
    </xf>
    <xf numFmtId="0" fontId="0" fillId="0" borderId="7" xfId="0" applyNumberFormat="1" applyFill="1" applyBorder="1" applyAlignment="1" applyProtection="1">
      <alignment vertical="top"/>
    </xf>
    <xf numFmtId="0" fontId="6" fillId="0" borderId="7" xfId="0" applyNumberFormat="1" applyFont="1" applyFill="1" applyBorder="1" applyAlignment="1" applyProtection="1"/>
    <xf numFmtId="166" fontId="8" fillId="0" borderId="0" xfId="0" applyFont="1" applyFill="1" applyAlignment="1">
      <alignment horizontal="left" indent="1"/>
      <protection locked="0" hidden="1"/>
    </xf>
    <xf numFmtId="166" fontId="21" fillId="0" borderId="1" xfId="0" applyFont="1" applyFill="1" applyBorder="1" applyAlignment="1">
      <alignment horizontal="left" vertical="top"/>
      <protection locked="0" hidden="1"/>
    </xf>
    <xf numFmtId="166" fontId="18" fillId="0" borderId="0" xfId="0" applyFont="1" applyFill="1" applyAlignment="1">
      <alignment horizontal="left"/>
      <protection locked="0" hidden="1"/>
    </xf>
    <xf numFmtId="166" fontId="22" fillId="0" borderId="0" xfId="0" applyFont="1" applyFill="1" applyAlignment="1">
      <alignment horizontal="centerContinuous" wrapText="1"/>
      <protection locked="0" hidden="1"/>
    </xf>
    <xf numFmtId="166" fontId="22" fillId="0" borderId="0" xfId="0" applyFont="1" applyFill="1" applyAlignment="1">
      <alignment wrapText="1"/>
      <protection locked="0" hidden="1"/>
    </xf>
    <xf numFmtId="166" fontId="20" fillId="0" borderId="0" xfId="0" applyFont="1" applyFill="1" applyAlignment="1">
      <protection locked="0" hidden="1"/>
    </xf>
    <xf numFmtId="166" fontId="7" fillId="0" borderId="21" xfId="0" applyFont="1" applyFill="1" applyBorder="1" applyAlignment="1">
      <alignment horizontal="left" vertical="center" indent="4"/>
      <protection locked="0" hidden="1"/>
    </xf>
    <xf numFmtId="166" fontId="11" fillId="0" borderId="5" xfId="0" applyFont="1" applyFill="1" applyBorder="1" applyAlignment="1">
      <alignment horizontal="right" vertical="center" indent="4"/>
      <protection locked="0" hidden="1"/>
    </xf>
    <xf numFmtId="166" fontId="12" fillId="0" borderId="24" xfId="0" applyFont="1" applyFill="1" applyBorder="1" applyAlignment="1">
      <alignment vertical="center"/>
      <protection locked="0" hidden="1"/>
    </xf>
    <xf numFmtId="166" fontId="11" fillId="0" borderId="22" xfId="0" applyFont="1" applyFill="1" applyBorder="1" applyAlignment="1">
      <alignment horizontal="right" vertical="center" indent="4"/>
      <protection locked="0" hidden="1"/>
    </xf>
    <xf numFmtId="166" fontId="18" fillId="0" borderId="0" xfId="0" applyFont="1" applyFill="1" applyAlignment="1">
      <alignment horizontal="right" readingOrder="2"/>
      <protection locked="0" hidden="1"/>
    </xf>
    <xf numFmtId="166" fontId="52" fillId="0" borderId="0" xfId="0" applyFont="1" applyFill="1" applyAlignment="1">
      <protection locked="0" hidden="1"/>
    </xf>
    <xf numFmtId="166" fontId="11" fillId="0" borderId="5" xfId="0" applyFont="1" applyFill="1" applyBorder="1" applyAlignment="1">
      <alignment horizontal="right" vertical="center" indent="4" readingOrder="2"/>
      <protection locked="0" hidden="1"/>
    </xf>
    <xf numFmtId="166" fontId="12" fillId="0" borderId="24" xfId="0" applyFont="1" applyFill="1" applyBorder="1" applyAlignment="1">
      <alignment vertical="center" readingOrder="2"/>
      <protection locked="0" hidden="1"/>
    </xf>
    <xf numFmtId="166" fontId="7" fillId="0" borderId="5" xfId="0" applyFont="1" applyFill="1" applyBorder="1" applyAlignment="1">
      <alignment horizontal="left" vertical="center" indent="4"/>
      <protection locked="0" hidden="1"/>
    </xf>
    <xf numFmtId="166" fontId="11" fillId="0" borderId="22" xfId="0" applyFont="1" applyFill="1" applyBorder="1" applyAlignment="1">
      <alignment horizontal="right" vertical="center" indent="4" readingOrder="2"/>
      <protection locked="0" hidden="1"/>
    </xf>
    <xf numFmtId="166" fontId="53" fillId="0" borderId="3" xfId="0" applyFont="1" applyFill="1" applyBorder="1" applyAlignment="1">
      <protection locked="0" hidden="1"/>
    </xf>
    <xf numFmtId="0" fontId="14" fillId="0" borderId="1" xfId="0" applyNumberFormat="1" applyFont="1" applyFill="1" applyBorder="1" applyAlignment="1" applyProtection="1">
      <alignment horizontal="centerContinuous" vertical="center" readingOrder="2"/>
    </xf>
    <xf numFmtId="0" fontId="12" fillId="0" borderId="12" xfId="0" applyNumberFormat="1" applyFont="1" applyFill="1" applyBorder="1" applyAlignment="1" applyProtection="1"/>
    <xf numFmtId="166" fontId="14" fillId="0" borderId="9" xfId="0" applyFont="1" applyFill="1" applyBorder="1" applyAlignment="1">
      <alignment horizontal="center" vertical="top"/>
      <protection locked="0" hidden="1"/>
    </xf>
    <xf numFmtId="0" fontId="14" fillId="0" borderId="1" xfId="0" applyNumberFormat="1" applyFont="1" applyFill="1" applyBorder="1" applyAlignment="1" applyProtection="1">
      <alignment horizontal="center" readingOrder="2"/>
    </xf>
    <xf numFmtId="0" fontId="12" fillId="0" borderId="11" xfId="0" applyNumberFormat="1" applyFont="1" applyFill="1" applyBorder="1" applyAlignment="1" applyProtection="1">
      <alignment horizontal="center" vertical="center" readingOrder="1"/>
    </xf>
    <xf numFmtId="166" fontId="12" fillId="0" borderId="9" xfId="0" applyFont="1" applyFill="1" applyBorder="1" applyAlignment="1">
      <alignment horizontal="center" vertical="top"/>
      <protection locked="0" hidden="1"/>
    </xf>
    <xf numFmtId="0" fontId="12" fillId="0" borderId="1" xfId="0" applyNumberFormat="1" applyFont="1" applyFill="1" applyBorder="1" applyAlignment="1" applyProtection="1">
      <alignment horizontal="center" vertical="center" readingOrder="1"/>
    </xf>
    <xf numFmtId="0" fontId="12" fillId="0" borderId="1"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readingOrder="1"/>
    </xf>
    <xf numFmtId="167" fontId="12" fillId="0" borderId="8" xfId="0" applyNumberFormat="1" applyFont="1" applyFill="1" applyBorder="1" applyAlignment="1" applyProtection="1">
      <alignment horizontal="center"/>
    </xf>
    <xf numFmtId="176" fontId="30" fillId="0" borderId="11" xfId="0" applyNumberFormat="1" applyFont="1" applyFill="1" applyBorder="1" applyAlignment="1">
      <alignment horizontal="right"/>
      <protection locked="0" hidden="1"/>
    </xf>
    <xf numFmtId="166" fontId="5" fillId="0" borderId="7" xfId="0" applyFont="1" applyFill="1" applyBorder="1" applyAlignment="1">
      <protection locked="0" hidden="1"/>
    </xf>
    <xf numFmtId="0" fontId="0" fillId="0" borderId="7" xfId="0" applyNumberFormat="1" applyFill="1" applyBorder="1" applyAlignment="1" applyProtection="1">
      <alignment horizontal="right" readingOrder="2"/>
    </xf>
    <xf numFmtId="166" fontId="5" fillId="0" borderId="0" xfId="0" applyFont="1" applyFill="1" applyAlignment="1">
      <protection locked="0" hidden="1"/>
    </xf>
    <xf numFmtId="166" fontId="5" fillId="0" borderId="0" xfId="0" applyFont="1" applyFill="1" applyAlignment="1">
      <alignment horizontal="centerContinuous"/>
      <protection locked="0" hidden="1"/>
    </xf>
    <xf numFmtId="0" fontId="12" fillId="0" borderId="9" xfId="0" applyNumberFormat="1" applyFont="1" applyFill="1" applyBorder="1" applyAlignment="1" applyProtection="1">
      <alignment horizontal="center" vertical="center" readingOrder="1"/>
    </xf>
    <xf numFmtId="167" fontId="12" fillId="0" borderId="10" xfId="0" applyNumberFormat="1" applyFont="1" applyFill="1" applyBorder="1" applyAlignment="1" applyProtection="1">
      <alignment horizontal="center"/>
    </xf>
    <xf numFmtId="165" fontId="30" fillId="0" borderId="1" xfId="0" applyNumberFormat="1" applyFont="1" applyFill="1" applyBorder="1" applyAlignment="1">
      <alignment horizontal="right" indent="1" readingOrder="1"/>
      <protection locked="0" hidden="1"/>
    </xf>
    <xf numFmtId="165" fontId="30" fillId="0" borderId="11" xfId="0" applyNumberFormat="1" applyFont="1" applyFill="1" applyBorder="1" applyAlignment="1">
      <alignment horizontal="right" vertical="top" indent="1"/>
      <protection locked="0" hidden="1"/>
    </xf>
    <xf numFmtId="0" fontId="40" fillId="0" borderId="7" xfId="0" applyNumberFormat="1" applyFont="1" applyFill="1" applyBorder="1" applyAlignment="1" applyProtection="1"/>
    <xf numFmtId="166" fontId="77" fillId="0" borderId="1" xfId="0" applyFont="1" applyFill="1" applyBorder="1" applyAlignment="1">
      <alignment horizontal="left" vertical="top"/>
      <protection locked="0" hidden="1"/>
    </xf>
    <xf numFmtId="166" fontId="78" fillId="0" borderId="0" xfId="0" applyFont="1" applyFill="1" applyAlignment="1">
      <protection locked="0" hidden="1"/>
    </xf>
    <xf numFmtId="179" fontId="79" fillId="0" borderId="11" xfId="0" applyNumberFormat="1" applyFont="1" applyFill="1" applyBorder="1" applyAlignment="1">
      <alignment horizontal="right"/>
      <protection locked="0" hidden="1"/>
    </xf>
    <xf numFmtId="166" fontId="80" fillId="0" borderId="1" xfId="0" applyFont="1" applyFill="1" applyBorder="1" applyAlignment="1">
      <alignment horizontal="left"/>
      <protection locked="0" hidden="1"/>
    </xf>
    <xf numFmtId="166" fontId="80" fillId="0" borderId="0" xfId="0" applyFont="1" applyFill="1" applyAlignment="1">
      <alignment horizontal="left"/>
      <protection locked="0" hidden="1"/>
    </xf>
    <xf numFmtId="166" fontId="81" fillId="0" borderId="0" xfId="0" applyFont="1" applyFill="1" applyAlignment="1">
      <alignment vertical="top"/>
      <protection locked="0" hidden="1"/>
    </xf>
    <xf numFmtId="166" fontId="81" fillId="0" borderId="0" xfId="0" applyFont="1" applyFill="1" applyAlignment="1">
      <protection locked="0" hidden="1"/>
    </xf>
    <xf numFmtId="165" fontId="81" fillId="0" borderId="1" xfId="0" applyNumberFormat="1" applyFont="1" applyFill="1" applyBorder="1" applyAlignment="1">
      <alignment horizontal="right"/>
      <protection locked="0" hidden="1"/>
    </xf>
    <xf numFmtId="165" fontId="81" fillId="0" borderId="11" xfId="0" applyNumberFormat="1" applyFont="1" applyFill="1" applyBorder="1" applyAlignment="1">
      <alignment horizontal="right"/>
      <protection locked="0" hidden="1"/>
    </xf>
    <xf numFmtId="165" fontId="82" fillId="0" borderId="11" xfId="0" applyNumberFormat="1" applyFont="1" applyFill="1" applyBorder="1" applyAlignment="1">
      <alignment horizontal="right"/>
      <protection locked="0" hidden="1"/>
    </xf>
    <xf numFmtId="165" fontId="81" fillId="0" borderId="15" xfId="0" applyNumberFormat="1" applyFont="1" applyFill="1" applyBorder="1" applyAlignment="1">
      <alignment horizontal="right"/>
      <protection locked="0" hidden="1"/>
    </xf>
    <xf numFmtId="165" fontId="82" fillId="0" borderId="1" xfId="0" applyNumberFormat="1" applyFont="1" applyFill="1" applyBorder="1" applyAlignment="1">
      <alignment horizontal="right"/>
      <protection locked="0" hidden="1"/>
    </xf>
    <xf numFmtId="165" fontId="82" fillId="0" borderId="15" xfId="0" applyNumberFormat="1" applyFont="1" applyFill="1" applyBorder="1" applyAlignment="1">
      <alignment horizontal="right"/>
      <protection locked="0" hidden="1"/>
    </xf>
    <xf numFmtId="165" fontId="16" fillId="0" borderId="1" xfId="0" applyNumberFormat="1" applyFont="1" applyFill="1" applyBorder="1" applyAlignment="1">
      <alignment horizontal="right"/>
      <protection locked="0" hidden="1"/>
    </xf>
    <xf numFmtId="165" fontId="16" fillId="0" borderId="11" xfId="0" applyNumberFormat="1" applyFont="1" applyFill="1" applyBorder="1" applyAlignment="1">
      <alignment horizontal="right"/>
      <protection locked="0" hidden="1"/>
    </xf>
    <xf numFmtId="177" fontId="83" fillId="0" borderId="11" xfId="0" applyNumberFormat="1" applyFont="1" applyFill="1" applyBorder="1" applyAlignment="1">
      <protection locked="0" hidden="1"/>
    </xf>
    <xf numFmtId="165" fontId="81" fillId="0" borderId="0" xfId="0" applyNumberFormat="1" applyFont="1" applyFill="1" applyAlignment="1">
      <alignment horizontal="right"/>
      <protection locked="0" hidden="1"/>
    </xf>
    <xf numFmtId="167" fontId="79" fillId="0" borderId="1" xfId="0" applyNumberFormat="1" applyFont="1" applyFill="1" applyBorder="1" applyAlignment="1">
      <alignment horizontal="right"/>
      <protection locked="0" hidden="1"/>
    </xf>
    <xf numFmtId="185" fontId="79" fillId="0" borderId="11" xfId="0" applyNumberFormat="1" applyFont="1" applyFill="1" applyBorder="1" applyAlignment="1">
      <alignment horizontal="right"/>
      <protection locked="0" hidden="1"/>
    </xf>
    <xf numFmtId="179" fontId="79" fillId="0" borderId="9" xfId="0" applyNumberFormat="1" applyFont="1" applyFill="1" applyBorder="1" applyAlignment="1">
      <alignment horizontal="right"/>
      <protection locked="0" hidden="1"/>
    </xf>
    <xf numFmtId="177" fontId="79" fillId="0" borderId="11" xfId="0" applyNumberFormat="1" applyFont="1" applyFill="1" applyBorder="1" applyAlignment="1">
      <protection locked="0" hidden="1"/>
    </xf>
    <xf numFmtId="170" fontId="79" fillId="0" borderId="11" xfId="0" applyNumberFormat="1" applyFont="1" applyFill="1" applyBorder="1" applyAlignment="1">
      <alignment horizontal="right" indent="1"/>
      <protection locked="0" hidden="1"/>
    </xf>
    <xf numFmtId="178" fontId="79" fillId="0" borderId="11" xfId="0" applyNumberFormat="1" applyFont="1" applyFill="1" applyBorder="1" applyAlignment="1">
      <protection locked="0" hidden="1"/>
    </xf>
    <xf numFmtId="177" fontId="79" fillId="0" borderId="11" xfId="0" applyNumberFormat="1" applyFont="1" applyFill="1" applyBorder="1" applyAlignment="1">
      <alignment horizontal="right"/>
      <protection locked="0" hidden="1"/>
    </xf>
    <xf numFmtId="165" fontId="79" fillId="0" borderId="11" xfId="0" applyNumberFormat="1" applyFont="1" applyFill="1" applyBorder="1" applyAlignment="1">
      <alignment horizontal="right" indent="1"/>
      <protection locked="0" hidden="1"/>
    </xf>
    <xf numFmtId="166" fontId="6" fillId="0" borderId="0" xfId="0" applyFont="1" applyFill="1" applyAlignment="1">
      <alignment horizontal="centerContinuous"/>
      <protection locked="0" hidden="1"/>
    </xf>
    <xf numFmtId="166" fontId="8" fillId="0" borderId="3" xfId="0" applyFont="1" applyFill="1" applyBorder="1" applyAlignment="1">
      <protection locked="0" hidden="1"/>
    </xf>
    <xf numFmtId="166" fontId="6" fillId="0" borderId="3" xfId="0" applyFont="1" applyFill="1" applyBorder="1" applyAlignment="1">
      <protection locked="0" hidden="1"/>
    </xf>
    <xf numFmtId="166" fontId="6" fillId="0" borderId="3" xfId="0" applyFont="1" applyFill="1" applyBorder="1" applyAlignment="1">
      <alignment horizontal="centerContinuous"/>
      <protection locked="0" hidden="1"/>
    </xf>
    <xf numFmtId="166" fontId="10" fillId="0" borderId="3" xfId="0" applyFont="1" applyFill="1" applyBorder="1" applyAlignment="1">
      <alignment horizontal="right"/>
      <protection locked="0" hidden="1"/>
    </xf>
    <xf numFmtId="166" fontId="12" fillId="0" borderId="1" xfId="0" applyFont="1" applyFill="1" applyBorder="1" applyAlignment="1">
      <alignment horizontal="centerContinuous" vertical="center"/>
      <protection locked="0" hidden="1"/>
    </xf>
    <xf numFmtId="166" fontId="14" fillId="0" borderId="0" xfId="0" applyFont="1" applyFill="1" applyAlignment="1">
      <alignment horizontal="centerContinuous" vertical="center"/>
      <protection locked="0" hidden="1"/>
    </xf>
    <xf numFmtId="166" fontId="14" fillId="0" borderId="0" xfId="0" applyFont="1" applyFill="1" applyAlignment="1">
      <alignment vertical="center"/>
      <protection locked="0" hidden="1"/>
    </xf>
    <xf numFmtId="166" fontId="14" fillId="0" borderId="9" xfId="0" applyFont="1" applyFill="1" applyBorder="1" applyAlignment="1">
      <alignment horizontal="right" vertical="center" readingOrder="2"/>
      <protection locked="0" hidden="1"/>
    </xf>
    <xf numFmtId="166" fontId="14" fillId="0" borderId="1" xfId="0" applyFont="1" applyFill="1" applyBorder="1" applyAlignment="1">
      <alignment horizontal="centerContinuous" vertical="center" readingOrder="2"/>
      <protection locked="0" hidden="1"/>
    </xf>
    <xf numFmtId="166" fontId="12" fillId="0" borderId="9" xfId="0" applyFont="1" applyFill="1" applyBorder="1" applyAlignment="1">
      <alignment horizontal="centerContinuous" vertical="center"/>
      <protection locked="0" hidden="1"/>
    </xf>
    <xf numFmtId="166" fontId="14" fillId="0" borderId="2" xfId="0" applyFont="1" applyFill="1" applyBorder="1" applyAlignment="1">
      <alignment horizontal="center"/>
      <protection locked="0" hidden="1"/>
    </xf>
    <xf numFmtId="166" fontId="14" fillId="0" borderId="12" xfId="0" applyFont="1" applyFill="1" applyBorder="1" applyAlignment="1">
      <alignment horizontal="center"/>
      <protection locked="0" hidden="1"/>
    </xf>
    <xf numFmtId="166" fontId="14" fillId="0" borderId="6" xfId="0" applyFont="1" applyFill="1" applyBorder="1" applyAlignment="1">
      <alignment horizontal="center"/>
      <protection locked="0" hidden="1"/>
    </xf>
    <xf numFmtId="166" fontId="12" fillId="0" borderId="3" xfId="0" applyFont="1" applyFill="1" applyBorder="1" applyAlignment="1">
      <alignment horizontal="centerContinuous" vertical="center" wrapText="1"/>
      <protection locked="0" hidden="1"/>
    </xf>
    <xf numFmtId="166" fontId="12" fillId="0" borderId="8" xfId="0" applyFont="1" applyFill="1" applyBorder="1" applyAlignment="1">
      <alignment horizontal="center" vertical="center" wrapText="1"/>
      <protection locked="0" hidden="1"/>
    </xf>
    <xf numFmtId="166" fontId="12" fillId="0" borderId="10" xfId="0" applyFont="1" applyFill="1" applyBorder="1" applyAlignment="1">
      <alignment horizontal="center" vertical="center" wrapText="1"/>
      <protection locked="0" hidden="1"/>
    </xf>
    <xf numFmtId="166" fontId="12" fillId="0" borderId="0" xfId="0" applyFont="1" applyFill="1" applyAlignment="1">
      <alignment vertical="center" wrapText="1"/>
      <protection locked="0" hidden="1"/>
    </xf>
    <xf numFmtId="166" fontId="21" fillId="0" borderId="1" xfId="0" applyFont="1" applyFill="1" applyBorder="1" applyAlignment="1">
      <alignment horizontal="left"/>
      <protection locked="0" hidden="1"/>
    </xf>
    <xf numFmtId="166" fontId="21" fillId="0" borderId="9" xfId="0" applyFont="1" applyFill="1" applyBorder="1" applyAlignment="1">
      <alignment horizontal="left"/>
      <protection locked="0" hidden="1"/>
    </xf>
    <xf numFmtId="166" fontId="21" fillId="0" borderId="9" xfId="0" applyFont="1" applyFill="1" applyBorder="1" applyAlignment="1">
      <alignment horizontal="left" vertical="top"/>
      <protection locked="0" hidden="1"/>
    </xf>
    <xf numFmtId="166" fontId="18" fillId="0" borderId="0" xfId="0" applyFont="1" applyFill="1" applyAlignment="1">
      <alignment vertical="top"/>
      <protection locked="0" hidden="1"/>
    </xf>
    <xf numFmtId="166" fontId="10" fillId="0" borderId="7" xfId="0" applyFont="1" applyFill="1" applyBorder="1" applyAlignment="1">
      <alignment horizontal="right" readingOrder="2"/>
      <protection locked="0" hidden="1"/>
    </xf>
    <xf numFmtId="166" fontId="8" fillId="0" borderId="0" xfId="0" applyFont="1" applyFill="1" applyAlignment="1">
      <alignment horizontal="center"/>
      <protection locked="0" hidden="1"/>
    </xf>
    <xf numFmtId="166" fontId="8" fillId="0" borderId="0" xfId="0" applyFont="1" applyFill="1" applyAlignment="1">
      <alignment horizontal="right"/>
      <protection locked="0" hidden="1"/>
    </xf>
    <xf numFmtId="166" fontId="10" fillId="0" borderId="0" xfId="0" applyFont="1" applyFill="1" applyAlignment="1">
      <alignment horizontal="right" readingOrder="2"/>
      <protection locked="0" hidden="1"/>
    </xf>
    <xf numFmtId="22" fontId="8" fillId="0" borderId="0" xfId="0" applyNumberFormat="1" applyFont="1" applyFill="1" applyAlignment="1">
      <alignment horizontal="center"/>
      <protection locked="0" hidden="1"/>
    </xf>
    <xf numFmtId="166" fontId="6" fillId="0" borderId="0" xfId="0" applyFont="1" applyFill="1" applyAlignment="1">
      <alignment horizontal="center"/>
      <protection locked="0" hidden="1"/>
    </xf>
    <xf numFmtId="166" fontId="6" fillId="0" borderId="0" xfId="0" applyFont="1" applyFill="1" applyAlignment="1">
      <alignment horizontal="centerContinuous" wrapText="1"/>
      <protection locked="0" hidden="1"/>
    </xf>
    <xf numFmtId="166" fontId="6" fillId="0" borderId="0" xfId="0" applyFont="1" applyFill="1" applyAlignment="1">
      <alignment wrapText="1"/>
      <protection locked="0" hidden="1"/>
    </xf>
    <xf numFmtId="166" fontId="8" fillId="0" borderId="3" xfId="0" applyFont="1" applyFill="1" applyBorder="1" applyAlignment="1">
      <alignment horizontal="left"/>
      <protection locked="0" hidden="1"/>
    </xf>
    <xf numFmtId="166" fontId="6" fillId="0" borderId="3" xfId="0" applyFont="1" applyFill="1" applyBorder="1" applyAlignment="1">
      <alignment horizontal="centerContinuous" wrapText="1"/>
      <protection locked="0" hidden="1"/>
    </xf>
    <xf numFmtId="166" fontId="10" fillId="0" borderId="0" xfId="0" applyFont="1" applyFill="1" applyAlignment="1">
      <alignment horizontal="right" wrapText="1"/>
      <protection locked="0" hidden="1"/>
    </xf>
    <xf numFmtId="166" fontId="12" fillId="0" borderId="5" xfId="0" applyFont="1" applyFill="1" applyBorder="1" applyAlignment="1">
      <alignment horizontal="left" vertical="center"/>
      <protection locked="0" hidden="1"/>
    </xf>
    <xf numFmtId="166" fontId="14" fillId="0" borderId="5" xfId="0" applyFont="1" applyFill="1" applyBorder="1" applyAlignment="1">
      <alignment horizontal="centerContinuous" vertical="center"/>
      <protection locked="0" hidden="1"/>
    </xf>
    <xf numFmtId="166" fontId="12" fillId="0" borderId="21" xfId="0" applyFont="1" applyFill="1" applyBorder="1" applyAlignment="1">
      <alignment vertical="center"/>
      <protection locked="0" hidden="1"/>
    </xf>
    <xf numFmtId="166" fontId="12" fillId="0" borderId="5" xfId="0" applyFont="1" applyFill="1" applyBorder="1" applyAlignment="1">
      <alignment horizontal="right" vertical="center"/>
      <protection locked="0" hidden="1"/>
    </xf>
    <xf numFmtId="166" fontId="14" fillId="0" borderId="22" xfId="0" applyFont="1" applyFill="1" applyBorder="1" applyAlignment="1">
      <alignment horizontal="right" vertical="center" readingOrder="2"/>
      <protection locked="0" hidden="1"/>
    </xf>
    <xf numFmtId="166" fontId="14" fillId="0" borderId="5" xfId="0" applyFont="1" applyFill="1" applyBorder="1" applyAlignment="1">
      <alignment horizontal="left" vertical="center"/>
      <protection locked="0" hidden="1"/>
    </xf>
    <xf numFmtId="166" fontId="14" fillId="0" borderId="5" xfId="0" applyFont="1" applyFill="1" applyBorder="1" applyAlignment="1">
      <alignment horizontal="right" vertical="center"/>
      <protection locked="0" hidden="1"/>
    </xf>
    <xf numFmtId="166" fontId="14" fillId="0" borderId="0" xfId="0" applyFont="1" applyFill="1" applyAlignment="1">
      <alignment horizontal="center" vertical="center" wrapText="1"/>
      <protection locked="0" hidden="1"/>
    </xf>
    <xf numFmtId="166" fontId="12" fillId="0" borderId="4" xfId="0" applyFont="1" applyFill="1" applyBorder="1" applyAlignment="1">
      <alignment horizontal="left" vertical="center"/>
      <protection locked="0" hidden="1"/>
    </xf>
    <xf numFmtId="166" fontId="12" fillId="0" borderId="0" xfId="0" applyFont="1" applyFill="1" applyAlignment="1">
      <alignment horizontal="center" vertical="center"/>
      <protection locked="0" hidden="1"/>
    </xf>
    <xf numFmtId="166" fontId="12" fillId="0" borderId="11" xfId="0" applyFont="1" applyFill="1" applyBorder="1" applyAlignment="1">
      <alignment vertical="center"/>
      <protection locked="0" hidden="1"/>
    </xf>
    <xf numFmtId="166" fontId="12" fillId="0" borderId="21" xfId="0" applyFont="1" applyFill="1" applyBorder="1" applyAlignment="1">
      <alignment horizontal="left" vertical="center"/>
      <protection locked="0" hidden="1"/>
    </xf>
    <xf numFmtId="166" fontId="12" fillId="0" borderId="12" xfId="0" applyFont="1" applyFill="1" applyBorder="1" applyAlignment="1">
      <alignment vertical="center" wrapText="1"/>
      <protection locked="0" hidden="1"/>
    </xf>
    <xf numFmtId="166" fontId="14" fillId="0" borderId="1" xfId="0" applyFont="1" applyFill="1" applyBorder="1" applyAlignment="1">
      <alignment horizontal="center" vertical="center" wrapText="1"/>
      <protection locked="0" hidden="1"/>
    </xf>
    <xf numFmtId="1" fontId="14" fillId="0" borderId="11" xfId="0" applyNumberFormat="1" applyFont="1" applyFill="1" applyBorder="1" applyAlignment="1">
      <alignment horizontal="center" vertical="center" wrapText="1" readingOrder="2"/>
      <protection locked="0" hidden="1"/>
    </xf>
    <xf numFmtId="166" fontId="14" fillId="0" borderId="11" xfId="0" applyFont="1" applyFill="1" applyBorder="1" applyAlignment="1">
      <alignment horizontal="center" vertical="center" wrapText="1"/>
      <protection locked="0" hidden="1"/>
    </xf>
    <xf numFmtId="166" fontId="12" fillId="0" borderId="10" xfId="0" applyFont="1" applyFill="1" applyBorder="1" applyAlignment="1">
      <alignment horizontal="centerContinuous" vertical="top" wrapText="1"/>
      <protection locked="0" hidden="1"/>
    </xf>
    <xf numFmtId="166" fontId="12" fillId="0" borderId="3" xfId="0" applyFont="1" applyFill="1" applyBorder="1" applyAlignment="1">
      <alignment horizontal="center" vertical="center" wrapText="1"/>
      <protection locked="0" hidden="1"/>
    </xf>
    <xf numFmtId="166" fontId="12" fillId="0" borderId="0" xfId="0" applyFont="1" applyFill="1" applyAlignment="1">
      <alignment horizontal="center" vertical="center" wrapText="1"/>
      <protection locked="0" hidden="1"/>
    </xf>
    <xf numFmtId="209" fontId="12" fillId="0" borderId="1" xfId="0" applyNumberFormat="1" applyFont="1" applyFill="1" applyBorder="1" applyAlignment="1">
      <alignment horizontal="left"/>
      <protection locked="0" hidden="1"/>
    </xf>
    <xf numFmtId="166" fontId="12" fillId="0" borderId="0" xfId="0" applyFont="1" applyFill="1" applyAlignment="1">
      <alignment horizontal="left"/>
      <protection locked="0" hidden="1"/>
    </xf>
    <xf numFmtId="166" fontId="18" fillId="0" borderId="0" xfId="0" applyFont="1" applyFill="1" applyAlignment="1">
      <alignment horizontal="center"/>
      <protection locked="0" hidden="1"/>
    </xf>
    <xf numFmtId="166" fontId="18" fillId="0" borderId="0" xfId="0" applyFont="1" applyFill="1" applyAlignment="1">
      <alignment horizontal="right"/>
      <protection locked="0" hidden="1"/>
    </xf>
    <xf numFmtId="211" fontId="6" fillId="0" borderId="0" xfId="0" applyNumberFormat="1" applyFont="1" applyFill="1" applyAlignment="1">
      <protection locked="0" hidden="1"/>
    </xf>
    <xf numFmtId="0" fontId="8" fillId="0" borderId="0" xfId="22" applyFont="1" applyAlignment="1">
      <alignment horizontal="centerContinuous"/>
    </xf>
    <xf numFmtId="0" fontId="8" fillId="0" borderId="0" xfId="22" applyFont="1"/>
    <xf numFmtId="0" fontId="7" fillId="0" borderId="0" xfId="22" applyFont="1" applyAlignment="1">
      <alignment horizontal="centerContinuous" vertical="top"/>
    </xf>
    <xf numFmtId="0" fontId="8" fillId="0" borderId="0" xfId="22" applyFont="1" applyAlignment="1">
      <alignment horizontal="centerContinuous" vertical="top"/>
    </xf>
    <xf numFmtId="0" fontId="8" fillId="0" borderId="0" xfId="22" applyFont="1" applyAlignment="1">
      <alignment vertical="top"/>
    </xf>
    <xf numFmtId="0" fontId="14" fillId="0" borderId="2" xfId="22" applyFont="1" applyBorder="1" applyAlignment="1">
      <alignment horizontal="center" vertical="center"/>
    </xf>
    <xf numFmtId="0" fontId="14" fillId="0" borderId="12" xfId="22" applyFont="1" applyBorder="1" applyAlignment="1">
      <alignment horizontal="center"/>
    </xf>
    <xf numFmtId="0" fontId="14" fillId="0" borderId="6" xfId="22" applyFont="1" applyBorder="1" applyAlignment="1">
      <alignment horizontal="center"/>
    </xf>
    <xf numFmtId="0" fontId="14" fillId="0" borderId="1" xfId="22" applyFont="1" applyBorder="1" applyAlignment="1">
      <alignment horizontal="center" vertical="center"/>
    </xf>
    <xf numFmtId="0" fontId="14" fillId="0" borderId="11" xfId="22" applyFont="1" applyBorder="1" applyAlignment="1">
      <alignment horizontal="center" vertical="center"/>
    </xf>
    <xf numFmtId="0" fontId="14" fillId="0" borderId="9" xfId="22" applyFont="1" applyBorder="1" applyAlignment="1">
      <alignment horizontal="center" vertical="center"/>
    </xf>
    <xf numFmtId="0" fontId="12" fillId="0" borderId="1" xfId="22" applyFont="1" applyBorder="1" applyAlignment="1">
      <alignment horizontal="center" vertical="top"/>
    </xf>
    <xf numFmtId="0" fontId="12" fillId="0" borderId="11" xfId="22" applyFont="1" applyBorder="1" applyAlignment="1">
      <alignment horizontal="center" vertical="top"/>
    </xf>
    <xf numFmtId="0" fontId="12" fillId="0" borderId="9" xfId="22" applyFont="1" applyBorder="1" applyAlignment="1">
      <alignment horizontal="center" vertical="top"/>
    </xf>
    <xf numFmtId="0" fontId="12" fillId="0" borderId="4" xfId="22" applyFont="1" applyBorder="1" applyAlignment="1">
      <alignment horizontal="center" vertical="center"/>
    </xf>
    <xf numFmtId="0" fontId="12" fillId="0" borderId="8" xfId="22" applyFont="1" applyBorder="1" applyAlignment="1">
      <alignment horizontal="center"/>
    </xf>
    <xf numFmtId="0" fontId="12" fillId="0" borderId="10" xfId="22" applyFont="1" applyBorder="1" applyAlignment="1">
      <alignment horizontal="center"/>
    </xf>
    <xf numFmtId="0" fontId="8" fillId="0" borderId="0" xfId="22" applyFont="1" applyAlignment="1">
      <alignment vertical="center"/>
    </xf>
    <xf numFmtId="0" fontId="8" fillId="0" borderId="7" xfId="22" applyFont="1" applyBorder="1"/>
    <xf numFmtId="212" fontId="33" fillId="0" borderId="11" xfId="0" applyNumberFormat="1" applyFont="1" applyFill="1" applyBorder="1" applyAlignment="1" applyProtection="1">
      <alignment horizontal="right"/>
    </xf>
    <xf numFmtId="212" fontId="40" fillId="0" borderId="11" xfId="0" applyNumberFormat="1" applyFont="1" applyFill="1" applyBorder="1" applyAlignment="1" applyProtection="1">
      <alignment horizontal="right"/>
    </xf>
    <xf numFmtId="0" fontId="33" fillId="0" borderId="0" xfId="19" applyFont="1"/>
    <xf numFmtId="0" fontId="45" fillId="0" borderId="0" xfId="19" applyFont="1" applyAlignment="1">
      <alignment horizontal="right" readingOrder="2"/>
    </xf>
    <xf numFmtId="0" fontId="8" fillId="0" borderId="0" xfId="20" applyFont="1" applyAlignment="1">
      <alignment horizontal="left"/>
    </xf>
    <xf numFmtId="0" fontId="36" fillId="0" borderId="0" xfId="22" applyFont="1" applyAlignment="1">
      <alignment horizontal="centerContinuous" vertical="top"/>
    </xf>
    <xf numFmtId="0" fontId="57" fillId="0" borderId="0" xfId="22" applyFont="1" applyAlignment="1">
      <alignment horizontal="centerContinuous" vertical="top"/>
    </xf>
    <xf numFmtId="0" fontId="19" fillId="0" borderId="2" xfId="22" applyFont="1" applyBorder="1" applyAlignment="1">
      <alignment horizontal="center" vertical="center"/>
    </xf>
    <xf numFmtId="0" fontId="19" fillId="0" borderId="6" xfId="22" applyFont="1" applyBorder="1" applyAlignment="1">
      <alignment horizontal="center" vertical="center"/>
    </xf>
    <xf numFmtId="0" fontId="19" fillId="0" borderId="12" xfId="22" applyFont="1" applyBorder="1" applyAlignment="1">
      <alignment horizontal="center"/>
    </xf>
    <xf numFmtId="0" fontId="18" fillId="0" borderId="0" xfId="22" applyFont="1"/>
    <xf numFmtId="0" fontId="19" fillId="0" borderId="11" xfId="22" applyFont="1" applyBorder="1" applyAlignment="1">
      <alignment horizontal="center" vertical="center"/>
    </xf>
    <xf numFmtId="0" fontId="19" fillId="0" borderId="11" xfId="22" applyFont="1" applyBorder="1" applyAlignment="1">
      <alignment horizontal="center" vertical="center" readingOrder="2"/>
    </xf>
    <xf numFmtId="0" fontId="21" fillId="0" borderId="1" xfId="22" applyFont="1" applyBorder="1" applyAlignment="1">
      <alignment horizontal="centerContinuous" vertical="top"/>
    </xf>
    <xf numFmtId="0" fontId="21" fillId="0" borderId="9" xfId="22" applyFont="1" applyBorder="1" applyAlignment="1">
      <alignment horizontal="centerContinuous" vertical="top"/>
    </xf>
    <xf numFmtId="0" fontId="21" fillId="0" borderId="11" xfId="22" applyFont="1" applyBorder="1" applyAlignment="1">
      <alignment horizontal="center" vertical="top"/>
    </xf>
    <xf numFmtId="0" fontId="21" fillId="0" borderId="9" xfId="22" applyFont="1" applyBorder="1" applyAlignment="1">
      <alignment horizontal="center" vertical="top"/>
    </xf>
    <xf numFmtId="0" fontId="21" fillId="0" borderId="1" xfId="22" applyFont="1" applyBorder="1" applyAlignment="1">
      <alignment horizontal="center" vertical="top"/>
    </xf>
    <xf numFmtId="0" fontId="21" fillId="0" borderId="4" xfId="22" applyFont="1" applyBorder="1" applyAlignment="1">
      <alignment horizontal="center" vertical="center"/>
    </xf>
    <xf numFmtId="0" fontId="21" fillId="0" borderId="10" xfId="22" applyFont="1" applyBorder="1" applyAlignment="1">
      <alignment horizontal="center" vertical="center"/>
    </xf>
    <xf numFmtId="0" fontId="21" fillId="0" borderId="8" xfId="22" applyFont="1" applyBorder="1" applyAlignment="1">
      <alignment horizontal="center"/>
    </xf>
    <xf numFmtId="0" fontId="21" fillId="0" borderId="8" xfId="22" applyFont="1" applyBorder="1" applyAlignment="1">
      <alignment horizontal="center" readingOrder="1"/>
    </xf>
    <xf numFmtId="0" fontId="18" fillId="0" borderId="8" xfId="22" applyFont="1" applyBorder="1" applyAlignment="1">
      <alignment horizontal="center"/>
    </xf>
    <xf numFmtId="0" fontId="21" fillId="0" borderId="4" xfId="22" applyFont="1" applyBorder="1" applyAlignment="1">
      <alignment horizontal="center" readingOrder="1"/>
    </xf>
    <xf numFmtId="0" fontId="18" fillId="0" borderId="0" xfId="22" applyFont="1" applyAlignment="1">
      <alignment vertical="center"/>
    </xf>
    <xf numFmtId="0" fontId="18" fillId="0" borderId="9" xfId="22" applyFont="1" applyBorder="1" applyAlignment="1">
      <alignment horizontal="center"/>
    </xf>
    <xf numFmtId="166" fontId="18" fillId="0" borderId="12" xfId="0" applyFont="1" applyFill="1" applyBorder="1" applyAlignment="1">
      <alignment horizontal="right" indent="3"/>
      <protection locked="0" hidden="1"/>
    </xf>
    <xf numFmtId="3" fontId="18" fillId="0" borderId="12" xfId="0" applyNumberFormat="1" applyFont="1" applyFill="1" applyBorder="1" applyAlignment="1">
      <alignment horizontal="right" indent="2"/>
      <protection locked="0" hidden="1"/>
    </xf>
    <xf numFmtId="3" fontId="18" fillId="0" borderId="12" xfId="0" applyNumberFormat="1" applyFont="1" applyFill="1" applyBorder="1" applyAlignment="1">
      <alignment horizontal="right" indent="3"/>
      <protection locked="0" hidden="1"/>
    </xf>
    <xf numFmtId="3"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center"/>
      <protection locked="0" hidden="1"/>
    </xf>
    <xf numFmtId="4" fontId="18" fillId="0" borderId="12" xfId="0" applyNumberFormat="1" applyFont="1" applyFill="1" applyBorder="1" applyAlignment="1">
      <alignment horizontal="right" indent="2"/>
      <protection locked="0" hidden="1"/>
    </xf>
    <xf numFmtId="2" fontId="18" fillId="0" borderId="12" xfId="0" applyNumberFormat="1" applyFont="1" applyFill="1" applyBorder="1" applyAlignment="1">
      <alignment horizontal="right" indent="3"/>
      <protection locked="0" hidden="1"/>
    </xf>
    <xf numFmtId="166" fontId="18" fillId="0" borderId="11" xfId="0" applyFont="1" applyFill="1" applyBorder="1" applyAlignment="1">
      <alignment horizontal="right" indent="3"/>
      <protection locked="0" hidden="1"/>
    </xf>
    <xf numFmtId="3" fontId="18" fillId="0" borderId="11" xfId="0" applyNumberFormat="1" applyFont="1" applyFill="1" applyBorder="1" applyAlignment="1">
      <alignment horizontal="right" indent="3"/>
      <protection locked="0" hidden="1"/>
    </xf>
    <xf numFmtId="2" fontId="18" fillId="0" borderId="11" xfId="0" applyNumberFormat="1" applyFont="1" applyFill="1" applyBorder="1" applyAlignment="1">
      <alignment horizontal="right" indent="3"/>
      <protection locked="0" hidden="1"/>
    </xf>
    <xf numFmtId="0" fontId="18" fillId="0" borderId="0" xfId="22" applyFont="1" applyAlignment="1">
      <alignment horizontal="center"/>
    </xf>
    <xf numFmtId="4" fontId="18" fillId="0" borderId="12" xfId="0" applyNumberFormat="1" applyFont="1" applyFill="1" applyBorder="1" applyAlignment="1">
      <alignment horizontal="center"/>
      <protection locked="0" hidden="1"/>
    </xf>
    <xf numFmtId="166" fontId="21" fillId="0" borderId="0" xfId="0" applyFont="1" applyFill="1" applyAlignment="1">
      <alignment horizontal="left"/>
      <protection locked="0" hidden="1"/>
    </xf>
    <xf numFmtId="2" fontId="18" fillId="0" borderId="7" xfId="22" applyNumberFormat="1" applyFont="1" applyBorder="1" applyAlignment="1">
      <alignment horizontal="right" readingOrder="2"/>
    </xf>
    <xf numFmtId="2" fontId="18" fillId="0" borderId="0" xfId="22" applyNumberFormat="1" applyFont="1" applyAlignment="1">
      <alignment horizontal="right" readingOrder="2"/>
    </xf>
    <xf numFmtId="0" fontId="20" fillId="0" borderId="0" xfId="20" applyFont="1" applyAlignment="1">
      <alignment horizontal="right" readingOrder="2"/>
    </xf>
    <xf numFmtId="0" fontId="18" fillId="0" borderId="0" xfId="22" applyFont="1" applyAlignment="1">
      <alignment horizontal="centerContinuous"/>
    </xf>
    <xf numFmtId="0" fontId="55" fillId="0" borderId="0" xfId="22" applyFont="1" applyAlignment="1">
      <alignment horizontal="centerContinuous" vertical="top"/>
    </xf>
    <xf numFmtId="0" fontId="8" fillId="0" borderId="0" xfId="22" applyFont="1" applyAlignment="1">
      <alignment horizontal="left" vertical="top"/>
    </xf>
    <xf numFmtId="0" fontId="8" fillId="0" borderId="0" xfId="22" applyFont="1" applyAlignment="1">
      <alignment horizontal="right" vertical="top"/>
    </xf>
    <xf numFmtId="0" fontId="18" fillId="0" borderId="2" xfId="22" applyFont="1" applyBorder="1" applyAlignment="1">
      <alignment horizontal="left" vertical="top"/>
    </xf>
    <xf numFmtId="0" fontId="21" fillId="0" borderId="7" xfId="22" applyFont="1" applyBorder="1" applyAlignment="1">
      <alignment horizontal="centerContinuous" vertical="top"/>
    </xf>
    <xf numFmtId="0" fontId="18" fillId="0" borderId="12" xfId="22" applyFont="1" applyBorder="1" applyAlignment="1">
      <alignment horizontal="centerContinuous" vertical="top"/>
    </xf>
    <xf numFmtId="0" fontId="18" fillId="0" borderId="12" xfId="22" applyFont="1" applyBorder="1" applyAlignment="1">
      <alignment horizontal="right" vertical="top"/>
    </xf>
    <xf numFmtId="0" fontId="18" fillId="0" borderId="0" xfId="22" applyFont="1" applyAlignment="1">
      <alignment vertical="top"/>
    </xf>
    <xf numFmtId="0" fontId="19" fillId="0" borderId="1" xfId="22" applyFont="1" applyBorder="1" applyAlignment="1">
      <alignment horizontal="centerContinuous" vertical="top"/>
    </xf>
    <xf numFmtId="0" fontId="19" fillId="0" borderId="9" xfId="22" applyFont="1" applyBorder="1" applyAlignment="1">
      <alignment horizontal="centerContinuous" vertical="top"/>
    </xf>
    <xf numFmtId="0" fontId="19" fillId="0" borderId="9" xfId="22" applyFont="1" applyBorder="1" applyAlignment="1">
      <alignment horizontal="center"/>
    </xf>
    <xf numFmtId="0" fontId="20" fillId="0" borderId="4" xfId="22" applyFont="1" applyBorder="1"/>
    <xf numFmtId="0" fontId="20" fillId="0" borderId="3" xfId="22" applyFont="1" applyBorder="1"/>
    <xf numFmtId="0" fontId="21" fillId="0" borderId="8" xfId="22" applyFont="1" applyBorder="1" applyAlignment="1">
      <alignment horizontal="center" vertical="top"/>
    </xf>
    <xf numFmtId="0" fontId="21" fillId="0" borderId="10" xfId="22" applyFont="1" applyBorder="1" applyAlignment="1">
      <alignment horizontal="center" vertical="top"/>
    </xf>
    <xf numFmtId="166" fontId="9" fillId="0" borderId="2" xfId="0" applyFont="1" applyFill="1" applyBorder="1" applyAlignment="1">
      <alignment horizontal="left"/>
      <protection locked="0" hidden="1"/>
    </xf>
    <xf numFmtId="0" fontId="9" fillId="0" borderId="9" xfId="22" applyFont="1" applyBorder="1" applyAlignment="1">
      <alignment horizontal="center"/>
    </xf>
    <xf numFmtId="3" fontId="8" fillId="0" borderId="12" xfId="0" applyNumberFormat="1" applyFont="1" applyFill="1" applyBorder="1" applyAlignment="1">
      <alignment horizontal="right" indent="2" readingOrder="1"/>
      <protection locked="0" hidden="1"/>
    </xf>
    <xf numFmtId="3" fontId="8" fillId="0" borderId="12" xfId="22" applyNumberFormat="1" applyFont="1" applyBorder="1" applyAlignment="1">
      <alignment horizontal="right" indent="2" readingOrder="1"/>
    </xf>
    <xf numFmtId="3" fontId="8" fillId="0" borderId="11" xfId="22" applyNumberFormat="1" applyFont="1" applyBorder="1" applyAlignment="1">
      <alignment horizontal="right" indent="2" readingOrder="1"/>
    </xf>
    <xf numFmtId="166" fontId="9" fillId="0" borderId="1" xfId="0" applyFont="1" applyFill="1" applyBorder="1" applyAlignment="1">
      <alignment horizontal="left"/>
      <protection locked="0" hidden="1"/>
    </xf>
    <xf numFmtId="0" fontId="9" fillId="0" borderId="0" xfId="22" applyFont="1" applyAlignment="1">
      <alignment horizontal="center"/>
    </xf>
    <xf numFmtId="166" fontId="9" fillId="0" borderId="0" xfId="0" applyFont="1" applyFill="1" applyAlignment="1">
      <alignment horizontal="left"/>
      <protection locked="0" hidden="1"/>
    </xf>
    <xf numFmtId="0" fontId="60" fillId="0" borderId="7" xfId="20" applyFont="1" applyBorder="1" applyAlignment="1">
      <alignment horizontal="left"/>
    </xf>
    <xf numFmtId="0" fontId="10" fillId="0" borderId="7" xfId="20" applyFont="1" applyBorder="1" applyAlignment="1">
      <alignment horizontal="right" readingOrder="2"/>
    </xf>
    <xf numFmtId="0" fontId="60" fillId="0" borderId="0" xfId="20" applyFont="1" applyAlignment="1">
      <alignment horizontal="left"/>
    </xf>
    <xf numFmtId="0" fontId="10" fillId="0" borderId="0" xfId="20" applyFont="1" applyAlignment="1">
      <alignment horizontal="right" readingOrder="2"/>
    </xf>
    <xf numFmtId="0" fontId="9" fillId="0" borderId="0" xfId="22" applyFont="1"/>
    <xf numFmtId="0" fontId="18" fillId="0" borderId="0" xfId="22" applyFont="1" applyAlignment="1">
      <alignment horizontal="right" vertical="top"/>
    </xf>
    <xf numFmtId="0" fontId="21" fillId="0" borderId="4" xfId="22" applyFont="1" applyBorder="1" applyAlignment="1">
      <alignment horizontal="centerContinuous" vertical="top"/>
    </xf>
    <xf numFmtId="0" fontId="19" fillId="0" borderId="10" xfId="22" applyFont="1" applyBorder="1" applyAlignment="1">
      <alignment horizontal="centerContinuous" vertical="top"/>
    </xf>
    <xf numFmtId="0" fontId="6" fillId="0" borderId="0" xfId="22" applyFont="1"/>
    <xf numFmtId="0" fontId="12" fillId="0" borderId="1" xfId="22" applyFont="1" applyBorder="1" applyAlignment="1">
      <alignment horizontal="centerContinuous"/>
    </xf>
    <xf numFmtId="0" fontId="12" fillId="0" borderId="0" xfId="22" applyFont="1" applyAlignment="1">
      <alignment horizontal="centerContinuous"/>
    </xf>
    <xf numFmtId="0" fontId="12" fillId="0" borderId="4" xfId="22" applyFont="1" applyBorder="1" applyAlignment="1">
      <alignment horizontal="centerContinuous" vertical="center" readingOrder="1"/>
    </xf>
    <xf numFmtId="0" fontId="14" fillId="0" borderId="3" xfId="22" applyFont="1" applyBorder="1" applyAlignment="1">
      <alignment horizontal="centerContinuous" vertical="center" readingOrder="1"/>
    </xf>
    <xf numFmtId="0" fontId="14" fillId="0" borderId="10" xfId="22" applyFont="1" applyBorder="1" applyAlignment="1">
      <alignment horizontal="centerContinuous" vertical="center" readingOrder="1"/>
    </xf>
    <xf numFmtId="0" fontId="26" fillId="0" borderId="11" xfId="22" applyFont="1" applyBorder="1" applyAlignment="1">
      <alignment horizontal="center" vertical="center" readingOrder="2"/>
    </xf>
    <xf numFmtId="0" fontId="6" fillId="0" borderId="1" xfId="22" applyFont="1" applyBorder="1"/>
    <xf numFmtId="0" fontId="6" fillId="0" borderId="0" xfId="22" applyFont="1" applyAlignment="1">
      <alignment horizontal="centerContinuous"/>
    </xf>
    <xf numFmtId="0" fontId="25" fillId="0" borderId="11" xfId="22" applyFont="1" applyBorder="1" applyAlignment="1">
      <alignment horizontal="center"/>
    </xf>
    <xf numFmtId="0" fontId="12" fillId="0" borderId="10" xfId="22" applyFont="1" applyBorder="1" applyAlignment="1">
      <alignment horizontal="centerContinuous" vertical="top"/>
    </xf>
    <xf numFmtId="0" fontId="25" fillId="0" borderId="8" xfId="22" applyFont="1" applyBorder="1" applyAlignment="1">
      <alignment horizontal="center" vertical="top"/>
    </xf>
    <xf numFmtId="3" fontId="30" fillId="0" borderId="11" xfId="0" applyNumberFormat="1" applyFont="1" applyFill="1" applyBorder="1" applyAlignment="1">
      <alignment horizontal="right" indent="2"/>
      <protection locked="0" hidden="1"/>
    </xf>
    <xf numFmtId="3" fontId="30" fillId="0" borderId="11" xfId="0" applyNumberFormat="1" applyFont="1" applyFill="1" applyBorder="1" applyAlignment="1">
      <alignment horizontal="right" indent="3"/>
      <protection locked="0" hidden="1"/>
    </xf>
    <xf numFmtId="0" fontId="18" fillId="0" borderId="0" xfId="20" applyFont="1" applyAlignment="1">
      <alignment horizontal="left"/>
    </xf>
    <xf numFmtId="3" fontId="41" fillId="0" borderId="0" xfId="0" applyNumberFormat="1" applyFont="1" applyFill="1" applyAlignment="1">
      <alignment horizontal="right" indent="1"/>
      <protection locked="0" hidden="1"/>
    </xf>
    <xf numFmtId="0" fontId="9" fillId="0" borderId="0" xfId="0" applyNumberFormat="1" applyFont="1" applyFill="1" applyAlignment="1">
      <alignment horizontal="center" readingOrder="2"/>
      <protection locked="0" hidden="1"/>
    </xf>
    <xf numFmtId="166" fontId="9" fillId="0" borderId="11" xfId="0" applyFont="1" applyFill="1" applyBorder="1" applyAlignment="1">
      <alignment horizontal="center" vertical="center" wrapText="1"/>
      <protection locked="0" hidden="1"/>
    </xf>
    <xf numFmtId="166" fontId="8" fillId="0" borderId="0" xfId="0" applyFont="1" applyFill="1" applyAlignment="1">
      <alignment horizontal="center" vertical="center" wrapText="1"/>
      <protection locked="0" hidden="1"/>
    </xf>
    <xf numFmtId="166" fontId="35" fillId="0" borderId="12" xfId="0" applyFont="1" applyFill="1" applyBorder="1" applyAlignment="1">
      <alignment horizontal="left" readingOrder="1"/>
      <protection locked="0" hidden="1"/>
    </xf>
    <xf numFmtId="166" fontId="35" fillId="0" borderId="25" xfId="0" applyFont="1" applyFill="1" applyBorder="1" applyAlignment="1">
      <protection locked="0" hidden="1"/>
    </xf>
    <xf numFmtId="166" fontId="33" fillId="0" borderId="11" xfId="0" applyFont="1" applyFill="1" applyBorder="1" applyAlignment="1">
      <alignment horizontal="left"/>
      <protection locked="0" hidden="1"/>
    </xf>
    <xf numFmtId="166" fontId="35" fillId="0" borderId="26" xfId="0" applyFont="1" applyFill="1" applyBorder="1" applyAlignment="1">
      <protection locked="0" hidden="1"/>
    </xf>
    <xf numFmtId="166" fontId="35" fillId="0" borderId="27" xfId="0" applyFont="1" applyFill="1" applyBorder="1" applyAlignment="1">
      <protection locked="0" hidden="1"/>
    </xf>
    <xf numFmtId="166" fontId="33" fillId="0" borderId="8" xfId="0" applyFont="1" applyFill="1" applyBorder="1" applyAlignment="1">
      <alignment horizontal="left"/>
      <protection locked="0" hidden="1"/>
    </xf>
    <xf numFmtId="166" fontId="35" fillId="0" borderId="8" xfId="0" applyFont="1" applyFill="1" applyBorder="1" applyAlignment="1">
      <protection locked="0" hidden="1"/>
    </xf>
    <xf numFmtId="165" fontId="35" fillId="0" borderId="8" xfId="0" applyNumberFormat="1" applyFont="1" applyFill="1" applyBorder="1" applyAlignment="1">
      <alignment horizontal="right" indent="2"/>
      <protection locked="0" hidden="1"/>
    </xf>
    <xf numFmtId="176" fontId="79" fillId="0" borderId="11" xfId="0" applyNumberFormat="1" applyFont="1" applyFill="1" applyBorder="1" applyAlignment="1">
      <protection locked="0" hidden="1"/>
    </xf>
    <xf numFmtId="202" fontId="79" fillId="0" borderId="11" xfId="0" applyNumberFormat="1" applyFont="1" applyFill="1" applyBorder="1" applyAlignment="1">
      <protection locked="0" hidden="1"/>
    </xf>
    <xf numFmtId="172" fontId="79" fillId="0" borderId="11" xfId="0" applyNumberFormat="1" applyFont="1" applyFill="1" applyBorder="1" applyAlignment="1">
      <protection locked="0" hidden="1"/>
    </xf>
    <xf numFmtId="167" fontId="79" fillId="0" borderId="11" xfId="0" applyNumberFormat="1" applyFont="1" applyFill="1" applyBorder="1" applyAlignment="1">
      <protection locked="0" hidden="1"/>
    </xf>
    <xf numFmtId="183" fontId="79" fillId="0" borderId="11" xfId="0" applyNumberFormat="1" applyFont="1" applyFill="1" applyBorder="1" applyAlignment="1">
      <protection locked="0" hidden="1"/>
    </xf>
    <xf numFmtId="178" fontId="79" fillId="0" borderId="19" xfId="0" applyNumberFormat="1" applyFont="1" applyFill="1" applyBorder="1" applyAlignment="1">
      <protection locked="0" hidden="1"/>
    </xf>
    <xf numFmtId="188" fontId="79" fillId="0" borderId="20" xfId="0" applyNumberFormat="1" applyFont="1" applyFill="1" applyBorder="1" applyAlignment="1">
      <protection locked="0" hidden="1"/>
    </xf>
    <xf numFmtId="166" fontId="79" fillId="0" borderId="0" xfId="0" applyFont="1" applyFill="1" applyAlignment="1">
      <alignment vertical="top"/>
      <protection locked="0" hidden="1"/>
    </xf>
    <xf numFmtId="172" fontId="79" fillId="0" borderId="11" xfId="0" applyNumberFormat="1" applyFont="1" applyFill="1" applyBorder="1" applyAlignment="1">
      <alignment horizontal="right"/>
      <protection locked="0" hidden="1"/>
    </xf>
    <xf numFmtId="167" fontId="79" fillId="0" borderId="11" xfId="0" applyNumberFormat="1" applyFont="1" applyFill="1" applyBorder="1" applyAlignment="1">
      <alignment horizontal="right"/>
      <protection locked="0" hidden="1"/>
    </xf>
    <xf numFmtId="178" fontId="79" fillId="0" borderId="11" xfId="0" applyNumberFormat="1" applyFont="1" applyFill="1" applyBorder="1" applyAlignment="1">
      <alignment horizontal="right"/>
      <protection locked="0" hidden="1"/>
    </xf>
    <xf numFmtId="2" fontId="18" fillId="0" borderId="0" xfId="22" applyNumberFormat="1" applyFont="1" applyAlignment="1">
      <alignment horizontal="right" indent="3"/>
    </xf>
    <xf numFmtId="168" fontId="79" fillId="0" borderId="11" xfId="0" applyNumberFormat="1" applyFont="1" applyFill="1" applyBorder="1" applyAlignment="1">
      <protection locked="0" hidden="1"/>
    </xf>
    <xf numFmtId="165" fontId="79" fillId="0" borderId="11" xfId="0" applyNumberFormat="1" applyFont="1" applyFill="1" applyBorder="1" applyAlignment="1">
      <alignment horizontal="right" indent="2"/>
      <protection locked="0" hidden="1"/>
    </xf>
    <xf numFmtId="165" fontId="79" fillId="0" borderId="9" xfId="0" applyNumberFormat="1" applyFont="1" applyFill="1" applyBorder="1" applyAlignment="1">
      <alignment horizontal="right" indent="1"/>
      <protection locked="0" hidden="1"/>
    </xf>
    <xf numFmtId="187" fontId="79" fillId="0" borderId="11" xfId="0" applyNumberFormat="1" applyFont="1" applyFill="1" applyBorder="1" applyAlignment="1">
      <protection locked="0" hidden="1"/>
    </xf>
    <xf numFmtId="166" fontId="80" fillId="0" borderId="0" xfId="0" applyFont="1" applyFill="1" applyAlignment="1">
      <protection locked="0" hidden="1"/>
    </xf>
    <xf numFmtId="166" fontId="77" fillId="0" borderId="0" xfId="0" applyFont="1" applyFill="1" applyAlignment="1">
      <alignment horizontal="left" vertical="top"/>
      <protection locked="0" hidden="1"/>
    </xf>
    <xf numFmtId="166" fontId="78" fillId="0" borderId="0" xfId="0" applyFont="1" applyFill="1" applyAlignment="1">
      <alignment vertical="top"/>
      <protection locked="0" hidden="1"/>
    </xf>
    <xf numFmtId="178" fontId="83" fillId="0" borderId="19" xfId="0" applyNumberFormat="1" applyFont="1" applyFill="1" applyBorder="1" applyAlignment="1">
      <protection locked="0" hidden="1"/>
    </xf>
    <xf numFmtId="166" fontId="84" fillId="0" borderId="1" xfId="0" applyFont="1" applyFill="1" applyBorder="1" applyAlignment="1">
      <alignment horizontal="left"/>
      <protection locked="0" hidden="1"/>
    </xf>
    <xf numFmtId="166" fontId="84" fillId="0" borderId="0" xfId="0" applyFont="1" applyFill="1" applyAlignment="1">
      <alignment horizontal="left"/>
      <protection locked="0" hidden="1"/>
    </xf>
    <xf numFmtId="172" fontId="79" fillId="0" borderId="1" xfId="0" applyNumberFormat="1" applyFont="1" applyFill="1" applyBorder="1" applyAlignment="1">
      <protection locked="0" hidden="1"/>
    </xf>
    <xf numFmtId="204" fontId="79" fillId="0" borderId="11" xfId="0" applyNumberFormat="1" applyFont="1" applyFill="1" applyBorder="1" applyAlignment="1">
      <protection locked="0" hidden="1"/>
    </xf>
    <xf numFmtId="203" fontId="79" fillId="0" borderId="9" xfId="0" applyNumberFormat="1" applyFont="1" applyFill="1" applyBorder="1" applyAlignment="1">
      <protection locked="0" hidden="1"/>
    </xf>
    <xf numFmtId="166" fontId="79" fillId="0" borderId="0" xfId="0" applyFont="1" applyFill="1" applyAlignment="1">
      <protection locked="0" hidden="1"/>
    </xf>
    <xf numFmtId="176" fontId="79" fillId="0" borderId="11" xfId="0" applyNumberFormat="1" applyFont="1" applyFill="1" applyBorder="1" applyAlignment="1">
      <alignment horizontal="right"/>
      <protection locked="0" hidden="1"/>
    </xf>
    <xf numFmtId="166" fontId="85" fillId="0" borderId="0" xfId="0" applyFont="1" applyFill="1" applyAlignment="1" applyProtection="1"/>
    <xf numFmtId="170" fontId="79" fillId="0" borderId="19" xfId="0" applyNumberFormat="1" applyFont="1" applyFill="1" applyBorder="1" applyAlignment="1">
      <alignment horizontal="right" indent="1"/>
      <protection locked="0" hidden="1"/>
    </xf>
    <xf numFmtId="185" fontId="79" fillId="0" borderId="11" xfId="0" applyNumberFormat="1" applyFont="1" applyFill="1" applyBorder="1" applyAlignment="1">
      <protection locked="0" hidden="1"/>
    </xf>
    <xf numFmtId="167" fontId="79" fillId="0" borderId="16" xfId="0" applyNumberFormat="1" applyFont="1" applyFill="1" applyBorder="1" applyAlignment="1">
      <protection locked="0" hidden="1"/>
    </xf>
    <xf numFmtId="166" fontId="40" fillId="0" borderId="0" xfId="0" applyFont="1" applyFill="1" applyAlignment="1">
      <protection locked="0" hidden="1"/>
    </xf>
    <xf numFmtId="3" fontId="35" fillId="0" borderId="11" xfId="0" applyNumberFormat="1" applyFont="1" applyFill="1" applyBorder="1" applyAlignment="1">
      <alignment horizontal="left" wrapText="1"/>
      <protection locked="0" hidden="1"/>
    </xf>
    <xf numFmtId="166" fontId="35" fillId="0" borderId="11" xfId="0" applyFont="1" applyFill="1" applyBorder="1" applyAlignment="1">
      <alignment horizontal="left" indent="1"/>
      <protection locked="0" hidden="1"/>
    </xf>
    <xf numFmtId="3" fontId="33" fillId="0" borderId="11" xfId="0" applyNumberFormat="1" applyFont="1" applyFill="1" applyBorder="1" applyAlignment="1">
      <alignment horizontal="left" wrapText="1" indent="4"/>
      <protection locked="0" hidden="1"/>
    </xf>
    <xf numFmtId="3" fontId="33" fillId="0" borderId="11" xfId="0" applyNumberFormat="1" applyFont="1" applyFill="1" applyBorder="1" applyAlignment="1">
      <alignment horizontal="left" wrapText="1" indent="5"/>
      <protection locked="0" hidden="1"/>
    </xf>
    <xf numFmtId="3" fontId="35" fillId="0" borderId="11" xfId="0" applyNumberFormat="1" applyFont="1" applyFill="1" applyBorder="1" applyAlignment="1">
      <alignment horizontal="left" wrapText="1" indent="3"/>
      <protection locked="0" hidden="1"/>
    </xf>
    <xf numFmtId="166" fontId="42" fillId="0" borderId="0" xfId="0" applyFont="1" applyFill="1" applyAlignment="1">
      <protection locked="0" hidden="1"/>
    </xf>
    <xf numFmtId="3" fontId="33" fillId="0" borderId="11" xfId="0" applyNumberFormat="1" applyFont="1" applyFill="1" applyBorder="1" applyAlignment="1">
      <alignment horizontal="left" wrapText="1" indent="3"/>
      <protection locked="0" hidden="1"/>
    </xf>
    <xf numFmtId="166" fontId="33" fillId="0" borderId="7" xfId="0" applyFont="1" applyFill="1" applyBorder="1" applyAlignment="1">
      <alignment horizontal="right" readingOrder="2"/>
      <protection locked="0" hidden="1"/>
    </xf>
    <xf numFmtId="167" fontId="79" fillId="0" borderId="0" xfId="0" applyNumberFormat="1" applyFont="1" applyFill="1" applyAlignment="1">
      <alignment horizontal="right"/>
      <protection locked="0" hidden="1"/>
    </xf>
    <xf numFmtId="189" fontId="79" fillId="0" borderId="11" xfId="0" applyNumberFormat="1" applyFont="1" applyFill="1" applyBorder="1" applyAlignment="1">
      <alignment horizontal="right"/>
      <protection locked="0" hidden="1"/>
    </xf>
    <xf numFmtId="179" fontId="79" fillId="0" borderId="11" xfId="0" applyNumberFormat="1" applyFont="1" applyFill="1" applyBorder="1" applyAlignment="1">
      <protection locked="0" hidden="1"/>
    </xf>
    <xf numFmtId="167" fontId="79" fillId="0" borderId="20" xfId="0" applyNumberFormat="1" applyFont="1" applyFill="1" applyBorder="1" applyAlignment="1">
      <protection locked="0" hidden="1"/>
    </xf>
    <xf numFmtId="164" fontId="79" fillId="0" borderId="11" xfId="0" applyNumberFormat="1" applyFont="1" applyFill="1" applyBorder="1" applyAlignment="1">
      <alignment horizontal="center"/>
      <protection locked="0" hidden="1"/>
    </xf>
    <xf numFmtId="172" fontId="79" fillId="0" borderId="1" xfId="0" applyNumberFormat="1" applyFont="1" applyFill="1" applyBorder="1" applyAlignment="1">
      <alignment horizontal="right"/>
      <protection locked="0" hidden="1"/>
    </xf>
    <xf numFmtId="188" fontId="79" fillId="0" borderId="11" xfId="0" applyNumberFormat="1" applyFont="1" applyFill="1" applyBorder="1" applyAlignment="1">
      <alignment horizontal="right"/>
      <protection locked="0" hidden="1"/>
    </xf>
    <xf numFmtId="172" fontId="79" fillId="0" borderId="0" xfId="0" applyNumberFormat="1" applyFont="1" applyFill="1" applyAlignment="1">
      <alignment horizontal="right"/>
      <protection locked="0" hidden="1"/>
    </xf>
    <xf numFmtId="187" fontId="79" fillId="0" borderId="0" xfId="0" applyNumberFormat="1" applyFont="1" applyFill="1" applyAlignment="1">
      <alignment horizontal="right"/>
      <protection locked="0" hidden="1"/>
    </xf>
    <xf numFmtId="171" fontId="79" fillId="0" borderId="11" xfId="0" applyNumberFormat="1" applyFont="1" applyFill="1" applyBorder="1" applyAlignment="1">
      <alignment horizontal="right"/>
      <protection locked="0" hidden="1"/>
    </xf>
    <xf numFmtId="181" fontId="79" fillId="0" borderId="11" xfId="0" applyNumberFormat="1" applyFont="1" applyFill="1" applyBorder="1" applyAlignment="1">
      <protection locked="0" hidden="1"/>
    </xf>
    <xf numFmtId="166" fontId="85" fillId="0" borderId="0" xfId="0" applyFont="1" applyFill="1" applyAlignment="1">
      <protection locked="0" hidden="1"/>
    </xf>
    <xf numFmtId="166" fontId="84" fillId="0" borderId="9" xfId="0" applyFont="1" applyFill="1" applyBorder="1" applyAlignment="1">
      <alignment horizontal="left"/>
      <protection locked="0" hidden="1"/>
    </xf>
    <xf numFmtId="190" fontId="79" fillId="0" borderId="11" xfId="0" applyNumberFormat="1" applyFont="1" applyFill="1" applyBorder="1" applyAlignment="1">
      <protection locked="0" hidden="1"/>
    </xf>
    <xf numFmtId="182" fontId="79" fillId="0" borderId="11" xfId="0" applyNumberFormat="1" applyFont="1" applyFill="1" applyBorder="1" applyAlignment="1">
      <protection locked="0" hidden="1"/>
    </xf>
    <xf numFmtId="175" fontId="79" fillId="0" borderId="11" xfId="0" applyNumberFormat="1" applyFont="1" applyFill="1" applyBorder="1" applyAlignment="1">
      <protection locked="0" hidden="1"/>
    </xf>
    <xf numFmtId="181" fontId="79" fillId="0" borderId="9" xfId="0" applyNumberFormat="1" applyFont="1" applyFill="1" applyBorder="1" applyAlignment="1">
      <protection locked="0" hidden="1"/>
    </xf>
    <xf numFmtId="172" fontId="79" fillId="0" borderId="0" xfId="0" applyNumberFormat="1" applyFont="1" applyFill="1" applyAlignment="1">
      <protection locked="0" hidden="1"/>
    </xf>
    <xf numFmtId="191" fontId="79" fillId="0" borderId="15" xfId="0" applyNumberFormat="1" applyFont="1" applyFill="1" applyBorder="1" applyAlignment="1">
      <protection locked="0" hidden="1"/>
    </xf>
    <xf numFmtId="195" fontId="79" fillId="0" borderId="11" xfId="0" applyNumberFormat="1" applyFont="1" applyFill="1" applyBorder="1" applyAlignment="1">
      <protection locked="0" hidden="1"/>
    </xf>
    <xf numFmtId="180" fontId="79" fillId="0" borderId="11" xfId="0" applyNumberFormat="1" applyFont="1" applyFill="1" applyBorder="1" applyAlignment="1">
      <protection locked="0" hidden="1"/>
    </xf>
    <xf numFmtId="171" fontId="79" fillId="0" borderId="11" xfId="0" applyNumberFormat="1" applyFont="1" applyFill="1" applyBorder="1" applyAlignment="1">
      <protection locked="0" hidden="1"/>
    </xf>
    <xf numFmtId="166" fontId="86" fillId="0" borderId="1" xfId="0" applyFont="1" applyFill="1" applyBorder="1" applyAlignment="1">
      <alignment horizontal="left"/>
      <protection locked="0" hidden="1"/>
    </xf>
    <xf numFmtId="166" fontId="86" fillId="0" borderId="0" xfId="0" applyFont="1" applyFill="1" applyAlignment="1">
      <alignment horizontal="left"/>
      <protection locked="0" hidden="1"/>
    </xf>
    <xf numFmtId="165" fontId="85" fillId="0" borderId="11" xfId="0" applyNumberFormat="1" applyFont="1" applyFill="1" applyBorder="1" applyAlignment="1">
      <alignment horizontal="right" indent="2"/>
      <protection locked="0" hidden="1"/>
    </xf>
    <xf numFmtId="205" fontId="85" fillId="0" borderId="11" xfId="0" applyNumberFormat="1" applyFont="1" applyFill="1" applyBorder="1" applyAlignment="1">
      <alignment horizontal="right" indent="2"/>
      <protection locked="0" hidden="1"/>
    </xf>
    <xf numFmtId="0" fontId="87" fillId="0" borderId="0" xfId="21" applyFont="1" applyAlignment="1">
      <alignment horizontal="centerContinuous" vertical="center" readingOrder="2"/>
    </xf>
    <xf numFmtId="0" fontId="85" fillId="0" borderId="0" xfId="21" applyFont="1" applyAlignment="1">
      <alignment horizontal="centerContinuous"/>
    </xf>
    <xf numFmtId="0" fontId="85" fillId="0" borderId="0" xfId="21" applyFont="1"/>
    <xf numFmtId="0" fontId="88" fillId="0" borderId="0" xfId="21" applyFont="1" applyAlignment="1">
      <alignment horizontal="centerContinuous" vertical="center"/>
    </xf>
    <xf numFmtId="0" fontId="80" fillId="0" borderId="12" xfId="21" applyFont="1" applyBorder="1" applyAlignment="1">
      <alignment horizontal="center" vertical="top"/>
    </xf>
    <xf numFmtId="0" fontId="85" fillId="0" borderId="0" xfId="21" applyFont="1" applyAlignment="1">
      <alignment vertical="top"/>
    </xf>
    <xf numFmtId="0" fontId="80" fillId="0" borderId="11" xfId="21" applyFont="1" applyBorder="1" applyAlignment="1">
      <alignment horizontal="center" vertical="top"/>
    </xf>
    <xf numFmtId="0" fontId="86" fillId="0" borderId="8" xfId="21" applyFont="1" applyBorder="1" applyAlignment="1">
      <alignment horizontal="center"/>
    </xf>
    <xf numFmtId="166" fontId="86" fillId="0" borderId="25" xfId="0" applyFont="1" applyFill="1" applyBorder="1" applyAlignment="1">
      <alignment horizontal="left" indent="1"/>
      <protection locked="0" hidden="1"/>
    </xf>
    <xf numFmtId="166" fontId="85" fillId="3" borderId="6" xfId="0" applyFont="1" applyFill="1" applyBorder="1" applyAlignment="1">
      <alignment horizontal="right" indent="1"/>
      <protection locked="0" hidden="1"/>
    </xf>
    <xf numFmtId="166" fontId="84" fillId="0" borderId="6" xfId="0" applyFont="1" applyFill="1" applyBorder="1" applyAlignment="1">
      <alignment horizontal="right" indent="1" readingOrder="2"/>
      <protection locked="0" hidden="1"/>
    </xf>
    <xf numFmtId="166" fontId="85" fillId="0" borderId="27" xfId="0" applyFont="1" applyFill="1" applyBorder="1" applyAlignment="1">
      <alignment horizontal="left" vertical="center" indent="2"/>
      <protection locked="0" hidden="1"/>
    </xf>
    <xf numFmtId="166" fontId="79" fillId="0" borderId="27" xfId="0" applyFont="1" applyFill="1" applyBorder="1" applyAlignment="1">
      <alignment horizontal="right" indent="1" readingOrder="2"/>
      <protection locked="0" hidden="1"/>
    </xf>
    <xf numFmtId="166" fontId="86" fillId="0" borderId="27" xfId="0" applyFont="1" applyFill="1" applyBorder="1" applyAlignment="1">
      <alignment horizontal="left" indent="1"/>
      <protection locked="0" hidden="1"/>
    </xf>
    <xf numFmtId="165" fontId="85" fillId="3" borderId="11" xfId="0" applyNumberFormat="1" applyFont="1" applyFill="1" applyBorder="1" applyAlignment="1">
      <alignment horizontal="right" indent="1"/>
      <protection locked="0" hidden="1"/>
    </xf>
    <xf numFmtId="166" fontId="84" fillId="0" borderId="27" xfId="0" applyFont="1" applyFill="1" applyBorder="1" applyAlignment="1">
      <alignment horizontal="right" indent="1" readingOrder="2"/>
      <protection locked="0" hidden="1"/>
    </xf>
    <xf numFmtId="166" fontId="85" fillId="0" borderId="27" xfId="0" applyFont="1" applyFill="1" applyBorder="1" applyAlignment="1">
      <alignment horizontal="left" vertical="center" indent="1"/>
      <protection locked="0" hidden="1"/>
    </xf>
    <xf numFmtId="1" fontId="79" fillId="0" borderId="27" xfId="0" applyNumberFormat="1" applyFont="1" applyFill="1" applyBorder="1" applyAlignment="1">
      <alignment horizontal="right" vertical="center" indent="2" readingOrder="2"/>
      <protection locked="0" hidden="1"/>
    </xf>
    <xf numFmtId="166" fontId="79" fillId="0" borderId="27" xfId="0" applyFont="1" applyFill="1" applyBorder="1" applyAlignment="1">
      <alignment horizontal="right" vertical="center" indent="2" readingOrder="2"/>
      <protection locked="0" hidden="1"/>
    </xf>
    <xf numFmtId="166" fontId="79" fillId="0" borderId="27" xfId="0" applyFont="1" applyFill="1" applyBorder="1" applyAlignment="1">
      <alignment horizontal="right" indent="2" readingOrder="2"/>
      <protection locked="0" hidden="1"/>
    </xf>
    <xf numFmtId="206" fontId="85" fillId="0" borderId="0" xfId="0" applyNumberFormat="1" applyFont="1" applyFill="1" applyAlignment="1">
      <protection locked="0" hidden="1"/>
    </xf>
    <xf numFmtId="166" fontId="85" fillId="0" borderId="28" xfId="0" applyFont="1" applyFill="1" applyBorder="1" applyAlignment="1">
      <alignment horizontal="left" vertical="center" indent="1"/>
      <protection locked="0" hidden="1"/>
    </xf>
    <xf numFmtId="166" fontId="85" fillId="0" borderId="28" xfId="0" applyFont="1" applyFill="1" applyBorder="1" applyAlignment="1">
      <alignment horizontal="left" vertical="center" indent="2"/>
      <protection locked="0" hidden="1"/>
    </xf>
    <xf numFmtId="166" fontId="79" fillId="0" borderId="9" xfId="0" applyFont="1" applyFill="1" applyBorder="1" applyAlignment="1">
      <alignment horizontal="right" indent="2" readingOrder="2"/>
      <protection locked="0" hidden="1"/>
    </xf>
    <xf numFmtId="166" fontId="85" fillId="0" borderId="26" xfId="0" applyFont="1" applyFill="1" applyBorder="1" applyAlignment="1">
      <alignment horizontal="left" indent="1"/>
      <protection locked="0" hidden="1"/>
    </xf>
    <xf numFmtId="0" fontId="85" fillId="0" borderId="7" xfId="21" applyFont="1" applyBorder="1" applyAlignment="1">
      <alignment horizontal="left" readingOrder="1"/>
    </xf>
    <xf numFmtId="0" fontId="85" fillId="0" borderId="7" xfId="21" applyFont="1" applyBorder="1" applyAlignment="1">
      <alignment horizontal="centerContinuous"/>
    </xf>
    <xf numFmtId="0" fontId="85" fillId="0" borderId="7" xfId="21" applyFont="1" applyBorder="1" applyAlignment="1">
      <alignment horizontal="right" readingOrder="2"/>
    </xf>
    <xf numFmtId="166" fontId="85" fillId="0" borderId="0" xfId="0" applyFont="1" applyFill="1" applyAlignment="1">
      <alignment horizontal="left" vertical="center" indent="2"/>
      <protection locked="0" hidden="1"/>
    </xf>
    <xf numFmtId="166" fontId="81" fillId="0" borderId="0" xfId="0" applyFont="1" applyFill="1" applyAlignment="1">
      <alignment horizontal="right" indent="2" readingOrder="2"/>
      <protection locked="0" hidden="1"/>
    </xf>
    <xf numFmtId="166" fontId="84" fillId="0" borderId="27" xfId="0" applyFont="1" applyFill="1" applyBorder="1" applyAlignment="1">
      <alignment horizontal="right" vertical="top" indent="1" readingOrder="2"/>
      <protection locked="0" hidden="1"/>
    </xf>
    <xf numFmtId="164" fontId="85" fillId="3" borderId="11" xfId="0" applyNumberFormat="1" applyFont="1" applyFill="1" applyBorder="1" applyAlignment="1">
      <alignment horizontal="right" indent="1"/>
      <protection locked="0" hidden="1"/>
    </xf>
    <xf numFmtId="166" fontId="79" fillId="0" borderId="9" xfId="0" applyFont="1" applyFill="1" applyBorder="1" applyAlignment="1">
      <alignment horizontal="right" indent="1" readingOrder="2"/>
      <protection locked="0" hidden="1"/>
    </xf>
    <xf numFmtId="164" fontId="85" fillId="3" borderId="9" xfId="0" applyNumberFormat="1" applyFont="1" applyFill="1" applyBorder="1" applyAlignment="1">
      <protection locked="0" hidden="1"/>
    </xf>
    <xf numFmtId="166" fontId="84" fillId="0" borderId="29" xfId="0" applyFont="1" applyFill="1" applyBorder="1" applyAlignment="1">
      <alignment horizontal="right" indent="1" readingOrder="2"/>
      <protection locked="0" hidden="1"/>
    </xf>
    <xf numFmtId="0" fontId="85" fillId="0" borderId="0" xfId="21" applyFont="1" applyAlignment="1">
      <alignment horizontal="left" readingOrder="1"/>
    </xf>
    <xf numFmtId="0" fontId="85" fillId="0" borderId="0" xfId="21" applyFont="1" applyAlignment="1">
      <alignment horizontal="right" readingOrder="2"/>
    </xf>
    <xf numFmtId="166" fontId="85" fillId="0" borderId="30" xfId="0" applyFont="1" applyFill="1" applyBorder="1" applyAlignment="1">
      <alignment horizontal="left" vertical="center" indent="1"/>
      <protection locked="0" hidden="1"/>
    </xf>
    <xf numFmtId="166" fontId="85" fillId="0" borderId="7" xfId="0" applyFont="1" applyFill="1" applyBorder="1" applyAlignment="1">
      <alignment horizontal="left" readingOrder="1"/>
      <protection locked="0" hidden="1"/>
    </xf>
    <xf numFmtId="166" fontId="85" fillId="0" borderId="7" xfId="0" applyFont="1" applyFill="1" applyBorder="1" applyAlignment="1">
      <protection locked="0" hidden="1"/>
    </xf>
    <xf numFmtId="166" fontId="85" fillId="0" borderId="7" xfId="0" applyFont="1" applyFill="1" applyBorder="1" applyAlignment="1">
      <alignment horizontal="right" readingOrder="2"/>
      <protection locked="0" hidden="1"/>
    </xf>
    <xf numFmtId="166" fontId="85" fillId="0" borderId="0" xfId="0" applyFont="1" applyFill="1" applyAlignment="1">
      <alignment horizontal="right" readingOrder="2"/>
      <protection locked="0" hidden="1"/>
    </xf>
    <xf numFmtId="166" fontId="89" fillId="0" borderId="0" xfId="0" applyFont="1" applyFill="1" applyAlignment="1">
      <protection locked="0" hidden="1"/>
    </xf>
    <xf numFmtId="166" fontId="89" fillId="0" borderId="0" xfId="0" applyFont="1" applyFill="1" applyAlignment="1">
      <alignment horizontal="right" readingOrder="2"/>
      <protection locked="0" hidden="1"/>
    </xf>
    <xf numFmtId="197" fontId="22" fillId="0" borderId="9" xfId="0" applyNumberFormat="1" applyFont="1" applyFill="1" applyBorder="1" applyAlignment="1">
      <protection locked="0" hidden="1"/>
    </xf>
    <xf numFmtId="166" fontId="50" fillId="0" borderId="2" xfId="0" applyFont="1" applyFill="1" applyBorder="1" applyAlignment="1">
      <alignment horizontal="left"/>
      <protection locked="0" hidden="1"/>
    </xf>
    <xf numFmtId="166" fontId="50" fillId="0" borderId="7" xfId="0" applyFont="1" applyFill="1" applyBorder="1" applyAlignment="1">
      <alignment horizontal="left"/>
      <protection locked="0" hidden="1"/>
    </xf>
    <xf numFmtId="196" fontId="22" fillId="0" borderId="12" xfId="0" applyNumberFormat="1" applyFont="1" applyFill="1" applyBorder="1" applyAlignment="1">
      <alignment horizontal="right"/>
      <protection locked="0" hidden="1"/>
    </xf>
    <xf numFmtId="197" fontId="22" fillId="0" borderId="6" xfId="0" applyNumberFormat="1" applyFont="1" applyFill="1" applyBorder="1" applyAlignment="1">
      <protection locked="0" hidden="1"/>
    </xf>
    <xf numFmtId="166" fontId="21" fillId="0" borderId="0" xfId="0" applyFont="1" applyFill="1" applyAlignment="1">
      <alignment horizontal="left" vertical="top"/>
      <protection locked="0" hidden="1"/>
    </xf>
    <xf numFmtId="196" fontId="18" fillId="0" borderId="11" xfId="0" applyNumberFormat="1" applyFont="1" applyFill="1" applyBorder="1" applyAlignment="1">
      <alignment horizontal="right"/>
      <protection locked="0" hidden="1"/>
    </xf>
    <xf numFmtId="197" fontId="18" fillId="0" borderId="9" xfId="0" applyNumberFormat="1" applyFont="1" applyFill="1" applyBorder="1" applyAlignment="1">
      <protection locked="0" hidden="1"/>
    </xf>
    <xf numFmtId="196" fontId="79" fillId="0" borderId="11" xfId="0" applyNumberFormat="1" applyFont="1" applyFill="1" applyBorder="1" applyAlignment="1">
      <alignment horizontal="right"/>
      <protection locked="0" hidden="1"/>
    </xf>
    <xf numFmtId="197" fontId="79" fillId="0" borderId="9" xfId="0" applyNumberFormat="1" applyFont="1" applyFill="1" applyBorder="1" applyAlignment="1">
      <protection locked="0" hidden="1"/>
    </xf>
    <xf numFmtId="165" fontId="85" fillId="0" borderId="11" xfId="0" applyNumberFormat="1" applyFont="1" applyFill="1" applyBorder="1" applyAlignment="1">
      <alignment horizontal="right"/>
      <protection locked="0" hidden="1"/>
    </xf>
    <xf numFmtId="165" fontId="85" fillId="3" borderId="11" xfId="0" applyNumberFormat="1" applyFont="1" applyFill="1" applyBorder="1" applyAlignment="1">
      <alignment horizontal="right"/>
      <protection locked="0" hidden="1"/>
    </xf>
    <xf numFmtId="165" fontId="90" fillId="0" borderId="11" xfId="0" applyNumberFormat="1" applyFont="1" applyFill="1" applyBorder="1" applyAlignment="1">
      <alignment horizontal="right"/>
      <protection locked="0" hidden="1"/>
    </xf>
    <xf numFmtId="165" fontId="85" fillId="0" borderId="9" xfId="0" applyNumberFormat="1" applyFont="1" applyFill="1" applyBorder="1" applyAlignment="1">
      <alignment horizontal="right"/>
      <protection locked="0" hidden="1"/>
    </xf>
    <xf numFmtId="164" fontId="85" fillId="3" borderId="11" xfId="0" applyNumberFormat="1" applyFont="1" applyFill="1" applyBorder="1" applyAlignment="1">
      <alignment horizontal="right"/>
      <protection locked="0" hidden="1"/>
    </xf>
    <xf numFmtId="1" fontId="85" fillId="0" borderId="11" xfId="0" applyNumberFormat="1" applyFont="1" applyFill="1" applyBorder="1" applyAlignment="1">
      <alignment horizontal="right"/>
      <protection locked="0" hidden="1"/>
    </xf>
    <xf numFmtId="164" fontId="85" fillId="0" borderId="11" xfId="0" applyNumberFormat="1" applyFont="1" applyFill="1" applyBorder="1" applyAlignment="1">
      <alignment horizontal="right"/>
      <protection locked="0" hidden="1"/>
    </xf>
    <xf numFmtId="199" fontId="85" fillId="0" borderId="11" xfId="0" applyNumberFormat="1" applyFont="1" applyFill="1" applyBorder="1" applyAlignment="1">
      <alignment horizontal="right"/>
      <protection locked="0" hidden="1"/>
    </xf>
    <xf numFmtId="164" fontId="85" fillId="0" borderId="9" xfId="0" applyNumberFormat="1" applyFont="1" applyFill="1" applyBorder="1" applyAlignment="1">
      <alignment horizontal="right"/>
      <protection locked="0" hidden="1"/>
    </xf>
    <xf numFmtId="197" fontId="83" fillId="0" borderId="9" xfId="0" applyNumberFormat="1" applyFont="1" applyFill="1" applyBorder="1" applyAlignment="1">
      <protection locked="0" hidden="1"/>
    </xf>
    <xf numFmtId="166" fontId="79" fillId="0" borderId="7" xfId="0" applyFont="1" applyFill="1" applyBorder="1" applyAlignment="1">
      <alignment horizontal="right" readingOrder="2"/>
      <protection locked="0" hidden="1"/>
    </xf>
    <xf numFmtId="0" fontId="85" fillId="0" borderId="7" xfId="0" applyNumberFormat="1" applyFont="1" applyFill="1" applyBorder="1" applyAlignment="1" applyProtection="1"/>
    <xf numFmtId="0" fontId="85" fillId="0" borderId="7" xfId="0" applyNumberFormat="1" applyFont="1" applyFill="1" applyBorder="1" applyAlignment="1" applyProtection="1">
      <alignment horizontal="right" readingOrder="2"/>
    </xf>
    <xf numFmtId="165" fontId="90" fillId="0" borderId="11" xfId="0" applyNumberFormat="1" applyFont="1" applyFill="1" applyBorder="1" applyAlignment="1">
      <alignment horizontal="right" indent="2"/>
      <protection locked="0" hidden="1"/>
    </xf>
    <xf numFmtId="166" fontId="48" fillId="0" borderId="8" xfId="0" applyFont="1" applyFill="1" applyBorder="1" applyAlignment="1">
      <alignment horizontal="center" vertical="center"/>
      <protection locked="0" hidden="1"/>
    </xf>
    <xf numFmtId="0" fontId="85" fillId="0" borderId="0" xfId="22" applyFont="1"/>
    <xf numFmtId="0" fontId="79" fillId="0" borderId="0" xfId="22" applyFont="1"/>
    <xf numFmtId="166" fontId="84" fillId="0" borderId="0" xfId="0" applyFont="1" applyFill="1" applyAlignment="1">
      <protection locked="0" hidden="1"/>
    </xf>
    <xf numFmtId="200" fontId="79" fillId="0" borderId="11" xfId="0" applyNumberFormat="1" applyFont="1" applyFill="1" applyBorder="1" applyAlignment="1">
      <protection locked="0" hidden="1"/>
    </xf>
    <xf numFmtId="207" fontId="79" fillId="0" borderId="11" xfId="0" applyNumberFormat="1" applyFont="1" applyFill="1" applyBorder="1" applyAlignment="1">
      <protection locked="0" hidden="1"/>
    </xf>
    <xf numFmtId="3" fontId="91" fillId="0" borderId="11" xfId="22" applyNumberFormat="1" applyFont="1" applyBorder="1" applyAlignment="1">
      <alignment horizontal="right" indent="2" readingOrder="1"/>
    </xf>
    <xf numFmtId="2" fontId="18" fillId="0" borderId="11" xfId="22" applyNumberFormat="1" applyFont="1" applyBorder="1" applyAlignment="1">
      <alignment horizontal="right" indent="3"/>
    </xf>
    <xf numFmtId="164" fontId="81" fillId="0" borderId="0" xfId="0" applyNumberFormat="1" applyFont="1" applyFill="1" applyAlignment="1">
      <protection locked="0" hidden="1"/>
    </xf>
    <xf numFmtId="165" fontId="85" fillId="0" borderId="0" xfId="0" applyNumberFormat="1" applyFont="1" applyFill="1" applyAlignment="1">
      <alignment horizontal="right"/>
      <protection locked="0" hidden="1"/>
    </xf>
    <xf numFmtId="2" fontId="8" fillId="0" borderId="7" xfId="22" applyNumberFormat="1" applyFont="1" applyBorder="1" applyAlignment="1">
      <alignment horizontal="right" readingOrder="2"/>
    </xf>
    <xf numFmtId="166" fontId="48" fillId="0" borderId="11" xfId="0" applyFont="1" applyFill="1" applyBorder="1" applyAlignment="1">
      <alignment horizontal="right" indent="1"/>
      <protection locked="0" hidden="1"/>
    </xf>
    <xf numFmtId="166" fontId="50" fillId="0" borderId="11" xfId="0" applyFont="1" applyFill="1" applyBorder="1" applyAlignment="1">
      <alignment horizontal="left" wrapText="1" indent="1"/>
      <protection locked="0" hidden="1"/>
    </xf>
    <xf numFmtId="170" fontId="50" fillId="0" borderId="9" xfId="0" applyNumberFormat="1" applyFont="1" applyFill="1" applyBorder="1" applyAlignment="1">
      <alignment horizontal="right"/>
      <protection locked="0" hidden="1"/>
    </xf>
    <xf numFmtId="166" fontId="22" fillId="0" borderId="11" xfId="0" applyFont="1" applyFill="1" applyBorder="1" applyAlignment="1">
      <alignment horizontal="left" wrapText="1" indent="2"/>
      <protection locked="0" hidden="1"/>
    </xf>
    <xf numFmtId="170" fontId="22" fillId="0" borderId="11" xfId="0" applyNumberFormat="1" applyFont="1" applyFill="1" applyBorder="1" applyAlignment="1">
      <alignment horizontal="right"/>
      <protection locked="0" hidden="1"/>
    </xf>
    <xf numFmtId="166" fontId="16" fillId="0" borderId="11" xfId="0" applyFont="1" applyFill="1" applyBorder="1" applyAlignment="1">
      <alignment horizontal="right" indent="2"/>
      <protection locked="0" hidden="1"/>
    </xf>
    <xf numFmtId="166" fontId="22" fillId="0" borderId="1" xfId="0" applyFont="1" applyFill="1" applyBorder="1" applyAlignment="1">
      <alignment horizontal="left" wrapText="1" indent="2"/>
      <protection locked="0" hidden="1"/>
    </xf>
    <xf numFmtId="166" fontId="50" fillId="0" borderId="1" xfId="0" applyFont="1" applyFill="1" applyBorder="1" applyAlignment="1">
      <alignment horizontal="left" wrapText="1" indent="1"/>
      <protection locked="0" hidden="1"/>
    </xf>
    <xf numFmtId="170" fontId="50" fillId="0" borderId="11" xfId="0" applyNumberFormat="1" applyFont="1" applyFill="1" applyBorder="1" applyAlignment="1">
      <alignment horizontal="right"/>
      <protection locked="0" hidden="1"/>
    </xf>
    <xf numFmtId="170" fontId="22" fillId="0" borderId="8" xfId="0" applyNumberFormat="1" applyFont="1" applyFill="1" applyBorder="1" applyAlignment="1">
      <alignment horizontal="right"/>
      <protection locked="0" hidden="1"/>
    </xf>
    <xf numFmtId="166" fontId="61" fillId="0" borderId="0" xfId="0" applyFont="1" applyFill="1" applyAlignment="1">
      <protection locked="0" hidden="1"/>
    </xf>
    <xf numFmtId="166" fontId="22" fillId="0" borderId="7" xfId="0" applyFont="1" applyFill="1" applyBorder="1" applyAlignment="1">
      <alignment horizontal="right" readingOrder="2"/>
      <protection locked="0" hidden="1"/>
    </xf>
    <xf numFmtId="166" fontId="54" fillId="0" borderId="0" xfId="0" applyFont="1" applyFill="1" applyAlignment="1">
      <protection locked="0" hidden="1"/>
    </xf>
    <xf numFmtId="166" fontId="85" fillId="0" borderId="27" xfId="0" applyFont="1" applyFill="1" applyBorder="1" applyAlignment="1">
      <alignment horizontal="left" vertical="center" wrapText="1" indent="1"/>
      <protection locked="0" hidden="1"/>
    </xf>
    <xf numFmtId="208" fontId="30" fillId="0" borderId="9" xfId="0" applyNumberFormat="1" applyFont="1" applyFill="1" applyBorder="1" applyAlignment="1">
      <alignment horizontal="right"/>
      <protection locked="0" hidden="1"/>
    </xf>
    <xf numFmtId="208" fontId="30" fillId="0" borderId="15" xfId="0" applyNumberFormat="1" applyFont="1" applyFill="1" applyBorder="1" applyAlignment="1">
      <alignment horizontal="right"/>
      <protection locked="0" hidden="1"/>
    </xf>
    <xf numFmtId="165" fontId="81" fillId="0" borderId="11" xfId="0" applyNumberFormat="1" applyFont="1" applyFill="1" applyBorder="1" applyAlignment="1">
      <alignment horizontal="right" readingOrder="2"/>
      <protection locked="0" hidden="1"/>
    </xf>
    <xf numFmtId="165" fontId="81" fillId="0" borderId="9" xfId="0" applyNumberFormat="1" applyFont="1" applyFill="1" applyBorder="1" applyAlignment="1">
      <alignment horizontal="right"/>
      <protection locked="0" hidden="1"/>
    </xf>
    <xf numFmtId="3" fontId="85" fillId="0" borderId="11" xfId="22" applyNumberFormat="1" applyFont="1" applyBorder="1" applyAlignment="1">
      <alignment horizontal="right" indent="2" readingOrder="1"/>
    </xf>
    <xf numFmtId="166" fontId="14" fillId="0" borderId="11" xfId="0" applyFont="1" applyFill="1" applyBorder="1" applyAlignment="1">
      <alignment horizontal="center" vertical="center" wrapText="1" readingOrder="2"/>
      <protection locked="0" hidden="1"/>
    </xf>
    <xf numFmtId="166" fontId="12" fillId="0" borderId="8" xfId="0" applyFont="1" applyFill="1" applyBorder="1" applyAlignment="1">
      <alignment horizontal="center" vertical="center" wrapText="1" readingOrder="1"/>
      <protection locked="0" hidden="1"/>
    </xf>
    <xf numFmtId="166" fontId="92" fillId="0" borderId="0" xfId="0" applyFont="1" applyFill="1" applyAlignment="1">
      <protection locked="0" hidden="1"/>
    </xf>
    <xf numFmtId="166" fontId="92" fillId="0" borderId="31" xfId="0" applyFont="1" applyFill="1" applyBorder="1" applyAlignment="1">
      <protection locked="0" hidden="1"/>
    </xf>
    <xf numFmtId="166" fontId="92" fillId="0" borderId="32" xfId="0" applyFont="1" applyFill="1" applyBorder="1" applyAlignment="1">
      <protection locked="0" hidden="1"/>
    </xf>
    <xf numFmtId="166" fontId="92" fillId="0" borderId="33" xfId="0" applyFont="1" applyFill="1" applyBorder="1" applyAlignment="1">
      <protection locked="0" hidden="1"/>
    </xf>
    <xf numFmtId="166" fontId="93" fillId="0" borderId="34" xfId="0" applyFont="1" applyFill="1" applyBorder="1" applyAlignment="1">
      <alignment horizontal="centerContinuous"/>
      <protection locked="0" hidden="1"/>
    </xf>
    <xf numFmtId="166" fontId="94" fillId="0" borderId="0" xfId="0" applyFont="1" applyFill="1" applyAlignment="1">
      <alignment horizontal="centerContinuous"/>
      <protection locked="0" hidden="1"/>
    </xf>
    <xf numFmtId="166" fontId="95" fillId="0" borderId="0" xfId="0" applyFont="1" applyFill="1" applyAlignment="1">
      <alignment horizontal="centerContinuous"/>
      <protection locked="0" hidden="1"/>
    </xf>
    <xf numFmtId="166" fontId="96" fillId="0" borderId="0" xfId="0" applyFont="1" applyFill="1" applyAlignment="1">
      <alignment horizontal="centerContinuous"/>
      <protection locked="0" hidden="1"/>
    </xf>
    <xf numFmtId="166" fontId="96" fillId="0" borderId="35" xfId="0" applyFont="1" applyFill="1" applyBorder="1" applyAlignment="1">
      <alignment horizontal="centerContinuous"/>
      <protection locked="0" hidden="1"/>
    </xf>
    <xf numFmtId="166" fontId="96" fillId="0" borderId="0" xfId="0" applyFont="1" applyFill="1" applyAlignment="1">
      <protection locked="0" hidden="1"/>
    </xf>
    <xf numFmtId="166" fontId="97" fillId="0" borderId="0" xfId="0" applyFont="1" applyFill="1" applyAlignment="1">
      <alignment horizontal="centerContinuous"/>
      <protection locked="0" hidden="1"/>
    </xf>
    <xf numFmtId="166" fontId="92" fillId="0" borderId="34" xfId="0" applyFont="1" applyFill="1" applyBorder="1" applyAlignment="1">
      <alignment vertical="top"/>
      <protection locked="0" hidden="1"/>
    </xf>
    <xf numFmtId="166" fontId="98" fillId="0" borderId="0" xfId="0" applyFont="1" applyFill="1" applyAlignment="1">
      <alignment readingOrder="1"/>
      <protection locked="0" hidden="1"/>
    </xf>
    <xf numFmtId="166" fontId="99" fillId="0" borderId="0" xfId="0" applyFont="1" applyFill="1" applyAlignment="1">
      <alignment vertical="top"/>
      <protection locked="0" hidden="1"/>
    </xf>
    <xf numFmtId="166" fontId="100" fillId="0" borderId="0" xfId="0" applyFont="1" applyFill="1" applyAlignment="1">
      <alignment horizontal="center" vertical="top"/>
      <protection locked="0" hidden="1"/>
    </xf>
    <xf numFmtId="166" fontId="101" fillId="0" borderId="0" xfId="0" applyFont="1" applyFill="1" applyAlignment="1">
      <alignment horizontal="right" readingOrder="2"/>
      <protection locked="0" hidden="1"/>
    </xf>
    <xf numFmtId="166" fontId="92" fillId="0" borderId="35" xfId="0" applyFont="1" applyFill="1" applyBorder="1" applyAlignment="1">
      <alignment vertical="top"/>
      <protection locked="0" hidden="1"/>
    </xf>
    <xf numFmtId="166" fontId="92" fillId="0" borderId="0" xfId="0" applyFont="1" applyFill="1" applyAlignment="1">
      <alignment vertical="top"/>
      <protection locked="0" hidden="1"/>
    </xf>
    <xf numFmtId="166" fontId="92" fillId="0" borderId="34" xfId="0" applyFont="1" applyFill="1" applyBorder="1" applyAlignment="1">
      <protection locked="0" hidden="1"/>
    </xf>
    <xf numFmtId="166" fontId="102" fillId="0" borderId="0" xfId="0" applyFont="1" applyFill="1" applyAlignment="1">
      <protection locked="0" hidden="1"/>
    </xf>
    <xf numFmtId="166" fontId="100" fillId="0" borderId="0" xfId="0" applyFont="1" applyFill="1" applyAlignment="1">
      <protection locked="0" hidden="1"/>
    </xf>
    <xf numFmtId="166" fontId="100" fillId="0" borderId="0" xfId="0" applyFont="1" applyFill="1" applyAlignment="1">
      <alignment horizontal="center"/>
      <protection locked="0" hidden="1"/>
    </xf>
    <xf numFmtId="166" fontId="103" fillId="0" borderId="0" xfId="0" applyFont="1" applyFill="1" applyAlignment="1">
      <alignment horizontal="right"/>
      <protection locked="0" hidden="1"/>
    </xf>
    <xf numFmtId="166" fontId="92" fillId="0" borderId="35" xfId="0" applyFont="1" applyFill="1" applyBorder="1" applyAlignment="1">
      <protection locked="0" hidden="1"/>
    </xf>
    <xf numFmtId="166" fontId="92" fillId="0" borderId="36" xfId="0" applyFont="1" applyFill="1" applyBorder="1" applyAlignment="1">
      <protection locked="0" hidden="1"/>
    </xf>
    <xf numFmtId="166" fontId="92" fillId="0" borderId="36" xfId="0" applyFont="1" applyFill="1" applyBorder="1" applyAlignment="1">
      <alignment horizontal="right"/>
      <protection locked="0" hidden="1"/>
    </xf>
    <xf numFmtId="166" fontId="104" fillId="0" borderId="36" xfId="0" applyFont="1" applyFill="1" applyBorder="1" applyAlignment="1">
      <alignment horizontal="right"/>
      <protection locked="0" hidden="1"/>
    </xf>
    <xf numFmtId="166" fontId="104" fillId="0" borderId="36" xfId="0" applyFont="1" applyFill="1" applyBorder="1" applyAlignment="1">
      <alignment horizontal="right" readingOrder="2"/>
      <protection locked="0" hidden="1"/>
    </xf>
    <xf numFmtId="166" fontId="105" fillId="0" borderId="34" xfId="0" applyFont="1" applyFill="1" applyBorder="1" applyAlignment="1">
      <protection locked="0" hidden="1"/>
    </xf>
    <xf numFmtId="166" fontId="105" fillId="0" borderId="0" xfId="0" applyFont="1" applyFill="1" applyAlignment="1">
      <alignment horizontal="right"/>
      <protection locked="0" hidden="1"/>
    </xf>
    <xf numFmtId="166" fontId="105" fillId="0" borderId="35" xfId="0" applyFont="1" applyFill="1" applyBorder="1" applyAlignment="1">
      <protection locked="0" hidden="1"/>
    </xf>
    <xf numFmtId="166" fontId="105" fillId="0" borderId="0" xfId="0" applyFont="1" applyFill="1" applyAlignment="1">
      <protection locked="0" hidden="1"/>
    </xf>
    <xf numFmtId="166" fontId="92" fillId="0" borderId="37" xfId="0" applyFont="1" applyFill="1" applyBorder="1" applyAlignment="1">
      <protection locked="0" hidden="1"/>
    </xf>
    <xf numFmtId="166" fontId="92" fillId="0" borderId="38" xfId="0" applyFont="1" applyFill="1" applyBorder="1" applyAlignment="1">
      <protection locked="0" hidden="1"/>
    </xf>
    <xf numFmtId="166" fontId="92" fillId="0" borderId="38" xfId="0" applyFont="1" applyFill="1" applyBorder="1" applyAlignment="1">
      <alignment horizontal="right"/>
      <protection locked="0" hidden="1"/>
    </xf>
    <xf numFmtId="166" fontId="92" fillId="0" borderId="39" xfId="0" applyFont="1" applyFill="1" applyBorder="1" applyAlignment="1">
      <protection locked="0" hidden="1"/>
    </xf>
    <xf numFmtId="166" fontId="92" fillId="0" borderId="0" xfId="0" applyFont="1" applyFill="1" applyAlignment="1">
      <alignment horizontal="right"/>
      <protection locked="0" hidden="1"/>
    </xf>
    <xf numFmtId="166" fontId="92" fillId="0" borderId="32" xfId="0" applyFont="1" applyFill="1" applyBorder="1" applyAlignment="1">
      <alignment horizontal="right"/>
      <protection locked="0" hidden="1"/>
    </xf>
    <xf numFmtId="166" fontId="78" fillId="0" borderId="34" xfId="0" applyFont="1" applyFill="1" applyBorder="1" applyAlignment="1">
      <protection locked="0" hidden="1"/>
    </xf>
    <xf numFmtId="166" fontId="78" fillId="0" borderId="0" xfId="0" applyFont="1" applyFill="1" applyAlignment="1">
      <alignment horizontal="center"/>
      <protection locked="0" hidden="1"/>
    </xf>
    <xf numFmtId="166" fontId="78" fillId="0" borderId="35" xfId="0" applyFont="1" applyFill="1" applyBorder="1" applyAlignment="1">
      <protection locked="0" hidden="1"/>
    </xf>
    <xf numFmtId="166" fontId="102" fillId="0" borderId="36" xfId="0" applyFont="1" applyFill="1" applyBorder="1" applyAlignment="1">
      <protection locked="0" hidden="1"/>
    </xf>
    <xf numFmtId="166" fontId="103" fillId="0" borderId="36" xfId="0" applyFont="1" applyFill="1" applyBorder="1" applyAlignment="1">
      <alignment horizontal="right"/>
      <protection locked="0" hidden="1"/>
    </xf>
    <xf numFmtId="0" fontId="93" fillId="0" borderId="0" xfId="0" applyNumberFormat="1" applyFont="1" applyFill="1" applyAlignment="1" applyProtection="1">
      <alignment horizontal="centerContinuous"/>
    </xf>
    <xf numFmtId="0" fontId="85" fillId="0" borderId="0" xfId="0" applyNumberFormat="1" applyFont="1" applyFill="1" applyAlignment="1" applyProtection="1">
      <alignment horizontal="centerContinuous" wrapText="1"/>
    </xf>
    <xf numFmtId="165" fontId="85" fillId="0" borderId="0" xfId="0" applyNumberFormat="1" applyFont="1" applyFill="1" applyAlignment="1" applyProtection="1">
      <alignment horizontal="right" wrapText="1"/>
    </xf>
    <xf numFmtId="0" fontId="85" fillId="0" borderId="0" xfId="0" applyNumberFormat="1" applyFont="1" applyFill="1" applyAlignment="1" applyProtection="1">
      <alignment wrapText="1"/>
    </xf>
    <xf numFmtId="166" fontId="95" fillId="0" borderId="0" xfId="0" applyFont="1" applyFill="1" applyAlignment="1">
      <alignment horizontal="centerContinuous" vertical="center"/>
      <protection locked="0" hidden="1"/>
    </xf>
    <xf numFmtId="166" fontId="106" fillId="0" borderId="0" xfId="0" applyFont="1" applyFill="1" applyAlignment="1">
      <alignment horizontal="centerContinuous" vertical="center"/>
      <protection locked="0" hidden="1"/>
    </xf>
    <xf numFmtId="170" fontId="85" fillId="0" borderId="0" xfId="0" applyNumberFormat="1" applyFont="1" applyFill="1" applyAlignment="1" applyProtection="1">
      <alignment horizontal="centerContinuous" wrapText="1"/>
    </xf>
    <xf numFmtId="0" fontId="95" fillId="0" borderId="0" xfId="0" applyNumberFormat="1" applyFont="1" applyFill="1" applyAlignment="1" applyProtection="1">
      <alignment horizontal="centerContinuous" vertical="center"/>
    </xf>
    <xf numFmtId="0" fontId="85" fillId="0" borderId="0" xfId="0" applyNumberFormat="1" applyFont="1" applyFill="1" applyAlignment="1" applyProtection="1">
      <alignment horizontal="centerContinuous"/>
    </xf>
    <xf numFmtId="170" fontId="85" fillId="0" borderId="0" xfId="0" applyNumberFormat="1" applyFont="1" applyFill="1" applyAlignment="1" applyProtection="1">
      <alignment horizontal="centerContinuous"/>
    </xf>
    <xf numFmtId="0" fontId="96" fillId="0" borderId="0" xfId="0" applyNumberFormat="1" applyFont="1" applyFill="1" applyAlignment="1" applyProtection="1">
      <alignment wrapText="1"/>
    </xf>
    <xf numFmtId="0" fontId="95" fillId="0" borderId="0" xfId="0" applyNumberFormat="1" applyFont="1" applyFill="1" applyAlignment="1" applyProtection="1">
      <alignment horizontal="centerContinuous"/>
    </xf>
    <xf numFmtId="0" fontId="91" fillId="0" borderId="0" xfId="0" applyNumberFormat="1" applyFont="1" applyFill="1" applyAlignment="1" applyProtection="1">
      <alignment horizontal="centerContinuous"/>
    </xf>
    <xf numFmtId="0" fontId="93" fillId="0" borderId="0" xfId="0" applyNumberFormat="1" applyFont="1" applyFill="1" applyAlignment="1" applyProtection="1">
      <alignment horizontal="centerContinuous" vertical="top"/>
    </xf>
    <xf numFmtId="0" fontId="105" fillId="0" borderId="0" xfId="0" applyNumberFormat="1" applyFont="1" applyFill="1" applyAlignment="1" applyProtection="1">
      <alignment horizontal="centerContinuous" wrapText="1"/>
    </xf>
    <xf numFmtId="0" fontId="105" fillId="0" borderId="0" xfId="0" applyNumberFormat="1" applyFont="1" applyFill="1" applyAlignment="1" applyProtection="1">
      <alignment wrapText="1"/>
    </xf>
    <xf numFmtId="0" fontId="95" fillId="0" borderId="0" xfId="0" applyNumberFormat="1" applyFont="1" applyFill="1" applyAlignment="1" applyProtection="1">
      <alignment horizontal="centerContinuous" vertical="top"/>
    </xf>
    <xf numFmtId="0" fontId="105" fillId="0" borderId="0" xfId="0" applyNumberFormat="1" applyFont="1" applyFill="1" applyAlignment="1" applyProtection="1">
      <alignment horizontal="centerContinuous"/>
    </xf>
    <xf numFmtId="166" fontId="93" fillId="0" borderId="0" xfId="0" applyFont="1" applyFill="1" applyAlignment="1">
      <alignment horizontal="centerContinuous"/>
      <protection locked="0" hidden="1"/>
    </xf>
    <xf numFmtId="166" fontId="105" fillId="0" borderId="0" xfId="0" applyFont="1" applyFill="1" applyAlignment="1">
      <alignment horizontal="centerContinuous"/>
      <protection locked="0" hidden="1"/>
    </xf>
    <xf numFmtId="166" fontId="105" fillId="0" borderId="0" xfId="0" applyFont="1" applyFill="1" applyAlignment="1">
      <alignment horizontal="centerContinuous" wrapText="1"/>
      <protection locked="0" hidden="1"/>
    </xf>
    <xf numFmtId="166" fontId="105" fillId="0" borderId="0" xfId="0" applyFont="1" applyFill="1" applyAlignment="1">
      <alignment wrapText="1"/>
      <protection locked="0" hidden="1"/>
    </xf>
    <xf numFmtId="166" fontId="105" fillId="0" borderId="0" xfId="0" applyFont="1" applyFill="1" applyAlignment="1">
      <alignment horizontal="centerContinuous" vertical="center" wrapText="1"/>
      <protection locked="0" hidden="1"/>
    </xf>
    <xf numFmtId="166" fontId="105" fillId="0" borderId="0" xfId="0" applyFont="1" applyFill="1" applyAlignment="1">
      <alignment vertical="center" wrapText="1"/>
      <protection locked="0" hidden="1"/>
    </xf>
    <xf numFmtId="166" fontId="105" fillId="0" borderId="0" xfId="0" applyFont="1" applyFill="1" applyAlignment="1">
      <alignment horizontal="centerContinuous" vertical="center"/>
      <protection locked="0" hidden="1"/>
    </xf>
    <xf numFmtId="0" fontId="93" fillId="0" borderId="0" xfId="22" applyFont="1" applyAlignment="1">
      <alignment horizontal="centerContinuous"/>
    </xf>
    <xf numFmtId="0" fontId="91" fillId="0" borderId="0" xfId="22" applyFont="1" applyAlignment="1">
      <alignment horizontal="centerContinuous"/>
    </xf>
    <xf numFmtId="0" fontId="91" fillId="0" borderId="0" xfId="22" applyFont="1"/>
    <xf numFmtId="0" fontId="95" fillId="0" borderId="0" xfId="22" applyFont="1" applyAlignment="1">
      <alignment horizontal="centerContinuous"/>
    </xf>
    <xf numFmtId="0" fontId="93" fillId="0" borderId="0" xfId="22" applyFont="1" applyAlignment="1">
      <alignment horizontal="centerContinuous" vertical="top"/>
    </xf>
    <xf numFmtId="0" fontId="93" fillId="0" borderId="0" xfId="0" applyNumberFormat="1" applyFont="1" applyFill="1" applyAlignment="1" applyProtection="1">
      <alignment horizontal="centerContinuous" wrapText="1"/>
    </xf>
    <xf numFmtId="0" fontId="105" fillId="0" borderId="0" xfId="0" applyNumberFormat="1" applyFont="1" applyFill="1" applyAlignment="1" applyProtection="1"/>
    <xf numFmtId="0" fontId="95" fillId="0" borderId="0" xfId="0" applyNumberFormat="1" applyFont="1" applyFill="1" applyAlignment="1" applyProtection="1">
      <alignment horizontal="centerContinuous" wrapText="1"/>
    </xf>
    <xf numFmtId="0" fontId="81" fillId="0" borderId="0" xfId="0" applyNumberFormat="1" applyFont="1" applyFill="1" applyAlignment="1" applyProtection="1">
      <alignment horizontal="centerContinuous" wrapText="1"/>
    </xf>
    <xf numFmtId="0" fontId="81" fillId="0" borderId="0" xfId="0" applyNumberFormat="1" applyFont="1" applyFill="1" applyAlignment="1" applyProtection="1">
      <alignment horizontal="centerContinuous"/>
    </xf>
    <xf numFmtId="0" fontId="81" fillId="0" borderId="0" xfId="0" applyNumberFormat="1" applyFont="1" applyFill="1" applyAlignment="1" applyProtection="1"/>
    <xf numFmtId="0" fontId="91" fillId="0" borderId="0" xfId="0" applyNumberFormat="1" applyFont="1" applyFill="1" applyAlignment="1" applyProtection="1">
      <alignment horizontal="centerContinuous" wrapText="1"/>
    </xf>
    <xf numFmtId="164" fontId="85" fillId="0" borderId="0" xfId="0" applyNumberFormat="1" applyFont="1" applyFill="1" applyAlignment="1" applyProtection="1"/>
    <xf numFmtId="0" fontId="85" fillId="0" borderId="0" xfId="0" applyNumberFormat="1" applyFont="1" applyFill="1" applyAlignment="1" applyProtection="1"/>
    <xf numFmtId="166" fontId="107" fillId="0" borderId="0" xfId="0" applyFont="1" applyFill="1" applyAlignment="1">
      <alignment horizontal="centerContinuous"/>
      <protection locked="0" hidden="1"/>
    </xf>
    <xf numFmtId="166" fontId="85" fillId="0" borderId="0" xfId="0" applyFont="1" applyFill="1" applyAlignment="1">
      <alignment horizontal="centerContinuous" wrapText="1"/>
      <protection locked="0" hidden="1"/>
    </xf>
    <xf numFmtId="166" fontId="85" fillId="0" borderId="0" xfId="0" applyFont="1" applyFill="1" applyAlignment="1">
      <alignment horizontal="centerContinuous"/>
      <protection locked="0" hidden="1"/>
    </xf>
    <xf numFmtId="166" fontId="108" fillId="0" borderId="0" xfId="0" applyFont="1" applyFill="1" applyAlignment="1">
      <alignment horizontal="centerContinuous"/>
      <protection locked="0" hidden="1"/>
    </xf>
    <xf numFmtId="164" fontId="85" fillId="0" borderId="0" xfId="0" applyNumberFormat="1" applyFont="1" applyFill="1" applyAlignment="1" applyProtection="1">
      <alignment horizontal="centerContinuous"/>
    </xf>
    <xf numFmtId="166" fontId="109" fillId="0" borderId="0" xfId="0" applyFont="1" applyFill="1" applyAlignment="1">
      <alignment horizontal="centerContinuous"/>
      <protection locked="0" hidden="1"/>
    </xf>
    <xf numFmtId="166" fontId="91" fillId="0" borderId="0" xfId="0" applyFont="1" applyFill="1" applyAlignment="1">
      <protection locked="0" hidden="1"/>
    </xf>
    <xf numFmtId="166" fontId="91" fillId="0" borderId="0" xfId="0" applyFont="1" applyFill="1" applyAlignment="1">
      <alignment horizontal="right"/>
      <protection locked="0" hidden="1"/>
    </xf>
    <xf numFmtId="166" fontId="110" fillId="0" borderId="12" xfId="0" applyFont="1" applyFill="1" applyBorder="1" applyAlignment="1">
      <alignment horizontal="center"/>
      <protection locked="0" hidden="1"/>
    </xf>
    <xf numFmtId="166" fontId="110" fillId="0" borderId="5" xfId="0" applyFont="1" applyFill="1" applyBorder="1" applyAlignment="1">
      <alignment horizontal="left" vertical="center" indent="2"/>
      <protection locked="0" hidden="1"/>
    </xf>
    <xf numFmtId="166" fontId="110" fillId="0" borderId="22" xfId="0" applyFont="1" applyFill="1" applyBorder="1" applyAlignment="1">
      <alignment horizontal="right" vertical="center" indent="2"/>
      <protection locked="0" hidden="1"/>
    </xf>
    <xf numFmtId="0" fontId="102" fillId="0" borderId="0" xfId="22" applyFont="1" applyAlignment="1">
      <alignment horizontal="centerContinuous"/>
    </xf>
    <xf numFmtId="0" fontId="107" fillId="0" borderId="0" xfId="22" applyFont="1" applyAlignment="1">
      <alignment horizontal="centerContinuous" vertical="top"/>
    </xf>
    <xf numFmtId="0" fontId="105" fillId="0" borderId="0" xfId="22" applyFont="1" applyAlignment="1">
      <alignment horizontal="centerContinuous" vertical="top"/>
    </xf>
    <xf numFmtId="0" fontId="105" fillId="0" borderId="0" xfId="22" applyFont="1" applyAlignment="1">
      <alignment vertical="top"/>
    </xf>
    <xf numFmtId="0" fontId="107" fillId="0" borderId="2" xfId="22" applyFont="1" applyBorder="1" applyAlignment="1">
      <alignment horizontal="centerContinuous"/>
    </xf>
    <xf numFmtId="0" fontId="107" fillId="0" borderId="6" xfId="22" applyFont="1" applyBorder="1" applyAlignment="1">
      <alignment horizontal="centerContinuous"/>
    </xf>
    <xf numFmtId="0" fontId="108" fillId="0" borderId="6" xfId="22" applyFont="1" applyBorder="1" applyAlignment="1">
      <alignment horizontal="centerContinuous" readingOrder="2"/>
    </xf>
    <xf numFmtId="0" fontId="108" fillId="0" borderId="7" xfId="22" applyFont="1" applyBorder="1" applyAlignment="1">
      <alignment horizontal="centerContinuous"/>
    </xf>
    <xf numFmtId="0" fontId="105" fillId="0" borderId="6" xfId="22" applyFont="1" applyBorder="1" applyAlignment="1">
      <alignment horizontal="centerContinuous"/>
    </xf>
    <xf numFmtId="0" fontId="108" fillId="0" borderId="7" xfId="22" applyFont="1" applyBorder="1" applyAlignment="1">
      <alignment horizontal="centerContinuous" readingOrder="2"/>
    </xf>
    <xf numFmtId="0" fontId="108" fillId="0" borderId="12" xfId="22" applyFont="1" applyBorder="1" applyAlignment="1">
      <alignment horizontal="center"/>
    </xf>
    <xf numFmtId="0" fontId="105" fillId="0" borderId="0" xfId="22" applyFont="1"/>
    <xf numFmtId="0" fontId="109" fillId="0" borderId="0" xfId="22" applyFont="1" applyAlignment="1">
      <alignment horizontal="centerContinuous"/>
    </xf>
    <xf numFmtId="0" fontId="109" fillId="0" borderId="0" xfId="22" applyFont="1" applyAlignment="1">
      <alignment horizontal="centerContinuous" vertical="top"/>
    </xf>
    <xf numFmtId="0" fontId="102" fillId="0" borderId="0" xfId="22" applyFont="1" applyAlignment="1">
      <alignment horizontal="centerContinuous" vertical="top"/>
    </xf>
    <xf numFmtId="166" fontId="88" fillId="0" borderId="0" xfId="0" applyFont="1" applyFill="1" applyAlignment="1">
      <alignment horizontal="centerContinuous" readingOrder="1"/>
      <protection locked="0" hidden="1"/>
    </xf>
    <xf numFmtId="166" fontId="88" fillId="0" borderId="0" xfId="0" applyFont="1" applyFill="1" applyAlignment="1">
      <alignment horizontal="centerContinuous"/>
      <protection locked="0" hidden="1"/>
    </xf>
    <xf numFmtId="166" fontId="94" fillId="0" borderId="0" xfId="0" applyFont="1" applyFill="1" applyAlignment="1">
      <protection locked="0" hidden="1"/>
    </xf>
    <xf numFmtId="166" fontId="111" fillId="0" borderId="0" xfId="0" applyFont="1" applyFill="1" applyAlignment="1">
      <alignment horizontal="centerContinuous"/>
      <protection locked="0" hidden="1"/>
    </xf>
    <xf numFmtId="166" fontId="79" fillId="0" borderId="0" xfId="0" applyFont="1" applyFill="1" applyAlignment="1">
      <alignment horizontal="right"/>
      <protection locked="0" hidden="1"/>
    </xf>
    <xf numFmtId="0" fontId="109" fillId="0" borderId="0" xfId="8" applyFont="1" applyAlignment="1">
      <alignment horizontal="centerContinuous"/>
    </xf>
    <xf numFmtId="166" fontId="112" fillId="0" borderId="0" xfId="0" applyFont="1" applyFill="1" applyAlignment="1">
      <alignment horizontal="centerContinuous"/>
      <protection locked="0" hidden="1"/>
    </xf>
    <xf numFmtId="166" fontId="109" fillId="0" borderId="0" xfId="0" applyFont="1" applyFill="1" applyAlignment="1">
      <alignment horizontal="centerContinuous" wrapText="1"/>
      <protection locked="0" hidden="1"/>
    </xf>
    <xf numFmtId="166" fontId="93" fillId="0" borderId="0" xfId="0" applyFont="1" applyFill="1" applyAlignment="1">
      <alignment horizontal="centerContinuous" wrapText="1"/>
      <protection locked="0" hidden="1"/>
    </xf>
    <xf numFmtId="166" fontId="78" fillId="0" borderId="0" xfId="0" applyFont="1" applyFill="1" applyAlignment="1">
      <alignment horizontal="centerContinuous"/>
      <protection locked="0" hidden="1"/>
    </xf>
    <xf numFmtId="166" fontId="113" fillId="0" borderId="3" xfId="0" applyFont="1" applyFill="1" applyBorder="1" applyAlignment="1">
      <protection locked="0" hidden="1"/>
    </xf>
    <xf numFmtId="166" fontId="78" fillId="0" borderId="0" xfId="0" applyFont="1" applyFill="1" applyAlignment="1">
      <alignment horizontal="left"/>
      <protection locked="0" hidden="1"/>
    </xf>
    <xf numFmtId="166" fontId="79" fillId="0" borderId="0" xfId="0" applyFont="1" applyFill="1" applyAlignment="1">
      <alignment horizontal="centerContinuous" wrapText="1"/>
      <protection locked="0" hidden="1"/>
    </xf>
    <xf numFmtId="166" fontId="79" fillId="0" borderId="0" xfId="0" applyFont="1" applyFill="1" applyAlignment="1">
      <alignment wrapText="1"/>
      <protection locked="0" hidden="1"/>
    </xf>
    <xf numFmtId="166" fontId="113" fillId="0" borderId="0" xfId="0" applyFont="1" applyFill="1" applyAlignment="1">
      <protection locked="0" hidden="1"/>
    </xf>
    <xf numFmtId="166" fontId="95" fillId="0" borderId="0" xfId="0" applyFont="1" applyFill="1" applyAlignment="1">
      <alignment horizontal="centerContinuous" wrapText="1"/>
      <protection locked="0" hidden="1"/>
    </xf>
    <xf numFmtId="0" fontId="93" fillId="0" borderId="0" xfId="0" applyNumberFormat="1" applyFont="1" applyFill="1" applyAlignment="1" applyProtection="1">
      <alignment horizontal="centerContinuous" readingOrder="1"/>
    </xf>
    <xf numFmtId="166" fontId="78" fillId="0" borderId="0" xfId="0" applyFont="1" applyFill="1" applyAlignment="1">
      <alignment readingOrder="1"/>
      <protection locked="0" hidden="1"/>
    </xf>
    <xf numFmtId="166" fontId="81" fillId="0" borderId="0" xfId="0" applyFont="1" applyFill="1" applyAlignment="1">
      <alignment horizontal="centerContinuous" wrapText="1"/>
      <protection locked="0" hidden="1"/>
    </xf>
    <xf numFmtId="166" fontId="81" fillId="0" borderId="0" xfId="0" applyFont="1" applyFill="1" applyAlignment="1">
      <alignment horizontal="centerContinuous"/>
      <protection locked="0" hidden="1"/>
    </xf>
    <xf numFmtId="0" fontId="91" fillId="0" borderId="0" xfId="0" applyNumberFormat="1" applyFont="1" applyFill="1" applyAlignment="1" applyProtection="1"/>
    <xf numFmtId="164" fontId="91" fillId="0" borderId="0" xfId="0" applyNumberFormat="1" applyFont="1" applyFill="1" applyAlignment="1" applyProtection="1">
      <alignment horizontal="centerContinuous"/>
    </xf>
    <xf numFmtId="166" fontId="110" fillId="0" borderId="11" xfId="0" applyFont="1" applyFill="1" applyBorder="1" applyAlignment="1">
      <alignment horizontal="center" vertical="top" wrapText="1"/>
      <protection locked="0" hidden="1"/>
    </xf>
    <xf numFmtId="166" fontId="110" fillId="0" borderId="0" xfId="0" applyFont="1" applyFill="1" applyAlignment="1">
      <alignment horizontal="center" vertical="top" wrapText="1"/>
      <protection locked="0" hidden="1"/>
    </xf>
    <xf numFmtId="166" fontId="91" fillId="0" borderId="0" xfId="0" applyFont="1" applyFill="1" applyAlignment="1">
      <alignment horizontal="center" vertical="center" wrapText="1"/>
      <protection locked="0" hidden="1"/>
    </xf>
    <xf numFmtId="0" fontId="107" fillId="0" borderId="1" xfId="22" applyFont="1" applyBorder="1" applyAlignment="1">
      <alignment horizontal="centerContinuous"/>
    </xf>
    <xf numFmtId="0" fontId="107" fillId="0" borderId="0" xfId="22" applyFont="1" applyAlignment="1">
      <alignment horizontal="centerContinuous"/>
    </xf>
    <xf numFmtId="0" fontId="107" fillId="0" borderId="11" xfId="22" applyFont="1" applyBorder="1" applyAlignment="1">
      <alignment horizontal="center"/>
    </xf>
    <xf numFmtId="0" fontId="107" fillId="0" borderId="1" xfId="22" applyFont="1" applyBorder="1" applyAlignment="1">
      <alignment horizontal="center"/>
    </xf>
    <xf numFmtId="0" fontId="108" fillId="0" borderId="11" xfId="22" applyFont="1" applyBorder="1" applyAlignment="1">
      <alignment horizontal="center" vertical="center" readingOrder="2"/>
    </xf>
    <xf numFmtId="0" fontId="91" fillId="0" borderId="0" xfId="22" applyFont="1" applyAlignment="1">
      <alignment horizontal="centerContinuous" vertical="top"/>
    </xf>
    <xf numFmtId="0" fontId="91" fillId="0" borderId="0" xfId="22" applyFont="1" applyAlignment="1">
      <alignment vertical="top"/>
    </xf>
    <xf numFmtId="166" fontId="84" fillId="0" borderId="12" xfId="0" applyFont="1" applyFill="1" applyBorder="1" applyAlignment="1">
      <alignment horizontal="left" wrapText="1" indent="1"/>
      <protection locked="0" hidden="1"/>
    </xf>
    <xf numFmtId="166" fontId="80" fillId="0" borderId="11" xfId="0" applyFont="1" applyFill="1" applyBorder="1" applyAlignment="1">
      <alignment horizontal="right" indent="1"/>
      <protection locked="0" hidden="1"/>
    </xf>
    <xf numFmtId="0" fontId="107" fillId="0" borderId="2" xfId="0" applyNumberFormat="1" applyFont="1" applyFill="1" applyBorder="1" applyAlignment="1" applyProtection="1">
      <alignment vertical="center"/>
    </xf>
    <xf numFmtId="0" fontId="107" fillId="0" borderId="7" xfId="0" applyNumberFormat="1" applyFont="1" applyFill="1" applyBorder="1" applyAlignment="1" applyProtection="1">
      <alignment vertical="center"/>
    </xf>
    <xf numFmtId="0" fontId="107" fillId="0" borderId="21" xfId="0" applyNumberFormat="1" applyFont="1" applyFill="1" applyBorder="1" applyAlignment="1" applyProtection="1">
      <alignment horizontal="left" vertical="center" indent="2" readingOrder="1"/>
    </xf>
    <xf numFmtId="0" fontId="107" fillId="0" borderId="5" xfId="0" applyNumberFormat="1" applyFont="1" applyFill="1" applyBorder="1" applyAlignment="1" applyProtection="1">
      <alignment horizontal="centerContinuous" vertical="center"/>
    </xf>
    <xf numFmtId="0" fontId="107" fillId="0" borderId="5" xfId="0" applyNumberFormat="1" applyFont="1" applyFill="1" applyBorder="1" applyAlignment="1" applyProtection="1">
      <alignment vertical="center"/>
    </xf>
    <xf numFmtId="0" fontId="107" fillId="0" borderId="22" xfId="0" applyNumberFormat="1" applyFont="1" applyFill="1" applyBorder="1" applyAlignment="1" applyProtection="1">
      <alignment horizontal="right" vertical="center" indent="2" readingOrder="2"/>
    </xf>
    <xf numFmtId="0" fontId="107" fillId="0" borderId="21" xfId="0" applyNumberFormat="1" applyFont="1" applyFill="1" applyBorder="1" applyAlignment="1" applyProtection="1">
      <alignment horizontal="left" vertical="center" indent="2"/>
    </xf>
    <xf numFmtId="0" fontId="108" fillId="0" borderId="5" xfId="0" applyNumberFormat="1" applyFont="1" applyFill="1" applyBorder="1" applyAlignment="1" applyProtection="1">
      <alignment horizontal="centerContinuous" vertical="center"/>
    </xf>
    <xf numFmtId="0" fontId="107" fillId="0" borderId="12" xfId="0" applyNumberFormat="1" applyFont="1" applyFill="1" applyBorder="1" applyAlignment="1" applyProtection="1">
      <alignment horizontal="right" vertical="center" readingOrder="2"/>
    </xf>
    <xf numFmtId="0" fontId="107" fillId="0" borderId="0" xfId="0" applyNumberFormat="1" applyFont="1" applyFill="1" applyAlignment="1" applyProtection="1">
      <alignment vertical="center"/>
    </xf>
    <xf numFmtId="0" fontId="107" fillId="0" borderId="21" xfId="0" applyNumberFormat="1" applyFont="1" applyFill="1" applyBorder="1" applyAlignment="1" applyProtection="1">
      <alignment horizontal="centerContinuous" vertical="center" readingOrder="1"/>
    </xf>
    <xf numFmtId="0" fontId="107" fillId="0" borderId="5" xfId="0" applyNumberFormat="1" applyFont="1" applyFill="1" applyBorder="1" applyAlignment="1" applyProtection="1">
      <alignment horizontal="centerContinuous" vertical="center" readingOrder="2"/>
    </xf>
    <xf numFmtId="0" fontId="107" fillId="0" borderId="22" xfId="0" applyNumberFormat="1" applyFont="1" applyFill="1" applyBorder="1" applyAlignment="1" applyProtection="1">
      <alignment horizontal="right" vertical="center" readingOrder="2"/>
    </xf>
    <xf numFmtId="0" fontId="107" fillId="0" borderId="21" xfId="0" applyNumberFormat="1" applyFont="1" applyFill="1" applyBorder="1" applyAlignment="1" applyProtection="1">
      <alignment vertical="center"/>
    </xf>
    <xf numFmtId="0" fontId="107" fillId="0" borderId="5" xfId="0" applyNumberFormat="1" applyFont="1" applyFill="1" applyBorder="1" applyAlignment="1" applyProtection="1">
      <alignment horizontal="right" vertical="center" readingOrder="2"/>
    </xf>
    <xf numFmtId="166" fontId="107" fillId="0" borderId="2" xfId="0" applyFont="1" applyFill="1" applyBorder="1" applyAlignment="1">
      <alignment vertical="center"/>
      <protection locked="0" hidden="1"/>
    </xf>
    <xf numFmtId="166" fontId="107" fillId="0" borderId="7" xfId="0" applyFont="1" applyFill="1" applyBorder="1" applyAlignment="1">
      <alignment vertical="center"/>
      <protection locked="0" hidden="1"/>
    </xf>
    <xf numFmtId="0" fontId="107" fillId="0" borderId="23" xfId="0" applyNumberFormat="1" applyFont="1" applyFill="1" applyBorder="1" applyAlignment="1" applyProtection="1">
      <alignment horizontal="left" vertical="center" indent="1" readingOrder="1"/>
    </xf>
    <xf numFmtId="166" fontId="107" fillId="0" borderId="5" xfId="0" applyFont="1" applyFill="1" applyBorder="1" applyAlignment="1">
      <alignment vertical="center"/>
      <protection locked="0" hidden="1"/>
    </xf>
    <xf numFmtId="0" fontId="108" fillId="0" borderId="22" xfId="0" applyNumberFormat="1" applyFont="1" applyFill="1" applyBorder="1" applyAlignment="1" applyProtection="1">
      <alignment horizontal="right" vertical="center" indent="1" readingOrder="2"/>
    </xf>
    <xf numFmtId="166" fontId="107" fillId="0" borderId="21" xfId="0" applyFont="1" applyFill="1" applyBorder="1" applyAlignment="1">
      <alignment horizontal="left" vertical="center" indent="1" readingOrder="1"/>
      <protection locked="0" hidden="1"/>
    </xf>
    <xf numFmtId="166" fontId="108" fillId="0" borderId="22" xfId="0" applyFont="1" applyFill="1" applyBorder="1" applyAlignment="1">
      <alignment horizontal="right" vertical="center" indent="1" readingOrder="2"/>
      <protection locked="0" hidden="1"/>
    </xf>
    <xf numFmtId="166" fontId="107" fillId="0" borderId="13" xfId="0" applyFont="1" applyFill="1" applyBorder="1" applyAlignment="1">
      <alignment vertical="center"/>
      <protection locked="0" hidden="1"/>
    </xf>
    <xf numFmtId="166" fontId="108" fillId="0" borderId="20" xfId="0" applyFont="1" applyFill="1" applyBorder="1" applyAlignment="1">
      <alignment horizontal="center" vertical="top"/>
      <protection locked="0" hidden="1"/>
    </xf>
    <xf numFmtId="166" fontId="107" fillId="0" borderId="0" xfId="0" applyFont="1" applyFill="1" applyAlignment="1">
      <alignment vertical="center"/>
      <protection locked="0" hidden="1"/>
    </xf>
    <xf numFmtId="0" fontId="107" fillId="0" borderId="21" xfId="0" applyNumberFormat="1" applyFont="1" applyFill="1" applyBorder="1" applyAlignment="1" applyProtection="1">
      <alignment horizontal="left" vertical="center" indent="1" readingOrder="1"/>
    </xf>
    <xf numFmtId="166" fontId="107" fillId="0" borderId="5" xfId="0" applyFont="1" applyFill="1" applyBorder="1" applyAlignment="1">
      <alignment horizontal="centerContinuous" vertical="center"/>
      <protection locked="0" hidden="1"/>
    </xf>
    <xf numFmtId="0" fontId="107" fillId="0" borderId="6" xfId="0" applyNumberFormat="1" applyFont="1" applyFill="1" applyBorder="1" applyAlignment="1" applyProtection="1">
      <alignment vertical="center"/>
    </xf>
    <xf numFmtId="0" fontId="107" fillId="0" borderId="7" xfId="0" applyNumberFormat="1" applyFont="1" applyFill="1" applyBorder="1" applyAlignment="1" applyProtection="1">
      <alignment horizontal="centerContinuous" vertical="center"/>
    </xf>
    <xf numFmtId="0" fontId="107" fillId="0" borderId="0" xfId="0" applyNumberFormat="1" applyFont="1" applyFill="1" applyAlignment="1" applyProtection="1">
      <alignment horizontal="centerContinuous" vertical="center"/>
    </xf>
    <xf numFmtId="0" fontId="107" fillId="0" borderId="9" xfId="0" applyNumberFormat="1" applyFont="1" applyFill="1" applyBorder="1" applyAlignment="1" applyProtection="1">
      <alignment horizontal="centerContinuous" vertical="center"/>
    </xf>
    <xf numFmtId="0" fontId="114" fillId="0" borderId="0" xfId="0" applyNumberFormat="1" applyFont="1" applyFill="1" applyAlignment="1" applyProtection="1"/>
    <xf numFmtId="0" fontId="115" fillId="0" borderId="0" xfId="0" applyNumberFormat="1" applyFont="1" applyFill="1" applyAlignment="1" applyProtection="1"/>
    <xf numFmtId="4" fontId="85" fillId="0" borderId="11" xfId="0" applyNumberFormat="1" applyFont="1" applyFill="1" applyBorder="1" applyAlignment="1">
      <alignment horizontal="right"/>
      <protection locked="0" hidden="1"/>
    </xf>
    <xf numFmtId="166" fontId="81" fillId="0" borderId="0" xfId="0" applyFont="1" applyFill="1" applyAlignment="1" applyProtection="1"/>
    <xf numFmtId="166" fontId="81" fillId="0" borderId="0" xfId="0" applyFont="1" applyFill="1" applyAlignment="1" applyProtection="1">
      <alignment horizontal="right"/>
    </xf>
    <xf numFmtId="166" fontId="80" fillId="0" borderId="12" xfId="0" applyFont="1" applyFill="1" applyBorder="1" applyAlignment="1" applyProtection="1">
      <alignment horizontal="centerContinuous" vertical="top" readingOrder="2"/>
    </xf>
    <xf numFmtId="166" fontId="80" fillId="0" borderId="7" xfId="0" applyFont="1" applyFill="1" applyBorder="1" applyAlignment="1" applyProtection="1">
      <alignment horizontal="centerContinuous" readingOrder="2"/>
    </xf>
    <xf numFmtId="166" fontId="80" fillId="0" borderId="6" xfId="0" applyFont="1" applyFill="1" applyBorder="1" applyAlignment="1" applyProtection="1">
      <alignment horizontal="centerContinuous"/>
    </xf>
    <xf numFmtId="166" fontId="80" fillId="0" borderId="2" xfId="0" applyFont="1" applyFill="1" applyBorder="1" applyAlignment="1" applyProtection="1">
      <alignment horizontal="centerContinuous" vertical="top"/>
    </xf>
    <xf numFmtId="166" fontId="80" fillId="0" borderId="7" xfId="0" applyFont="1" applyFill="1" applyBorder="1" applyAlignment="1" applyProtection="1">
      <alignment horizontal="centerContinuous" vertical="top"/>
    </xf>
    <xf numFmtId="166" fontId="80" fillId="0" borderId="6" xfId="0" applyFont="1" applyFill="1" applyBorder="1" applyAlignment="1" applyProtection="1">
      <alignment horizontal="centerContinuous" vertical="top"/>
    </xf>
    <xf numFmtId="166" fontId="81" fillId="0" borderId="10" xfId="0" applyFont="1" applyFill="1" applyBorder="1" applyAlignment="1" applyProtection="1">
      <alignment horizontal="centerContinuous" vertical="center"/>
    </xf>
    <xf numFmtId="166" fontId="81" fillId="0" borderId="3" xfId="0" applyFont="1" applyFill="1" applyBorder="1" applyAlignment="1" applyProtection="1">
      <alignment horizontal="centerContinuous" vertical="center"/>
    </xf>
    <xf numFmtId="166" fontId="86" fillId="0" borderId="12" xfId="0" applyFont="1" applyFill="1" applyBorder="1" applyAlignment="1" applyProtection="1">
      <alignment horizontal="center"/>
    </xf>
    <xf numFmtId="206" fontId="85" fillId="0" borderId="0" xfId="0" applyNumberFormat="1" applyFont="1" applyFill="1" applyAlignment="1" applyProtection="1"/>
    <xf numFmtId="166" fontId="79" fillId="0" borderId="0" xfId="0" applyFont="1" applyFill="1" applyAlignment="1" applyProtection="1">
      <alignment horizontal="centerContinuous"/>
    </xf>
    <xf numFmtId="166" fontId="85" fillId="0" borderId="0" xfId="0" applyFont="1" applyFill="1" applyAlignment="1" applyProtection="1">
      <alignment horizontal="centerContinuous"/>
    </xf>
    <xf numFmtId="213" fontId="30" fillId="0" borderId="9" xfId="0" applyNumberFormat="1" applyFont="1" applyFill="1" applyBorder="1" applyAlignment="1">
      <protection locked="0" hidden="1"/>
    </xf>
    <xf numFmtId="213" fontId="30" fillId="0" borderId="20" xfId="0" applyNumberFormat="1" applyFont="1" applyFill="1" applyBorder="1" applyAlignment="1">
      <alignment vertical="top"/>
      <protection locked="0" hidden="1"/>
    </xf>
    <xf numFmtId="214" fontId="30" fillId="0" borderId="11" xfId="0" applyNumberFormat="1" applyFont="1" applyFill="1" applyBorder="1" applyAlignment="1">
      <protection locked="0" hidden="1"/>
    </xf>
    <xf numFmtId="214" fontId="30" fillId="0" borderId="1" xfId="0" applyNumberFormat="1" applyFont="1" applyFill="1" applyBorder="1" applyAlignment="1">
      <alignment vertical="top"/>
      <protection locked="0" hidden="1"/>
    </xf>
    <xf numFmtId="215" fontId="30" fillId="0" borderId="11" xfId="0" applyNumberFormat="1" applyFont="1" applyFill="1" applyBorder="1" applyAlignment="1">
      <protection locked="0" hidden="1"/>
    </xf>
    <xf numFmtId="215" fontId="30" fillId="0" borderId="11" xfId="0" applyNumberFormat="1" applyFont="1" applyFill="1" applyBorder="1" applyAlignment="1">
      <alignment vertical="top"/>
      <protection locked="0" hidden="1"/>
    </xf>
    <xf numFmtId="215" fontId="79" fillId="0" borderId="11" xfId="0" applyNumberFormat="1" applyFont="1" applyFill="1" applyBorder="1" applyAlignment="1">
      <protection locked="0" hidden="1"/>
    </xf>
    <xf numFmtId="172" fontId="30" fillId="0" borderId="11" xfId="0" applyNumberFormat="1" applyFont="1" applyFill="1" applyBorder="1" applyAlignment="1">
      <alignment vertical="top"/>
      <protection locked="0" hidden="1"/>
    </xf>
    <xf numFmtId="209" fontId="107" fillId="0" borderId="1" xfId="0" applyNumberFormat="1" applyFont="1" applyFill="1" applyBorder="1" applyAlignment="1">
      <alignment horizontal="left"/>
      <protection locked="0" hidden="1"/>
    </xf>
    <xf numFmtId="166" fontId="107" fillId="0" borderId="0" xfId="0" applyFont="1" applyFill="1" applyAlignment="1">
      <alignment horizontal="left"/>
      <protection locked="0" hidden="1"/>
    </xf>
    <xf numFmtId="2" fontId="105" fillId="0" borderId="11" xfId="18" applyNumberFormat="1" applyFont="1" applyFill="1" applyBorder="1" applyAlignment="1">
      <alignment horizontal="center"/>
      <protection locked="0" hidden="1"/>
    </xf>
    <xf numFmtId="2" fontId="105" fillId="0" borderId="11" xfId="18" applyNumberFormat="1" applyFont="1" applyFill="1" applyBorder="1" applyAlignment="1">
      <alignment horizontal="right" indent="1"/>
      <protection locked="0" hidden="1"/>
    </xf>
    <xf numFmtId="2" fontId="105" fillId="0" borderId="11" xfId="18" applyNumberFormat="1" applyFont="1" applyFill="1" applyBorder="1" applyAlignment="1">
      <alignment horizontal="right" indent="2"/>
      <protection locked="0" hidden="1"/>
    </xf>
    <xf numFmtId="3" fontId="78" fillId="0" borderId="11" xfId="0" applyNumberFormat="1" applyFont="1" applyFill="1" applyBorder="1" applyAlignment="1">
      <alignment horizontal="right" indent="3"/>
      <protection locked="0" hidden="1"/>
    </xf>
    <xf numFmtId="4" fontId="85" fillId="3" borderId="11" xfId="0" applyNumberFormat="1" applyFont="1" applyFill="1" applyBorder="1" applyAlignment="1">
      <alignment horizontal="right"/>
      <protection locked="0" hidden="1"/>
    </xf>
    <xf numFmtId="189" fontId="30" fillId="0" borderId="1" xfId="0" applyNumberFormat="1" applyFont="1" applyFill="1" applyBorder="1" applyAlignment="1">
      <alignment horizontal="right"/>
      <protection locked="0" hidden="1"/>
    </xf>
    <xf numFmtId="0" fontId="68" fillId="0" borderId="0" xfId="19" applyFont="1" applyAlignment="1">
      <alignment horizontal="centerContinuous" vertical="center"/>
    </xf>
    <xf numFmtId="166" fontId="27" fillId="0" borderId="0" xfId="0" applyFont="1" applyFill="1" applyAlignment="1">
      <alignment horizontal="centerContinuous"/>
      <protection locked="0" hidden="1"/>
    </xf>
    <xf numFmtId="166" fontId="67" fillId="0" borderId="0" xfId="0" applyFont="1" applyFill="1" applyAlignment="1">
      <protection locked="0" hidden="1"/>
    </xf>
    <xf numFmtId="166" fontId="69" fillId="0" borderId="0" xfId="0" applyFont="1" applyFill="1" applyAlignment="1">
      <alignment horizontal="centerContinuous"/>
      <protection locked="0" hidden="1"/>
    </xf>
    <xf numFmtId="166" fontId="53" fillId="0" borderId="0" xfId="0" applyFont="1" applyFill="1" applyAlignment="1">
      <protection locked="0" hidden="1"/>
    </xf>
    <xf numFmtId="165" fontId="83" fillId="0" borderId="11" xfId="0" applyNumberFormat="1" applyFont="1" applyFill="1" applyBorder="1" applyAlignment="1">
      <alignment horizontal="right" indent="1"/>
      <protection locked="0" hidden="1"/>
    </xf>
    <xf numFmtId="0" fontId="12" fillId="0" borderId="3" xfId="0" applyNumberFormat="1" applyFont="1" applyFill="1" applyBorder="1" applyAlignment="1" applyProtection="1">
      <alignment horizontal="left" vertical="center" indent="2"/>
    </xf>
    <xf numFmtId="0" fontId="19" fillId="0" borderId="10" xfId="0" applyNumberFormat="1" applyFont="1" applyFill="1" applyBorder="1" applyAlignment="1" applyProtection="1">
      <alignment horizontal="right" indent="2" readingOrder="2"/>
    </xf>
    <xf numFmtId="0" fontId="29" fillId="0" borderId="0" xfId="0" applyNumberFormat="1" applyFont="1" applyFill="1" applyAlignment="1" applyProtection="1">
      <alignment horizontal="left"/>
    </xf>
    <xf numFmtId="166" fontId="38" fillId="0" borderId="0" xfId="0" applyFont="1" applyFill="1" applyAlignment="1">
      <alignment horizontal="centerContinuous"/>
      <protection locked="0" hidden="1"/>
    </xf>
    <xf numFmtId="22" fontId="29" fillId="0" borderId="0" xfId="0" applyNumberFormat="1" applyFont="1" applyFill="1" applyAlignment="1" applyProtection="1">
      <alignment horizontal="left"/>
    </xf>
    <xf numFmtId="164" fontId="16" fillId="0" borderId="0" xfId="0" applyNumberFormat="1" applyFont="1" applyFill="1" applyAlignment="1" applyProtection="1">
      <alignment horizontal="centerContinuous"/>
    </xf>
    <xf numFmtId="164" fontId="16" fillId="0" borderId="0" xfId="0" applyNumberFormat="1" applyFont="1" applyFill="1" applyAlignment="1" applyProtection="1"/>
    <xf numFmtId="164" fontId="15" fillId="0" borderId="0" xfId="0" applyNumberFormat="1" applyFont="1" applyFill="1" applyAlignment="1" applyProtection="1">
      <alignment horizontal="right"/>
    </xf>
    <xf numFmtId="164" fontId="43" fillId="0" borderId="0" xfId="0" applyNumberFormat="1" applyFont="1" applyFill="1" applyAlignment="1" applyProtection="1"/>
    <xf numFmtId="206" fontId="0" fillId="0" borderId="0" xfId="0" applyNumberFormat="1" applyFill="1" applyAlignment="1">
      <protection locked="0" hidden="1"/>
    </xf>
    <xf numFmtId="164" fontId="8" fillId="0" borderId="0" xfId="0" applyNumberFormat="1" applyFont="1" applyFill="1" applyAlignment="1" applyProtection="1"/>
    <xf numFmtId="164" fontId="6" fillId="0" borderId="0" xfId="0" applyNumberFormat="1" applyFont="1" applyFill="1" applyAlignment="1" applyProtection="1"/>
    <xf numFmtId="166" fontId="91" fillId="0" borderId="0" xfId="0" applyFont="1" applyFill="1" applyAlignment="1">
      <alignment horizontal="centerContinuous"/>
      <protection locked="0" hidden="1"/>
    </xf>
    <xf numFmtId="166" fontId="105" fillId="0" borderId="0" xfId="0" applyFont="1" applyFill="1" applyAlignment="1">
      <alignment horizontal="center"/>
      <protection locked="0" hidden="1"/>
    </xf>
    <xf numFmtId="3" fontId="91" fillId="0" borderId="11" xfId="0" applyNumberFormat="1" applyFont="1" applyFill="1" applyBorder="1" applyAlignment="1">
      <alignment horizontal="left" wrapText="1" indent="4"/>
      <protection locked="0" hidden="1"/>
    </xf>
    <xf numFmtId="212" fontId="91" fillId="0" borderId="11" xfId="0" applyNumberFormat="1" applyFont="1" applyFill="1" applyBorder="1" applyAlignment="1" applyProtection="1">
      <alignment horizontal="right"/>
    </xf>
    <xf numFmtId="166" fontId="110" fillId="0" borderId="11" xfId="0" applyFont="1" applyFill="1" applyBorder="1" applyAlignment="1">
      <alignment horizontal="left" indent="1"/>
      <protection locked="0" hidden="1"/>
    </xf>
    <xf numFmtId="3" fontId="91" fillId="0" borderId="11" xfId="0" applyNumberFormat="1" applyFont="1" applyFill="1" applyBorder="1" applyAlignment="1">
      <alignment horizontal="left" wrapText="1" indent="3"/>
      <protection locked="0" hidden="1"/>
    </xf>
    <xf numFmtId="3" fontId="110" fillId="0" borderId="11" xfId="0" applyNumberFormat="1" applyFont="1" applyFill="1" applyBorder="1" applyAlignment="1">
      <alignment horizontal="left" readingOrder="1"/>
      <protection locked="0" hidden="1"/>
    </xf>
    <xf numFmtId="212" fontId="110" fillId="0" borderId="11" xfId="0" applyNumberFormat="1" applyFont="1" applyFill="1" applyBorder="1" applyAlignment="1">
      <alignment horizontal="right"/>
      <protection locked="0" hidden="1"/>
    </xf>
    <xf numFmtId="166" fontId="78" fillId="0" borderId="7" xfId="0" applyFont="1" applyFill="1" applyBorder="1" applyAlignment="1">
      <protection locked="0" hidden="1"/>
    </xf>
    <xf numFmtId="166" fontId="113" fillId="0" borderId="7" xfId="0" applyFont="1" applyFill="1" applyBorder="1" applyAlignment="1">
      <alignment horizontal="right" readingOrder="2"/>
      <protection locked="0" hidden="1"/>
    </xf>
    <xf numFmtId="166" fontId="113" fillId="0" borderId="0" xfId="0" applyFont="1" applyFill="1" applyAlignment="1">
      <alignment horizontal="right" readingOrder="2"/>
      <protection locked="0" hidden="1"/>
    </xf>
    <xf numFmtId="166" fontId="78" fillId="0" borderId="0" xfId="0" applyFont="1" applyFill="1" applyAlignment="1">
      <alignment horizontal="right"/>
      <protection locked="0" hidden="1"/>
    </xf>
    <xf numFmtId="166" fontId="119" fillId="0" borderId="0" xfId="0" applyFont="1" applyFill="1" applyAlignment="1">
      <alignment horizontal="centerContinuous"/>
      <protection locked="0" hidden="1"/>
    </xf>
    <xf numFmtId="164" fontId="5" fillId="0" borderId="0" xfId="0" applyNumberFormat="1" applyFont="1" applyFill="1" applyAlignment="1" applyProtection="1"/>
    <xf numFmtId="206" fontId="85" fillId="0" borderId="7" xfId="0" applyNumberFormat="1" applyFont="1" applyFill="1" applyBorder="1" applyAlignment="1">
      <protection locked="0" hidden="1"/>
    </xf>
    <xf numFmtId="206" fontId="0" fillId="0" borderId="7" xfId="0" applyNumberFormat="1" applyFill="1" applyBorder="1" applyAlignment="1">
      <protection locked="0" hidden="1"/>
    </xf>
    <xf numFmtId="3" fontId="0" fillId="0" borderId="0" xfId="0" applyNumberFormat="1" applyFill="1" applyAlignment="1" applyProtection="1"/>
    <xf numFmtId="165" fontId="0" fillId="0" borderId="0" xfId="0" applyNumberFormat="1" applyFill="1" applyAlignment="1" applyProtection="1"/>
    <xf numFmtId="170" fontId="30" fillId="0" borderId="11" xfId="0" applyNumberFormat="1" applyFont="1" applyFill="1" applyBorder="1" applyAlignment="1">
      <protection locked="0" hidden="1"/>
    </xf>
    <xf numFmtId="170" fontId="38" fillId="0" borderId="11" xfId="0" applyNumberFormat="1" applyFont="1" applyFill="1" applyBorder="1" applyAlignment="1">
      <protection locked="0" hidden="1"/>
    </xf>
    <xf numFmtId="170" fontId="79" fillId="0" borderId="11" xfId="0" applyNumberFormat="1" applyFont="1" applyFill="1" applyBorder="1" applyAlignment="1">
      <protection locked="0" hidden="1"/>
    </xf>
    <xf numFmtId="216" fontId="30" fillId="0" borderId="9" xfId="0" applyNumberFormat="1" applyFont="1" applyFill="1" applyBorder="1" applyAlignment="1">
      <protection locked="0" hidden="1"/>
    </xf>
    <xf numFmtId="216" fontId="38" fillId="0" borderId="9" xfId="0" applyNumberFormat="1" applyFont="1" applyFill="1" applyBorder="1" applyAlignment="1">
      <protection locked="0" hidden="1"/>
    </xf>
    <xf numFmtId="216" fontId="79" fillId="0" borderId="9" xfId="0" applyNumberFormat="1" applyFont="1" applyFill="1" applyBorder="1" applyAlignment="1">
      <protection locked="0" hidden="1"/>
    </xf>
    <xf numFmtId="165" fontId="78" fillId="0" borderId="0" xfId="0" applyNumberFormat="1" applyFont="1" applyFill="1" applyAlignment="1">
      <protection locked="0" hidden="1"/>
    </xf>
    <xf numFmtId="0" fontId="17" fillId="0" borderId="2" xfId="0" applyNumberFormat="1" applyFont="1" applyFill="1" applyBorder="1" applyAlignment="1" applyProtection="1"/>
    <xf numFmtId="0" fontId="8" fillId="0" borderId="2" xfId="0" applyNumberFormat="1" applyFont="1" applyFill="1" applyBorder="1" applyAlignment="1" applyProtection="1">
      <alignment wrapText="1"/>
    </xf>
    <xf numFmtId="166" fontId="80" fillId="0" borderId="4" xfId="0" applyFont="1" applyFill="1" applyBorder="1" applyAlignment="1" applyProtection="1">
      <alignment horizontal="centerContinuous" vertical="center"/>
    </xf>
    <xf numFmtId="166" fontId="86" fillId="0" borderId="8" xfId="0" applyFont="1" applyFill="1" applyBorder="1" applyAlignment="1" applyProtection="1">
      <alignment horizontal="center"/>
    </xf>
    <xf numFmtId="166" fontId="86" fillId="0" borderId="4" xfId="0" applyFont="1" applyFill="1" applyBorder="1" applyAlignment="1" applyProtection="1">
      <alignment horizontal="center"/>
    </xf>
    <xf numFmtId="166" fontId="80" fillId="0" borderId="8" xfId="0" applyFont="1" applyFill="1" applyBorder="1" applyAlignment="1" applyProtection="1">
      <alignment horizontal="left" indent="1"/>
    </xf>
    <xf numFmtId="166" fontId="80" fillId="0" borderId="8" xfId="0" applyFont="1" applyFill="1" applyBorder="1" applyAlignment="1" applyProtection="1">
      <alignment horizontal="right" indent="1"/>
    </xf>
    <xf numFmtId="166" fontId="81" fillId="0" borderId="8" xfId="0" applyFont="1" applyFill="1" applyBorder="1" applyAlignment="1" applyProtection="1">
      <alignment horizontal="left" wrapText="1" indent="1"/>
    </xf>
    <xf numFmtId="166" fontId="81" fillId="0" borderId="8" xfId="0" applyFont="1" applyFill="1" applyBorder="1" applyAlignment="1" applyProtection="1">
      <alignment horizontal="right" wrapText="1" indent="1"/>
    </xf>
    <xf numFmtId="166" fontId="81" fillId="0" borderId="23" xfId="0" applyFont="1" applyFill="1" applyBorder="1" applyAlignment="1" applyProtection="1">
      <alignment horizontal="left" indent="1"/>
    </xf>
    <xf numFmtId="166" fontId="81" fillId="0" borderId="23" xfId="0" applyFont="1" applyFill="1" applyBorder="1" applyAlignment="1" applyProtection="1">
      <alignment horizontal="right" indent="1"/>
    </xf>
    <xf numFmtId="166" fontId="81" fillId="0" borderId="12" xfId="0" applyFont="1" applyFill="1" applyBorder="1" applyAlignment="1" applyProtection="1">
      <alignment horizontal="left" indent="1"/>
    </xf>
    <xf numFmtId="166" fontId="81" fillId="0" borderId="12" xfId="0" applyFont="1" applyFill="1" applyBorder="1" applyAlignment="1" applyProtection="1">
      <alignment horizontal="right" indent="1"/>
    </xf>
    <xf numFmtId="166" fontId="81" fillId="0" borderId="12" xfId="0" applyFont="1" applyFill="1" applyBorder="1" applyAlignment="1" applyProtection="1">
      <alignment horizontal="left" wrapText="1" indent="1"/>
    </xf>
    <xf numFmtId="166" fontId="81" fillId="0" borderId="12" xfId="0" applyFont="1" applyFill="1" applyBorder="1" applyAlignment="1" applyProtection="1">
      <alignment horizontal="right" wrapText="1" indent="1"/>
    </xf>
    <xf numFmtId="165" fontId="5" fillId="0" borderId="11" xfId="0" applyNumberFormat="1" applyFont="1" applyFill="1" applyBorder="1" applyAlignment="1">
      <alignment horizontal="right" indent="2"/>
      <protection locked="0" hidden="1"/>
    </xf>
    <xf numFmtId="182" fontId="79" fillId="0" borderId="1" xfId="0" applyNumberFormat="1" applyFont="1" applyFill="1" applyBorder="1" applyAlignment="1">
      <protection locked="0" hidden="1"/>
    </xf>
    <xf numFmtId="214" fontId="79" fillId="0" borderId="11" xfId="0" applyNumberFormat="1" applyFont="1" applyFill="1" applyBorder="1" applyAlignment="1">
      <protection locked="0" hidden="1"/>
    </xf>
    <xf numFmtId="169" fontId="79" fillId="0" borderId="0" xfId="0" applyNumberFormat="1" applyFont="1" applyFill="1" applyAlignment="1">
      <protection locked="0" hidden="1"/>
    </xf>
    <xf numFmtId="184" fontId="79" fillId="0" borderId="11" xfId="0" applyNumberFormat="1" applyFont="1" applyFill="1" applyBorder="1" applyAlignment="1">
      <protection locked="0" hidden="1"/>
    </xf>
    <xf numFmtId="187" fontId="79" fillId="0" borderId="16" xfId="0" applyNumberFormat="1" applyFont="1" applyFill="1" applyBorder="1" applyAlignment="1">
      <protection locked="0" hidden="1"/>
    </xf>
    <xf numFmtId="213" fontId="79" fillId="0" borderId="9" xfId="0" applyNumberFormat="1" applyFont="1" applyFill="1" applyBorder="1" applyAlignment="1">
      <protection locked="0" hidden="1"/>
    </xf>
    <xf numFmtId="169" fontId="79" fillId="0" borderId="11" xfId="0" applyNumberFormat="1" applyFont="1" applyFill="1" applyBorder="1" applyAlignment="1">
      <alignment horizontal="right"/>
      <protection locked="0" hidden="1"/>
    </xf>
    <xf numFmtId="208" fontId="79" fillId="0" borderId="15" xfId="0" applyNumberFormat="1" applyFont="1" applyFill="1" applyBorder="1" applyAlignment="1">
      <alignment horizontal="right"/>
      <protection locked="0" hidden="1"/>
    </xf>
    <xf numFmtId="206" fontId="79" fillId="0" borderId="0" xfId="0" applyNumberFormat="1" applyFont="1" applyFill="1" applyAlignment="1">
      <protection locked="0" hidden="1"/>
    </xf>
    <xf numFmtId="189" fontId="79" fillId="0" borderId="1" xfId="0" applyNumberFormat="1" applyFont="1" applyFill="1" applyBorder="1" applyAlignment="1">
      <alignment horizontal="right"/>
      <protection locked="0" hidden="1"/>
    </xf>
    <xf numFmtId="208" fontId="79" fillId="0" borderId="9" xfId="0" applyNumberFormat="1" applyFont="1" applyFill="1" applyBorder="1" applyAlignment="1">
      <alignment horizontal="right"/>
      <protection locked="0" hidden="1"/>
    </xf>
    <xf numFmtId="166" fontId="14" fillId="0" borderId="5" xfId="0" applyFont="1" applyFill="1" applyBorder="1" applyAlignment="1">
      <alignment horizontal="right" vertical="center" readingOrder="2"/>
      <protection locked="0" hidden="1"/>
    </xf>
    <xf numFmtId="166" fontId="14" fillId="0" borderId="12" xfId="0" applyFont="1" applyFill="1" applyBorder="1" applyAlignment="1">
      <alignment horizontal="center" vertical="center" wrapText="1"/>
      <protection locked="0" hidden="1"/>
    </xf>
    <xf numFmtId="166" fontId="14" fillId="0" borderId="12" xfId="0" applyFont="1" applyFill="1" applyBorder="1" applyAlignment="1">
      <alignment horizontal="right" vertical="center" readingOrder="2"/>
      <protection locked="0" hidden="1"/>
    </xf>
    <xf numFmtId="206" fontId="33" fillId="0" borderId="0" xfId="0" applyNumberFormat="1" applyFont="1" applyFill="1" applyAlignment="1">
      <alignment horizontal="centerContinuous"/>
      <protection locked="0" hidden="1"/>
    </xf>
    <xf numFmtId="206" fontId="33" fillId="0" borderId="0" xfId="0" applyNumberFormat="1" applyFont="1" applyFill="1" applyAlignment="1">
      <protection locked="0" hidden="1"/>
    </xf>
    <xf numFmtId="166" fontId="106" fillId="0" borderId="0" xfId="0" applyFont="1" applyFill="1" applyAlignment="1">
      <alignment horizontal="centerContinuous"/>
      <protection locked="0" hidden="1"/>
    </xf>
    <xf numFmtId="166" fontId="120" fillId="0" borderId="0" xfId="0" applyFont="1" applyFill="1" applyAlignment="1">
      <alignment horizontal="centerContinuous"/>
      <protection locked="0" hidden="1"/>
    </xf>
    <xf numFmtId="166" fontId="71" fillId="0" borderId="0" xfId="0" applyFont="1" applyFill="1" applyAlignment="1">
      <alignment horizontal="centerContinuous"/>
      <protection locked="0" hidden="1"/>
    </xf>
    <xf numFmtId="166" fontId="15" fillId="0" borderId="0" xfId="0" applyFont="1" applyFill="1" applyAlignment="1">
      <protection locked="0" hidden="1"/>
    </xf>
    <xf numFmtId="166" fontId="48" fillId="0" borderId="2" xfId="0" applyFont="1" applyFill="1" applyBorder="1" applyAlignment="1">
      <protection locked="0" hidden="1"/>
    </xf>
    <xf numFmtId="166" fontId="48" fillId="0" borderId="6" xfId="0" applyFont="1" applyFill="1" applyBorder="1" applyAlignment="1">
      <alignment horizontal="centerContinuous"/>
      <protection locked="0" hidden="1"/>
    </xf>
    <xf numFmtId="166" fontId="48" fillId="0" borderId="21" xfId="0" applyFont="1" applyFill="1" applyBorder="1" applyAlignment="1">
      <alignment horizontal="left" vertical="center" indent="1"/>
      <protection locked="0" hidden="1"/>
    </xf>
    <xf numFmtId="166" fontId="48" fillId="0" borderId="21" xfId="0" applyFont="1" applyFill="1" applyBorder="1" applyAlignment="1">
      <alignment horizontal="left" vertical="center" indent="2"/>
      <protection locked="0" hidden="1"/>
    </xf>
    <xf numFmtId="166" fontId="48" fillId="0" borderId="5" xfId="0" applyFont="1" applyFill="1" applyBorder="1" applyAlignment="1">
      <alignment horizontal="left" vertical="center" indent="2"/>
      <protection locked="0" hidden="1"/>
    </xf>
    <xf numFmtId="166" fontId="48" fillId="0" borderId="22" xfId="0" applyFont="1" applyFill="1" applyBorder="1" applyAlignment="1">
      <alignment horizontal="right" vertical="center" indent="1"/>
      <protection locked="0" hidden="1"/>
    </xf>
    <xf numFmtId="166" fontId="48" fillId="0" borderId="12" xfId="0" applyFont="1" applyFill="1" applyBorder="1" applyAlignment="1">
      <alignment horizontal="right" vertical="center" indent="2"/>
      <protection locked="0" hidden="1"/>
    </xf>
    <xf numFmtId="166" fontId="48" fillId="0" borderId="0" xfId="0" applyFont="1" applyFill="1" applyAlignment="1">
      <protection locked="0" hidden="1"/>
    </xf>
    <xf numFmtId="166" fontId="48" fillId="0" borderId="1" xfId="0" applyFont="1" applyFill="1" applyBorder="1" applyAlignment="1">
      <protection locked="0" hidden="1"/>
    </xf>
    <xf numFmtId="0" fontId="48" fillId="0" borderId="2" xfId="0" applyNumberFormat="1" applyFont="1" applyFill="1" applyBorder="1" applyAlignment="1">
      <alignment horizontal="centerContinuous" vertical="center"/>
      <protection locked="0" hidden="1"/>
    </xf>
    <xf numFmtId="166" fontId="48" fillId="0" borderId="7" xfId="0" applyFont="1" applyFill="1" applyBorder="1" applyAlignment="1">
      <alignment horizontal="centerContinuous" vertical="center"/>
      <protection locked="0" hidden="1"/>
    </xf>
    <xf numFmtId="166" fontId="48" fillId="0" borderId="6" xfId="0" applyFont="1" applyFill="1" applyBorder="1" applyAlignment="1">
      <alignment horizontal="centerContinuous" vertical="center"/>
      <protection locked="0" hidden="1"/>
    </xf>
    <xf numFmtId="166" fontId="48" fillId="0" borderId="12" xfId="0" applyFont="1" applyFill="1" applyBorder="1" applyAlignment="1">
      <alignment horizontal="centerContinuous" vertical="center" readingOrder="2"/>
      <protection locked="0" hidden="1"/>
    </xf>
    <xf numFmtId="166" fontId="48" fillId="0" borderId="2" xfId="0" applyFont="1" applyFill="1" applyBorder="1" applyAlignment="1">
      <alignment horizontal="centerContinuous" vertical="center" readingOrder="2"/>
      <protection locked="0" hidden="1"/>
    </xf>
    <xf numFmtId="166" fontId="48" fillId="0" borderId="8" xfId="0" applyFont="1" applyFill="1" applyBorder="1" applyAlignment="1">
      <alignment horizontal="centerContinuous" vertical="center"/>
      <protection locked="0" hidden="1"/>
    </xf>
    <xf numFmtId="166" fontId="48" fillId="0" borderId="3" xfId="0" applyFont="1" applyFill="1" applyBorder="1" applyAlignment="1">
      <alignment horizontal="centerContinuous" vertical="center"/>
      <protection locked="0" hidden="1"/>
    </xf>
    <xf numFmtId="0" fontId="48" fillId="0" borderId="3" xfId="0" applyNumberFormat="1" applyFont="1" applyFill="1" applyBorder="1" applyAlignment="1">
      <alignment horizontal="centerContinuous" vertical="center"/>
      <protection locked="0" hidden="1"/>
    </xf>
    <xf numFmtId="166" fontId="48" fillId="0" borderId="3" xfId="0" applyFont="1" applyFill="1" applyBorder="1" applyAlignment="1">
      <alignment horizontal="centerContinuous" vertical="center" readingOrder="2"/>
      <protection locked="0" hidden="1"/>
    </xf>
    <xf numFmtId="166" fontId="48" fillId="0" borderId="1" xfId="0" applyFont="1" applyFill="1" applyBorder="1" applyAlignment="1">
      <alignment horizontal="center" vertical="center" readingOrder="1"/>
      <protection locked="0" hidden="1"/>
    </xf>
    <xf numFmtId="166" fontId="48" fillId="0" borderId="4" xfId="0" applyFont="1" applyFill="1" applyBorder="1" applyAlignment="1">
      <alignment horizontal="centerContinuous" vertical="center"/>
      <protection locked="0" hidden="1"/>
    </xf>
    <xf numFmtId="166" fontId="48" fillId="0" borderId="3" xfId="0" applyFont="1" applyFill="1" applyBorder="1" applyAlignment="1">
      <alignment horizontal="centerContinuous"/>
      <protection locked="0" hidden="1"/>
    </xf>
    <xf numFmtId="0" fontId="48" fillId="0" borderId="10" xfId="0" applyNumberFormat="1" applyFont="1" applyFill="1" applyBorder="1" applyAlignment="1">
      <alignment horizontal="centerContinuous" vertical="center"/>
      <protection locked="0" hidden="1"/>
    </xf>
    <xf numFmtId="166" fontId="48" fillId="0" borderId="11" xfId="0" applyFont="1" applyFill="1" applyBorder="1" applyAlignment="1">
      <alignment horizontal="center" vertical="center" readingOrder="1"/>
      <protection locked="0" hidden="1"/>
    </xf>
    <xf numFmtId="166" fontId="12" fillId="0" borderId="1" xfId="0" applyFont="1" applyFill="1" applyBorder="1" applyAlignment="1">
      <alignment horizontal="centerContinuous" vertical="top"/>
      <protection locked="0" hidden="1"/>
    </xf>
    <xf numFmtId="166" fontId="12" fillId="0" borderId="9" xfId="0" applyFont="1" applyFill="1" applyBorder="1" applyAlignment="1">
      <alignment horizontal="centerContinuous" vertical="top"/>
      <protection locked="0" hidden="1"/>
    </xf>
    <xf numFmtId="166" fontId="48" fillId="0" borderId="9" xfId="0" applyFont="1" applyFill="1" applyBorder="1" applyAlignment="1">
      <protection locked="0" hidden="1"/>
    </xf>
    <xf numFmtId="166" fontId="48" fillId="0" borderId="11" xfId="0" applyFont="1" applyFill="1" applyBorder="1" applyAlignment="1">
      <alignment horizontal="center" vertical="top"/>
      <protection locked="0" hidden="1"/>
    </xf>
    <xf numFmtId="166" fontId="48" fillId="0" borderId="8" xfId="0" applyFont="1" applyFill="1" applyBorder="1" applyAlignment="1">
      <alignment horizontal="center" vertical="top"/>
      <protection locked="0" hidden="1"/>
    </xf>
    <xf numFmtId="166" fontId="25" fillId="0" borderId="2" xfId="0" applyFont="1" applyFill="1" applyBorder="1" applyAlignment="1">
      <alignment horizontal="left"/>
      <protection locked="0" hidden="1"/>
    </xf>
    <xf numFmtId="166" fontId="25" fillId="0" borderId="7" xfId="0" applyFont="1" applyFill="1" applyBorder="1" applyAlignment="1">
      <alignment horizontal="left"/>
      <protection locked="0" hidden="1"/>
    </xf>
    <xf numFmtId="164" fontId="6" fillId="0" borderId="12" xfId="0" applyNumberFormat="1" applyFont="1" applyFill="1" applyBorder="1" applyAlignment="1">
      <alignment horizontal="right" indent="1" readingOrder="1"/>
      <protection locked="0" hidden="1"/>
    </xf>
    <xf numFmtId="165" fontId="6" fillId="0" borderId="12" xfId="0" applyNumberFormat="1" applyFont="1" applyFill="1" applyBorder="1" applyAlignment="1">
      <alignment horizontal="right" indent="1"/>
      <protection locked="0" hidden="1"/>
    </xf>
    <xf numFmtId="165" fontId="6" fillId="0" borderId="12" xfId="0" applyNumberFormat="1" applyFont="1" applyFill="1" applyBorder="1" applyAlignment="1">
      <alignment horizontal="right" indent="1" readingOrder="1"/>
      <protection locked="0" hidden="1"/>
    </xf>
    <xf numFmtId="166" fontId="25" fillId="0" borderId="1" xfId="0" applyFont="1" applyFill="1" applyBorder="1" applyAlignment="1">
      <alignment horizontal="left" vertical="top"/>
      <protection locked="0" hidden="1"/>
    </xf>
    <xf numFmtId="166" fontId="25" fillId="0" borderId="0" xfId="0" applyFont="1" applyFill="1" applyAlignment="1">
      <alignment horizontal="left" vertical="top"/>
      <protection locked="0" hidden="1"/>
    </xf>
    <xf numFmtId="164" fontId="28" fillId="0" borderId="11" xfId="0" applyNumberFormat="1" applyFont="1" applyFill="1" applyBorder="1" applyAlignment="1">
      <alignment horizontal="right" indent="1" readingOrder="1"/>
      <protection locked="0" hidden="1"/>
    </xf>
    <xf numFmtId="164" fontId="6" fillId="0" borderId="11" xfId="0" applyNumberFormat="1" applyFont="1" applyFill="1" applyBorder="1" applyAlignment="1">
      <alignment horizontal="right" indent="1" readingOrder="1"/>
      <protection locked="0" hidden="1"/>
    </xf>
    <xf numFmtId="165" fontId="6" fillId="0" borderId="11" xfId="0" applyNumberFormat="1" applyFont="1" applyFill="1" applyBorder="1" applyAlignment="1">
      <alignment horizontal="right" indent="1"/>
      <protection locked="0" hidden="1"/>
    </xf>
    <xf numFmtId="165" fontId="6" fillId="0" borderId="11" xfId="0" applyNumberFormat="1" applyFont="1" applyFill="1" applyBorder="1" applyAlignment="1">
      <alignment horizontal="right" indent="1" readingOrder="1"/>
      <protection locked="0" hidden="1"/>
    </xf>
    <xf numFmtId="165" fontId="41" fillId="0" borderId="11" xfId="0" applyNumberFormat="1" applyFont="1" applyFill="1" applyBorder="1" applyAlignment="1">
      <alignment horizontal="right" indent="1" readingOrder="1"/>
      <protection locked="0" hidden="1"/>
    </xf>
    <xf numFmtId="166" fontId="25" fillId="0" borderId="1" xfId="0" applyFont="1" applyFill="1" applyBorder="1" applyAlignment="1">
      <alignment horizontal="left"/>
      <protection locked="0" hidden="1"/>
    </xf>
    <xf numFmtId="166" fontId="25" fillId="0" borderId="0" xfId="0" applyFont="1" applyFill="1" applyAlignment="1">
      <alignment horizontal="left"/>
      <protection locked="0" hidden="1"/>
    </xf>
    <xf numFmtId="164" fontId="81" fillId="0" borderId="11" xfId="0" applyNumberFormat="1" applyFont="1" applyFill="1" applyBorder="1" applyAlignment="1">
      <alignment horizontal="right" indent="1" readingOrder="1"/>
      <protection locked="0" hidden="1"/>
    </xf>
    <xf numFmtId="165" fontId="81" fillId="0" borderId="11" xfId="0" applyNumberFormat="1" applyFont="1" applyFill="1" applyBorder="1" applyAlignment="1">
      <alignment horizontal="right" indent="1" readingOrder="1"/>
      <protection locked="0" hidden="1"/>
    </xf>
    <xf numFmtId="165" fontId="81" fillId="0" borderId="11" xfId="0" applyNumberFormat="1" applyFont="1" applyFill="1" applyBorder="1" applyAlignment="1">
      <alignment horizontal="right" indent="1"/>
      <protection locked="0" hidden="1"/>
    </xf>
    <xf numFmtId="166" fontId="30" fillId="0" borderId="7" xfId="0" applyFont="1" applyFill="1" applyBorder="1" applyAlignment="1">
      <protection locked="0" hidden="1"/>
    </xf>
    <xf numFmtId="166" fontId="41" fillId="0" borderId="7" xfId="0" applyFont="1" applyFill="1" applyBorder="1" applyAlignment="1">
      <protection locked="0" hidden="1"/>
    </xf>
    <xf numFmtId="166" fontId="40" fillId="0" borderId="7" xfId="0" applyFont="1" applyFill="1" applyBorder="1" applyAlignment="1">
      <protection locked="0" hidden="1"/>
    </xf>
    <xf numFmtId="0" fontId="53" fillId="0" borderId="7" xfId="22" applyFont="1" applyBorder="1" applyAlignment="1">
      <alignment horizontal="right" readingOrder="2"/>
    </xf>
    <xf numFmtId="0" fontId="53" fillId="0" borderId="0" xfId="22" applyFont="1" applyAlignment="1">
      <alignment horizontal="right" readingOrder="2"/>
    </xf>
    <xf numFmtId="166" fontId="41" fillId="0" borderId="0" xfId="0" applyFont="1" applyFill="1" applyAlignment="1">
      <protection locked="0" hidden="1"/>
    </xf>
    <xf numFmtId="166" fontId="72" fillId="0" borderId="0" xfId="0" applyFont="1" applyFill="1" applyAlignment="1">
      <alignment horizontal="centerContinuous"/>
      <protection locked="0" hidden="1"/>
    </xf>
    <xf numFmtId="166" fontId="22" fillId="0" borderId="0" xfId="0" applyFont="1" applyFill="1" applyAlignment="1">
      <alignment horizontal="centerContinuous"/>
      <protection locked="0" hidden="1"/>
    </xf>
    <xf numFmtId="22" fontId="91" fillId="0" borderId="0" xfId="0" applyNumberFormat="1" applyFont="1" applyFill="1" applyAlignment="1">
      <alignment horizontal="center"/>
      <protection locked="0" hidden="1"/>
    </xf>
    <xf numFmtId="166" fontId="78" fillId="0" borderId="3" xfId="0" applyFont="1" applyFill="1" applyBorder="1" applyAlignment="1">
      <protection locked="0" hidden="1"/>
    </xf>
    <xf numFmtId="166" fontId="115" fillId="0" borderId="0" xfId="0" applyFont="1" applyFill="1" applyAlignment="1">
      <alignment horizontal="right" readingOrder="2"/>
      <protection locked="0" hidden="1"/>
    </xf>
    <xf numFmtId="166" fontId="107" fillId="0" borderId="21" xfId="0" applyFont="1" applyFill="1" applyBorder="1" applyAlignment="1">
      <alignment horizontal="left" vertical="center" indent="2"/>
      <protection locked="0" hidden="1"/>
    </xf>
    <xf numFmtId="166" fontId="107" fillId="0" borderId="5" xfId="0" applyFont="1" applyFill="1" applyBorder="1" applyAlignment="1">
      <alignment horizontal="right" vertical="center"/>
      <protection locked="0" hidden="1"/>
    </xf>
    <xf numFmtId="166" fontId="108" fillId="0" borderId="22" xfId="0" applyFont="1" applyFill="1" applyBorder="1" applyAlignment="1">
      <alignment horizontal="right" vertical="center" indent="2" readingOrder="2"/>
      <protection locked="0" hidden="1"/>
    </xf>
    <xf numFmtId="166" fontId="108" fillId="0" borderId="5" xfId="0" applyFont="1" applyFill="1" applyBorder="1" applyAlignment="1">
      <alignment horizontal="left" vertical="center"/>
      <protection locked="0" hidden="1"/>
    </xf>
    <xf numFmtId="166" fontId="108" fillId="0" borderId="5" xfId="0" applyFont="1" applyFill="1" applyBorder="1" applyAlignment="1">
      <alignment horizontal="right" vertical="center"/>
      <protection locked="0" hidden="1"/>
    </xf>
    <xf numFmtId="166" fontId="107" fillId="0" borderId="1" xfId="0" applyFont="1" applyFill="1" applyBorder="1" applyAlignment="1">
      <alignment horizontal="center" vertical="center"/>
      <protection locked="0" hidden="1"/>
    </xf>
    <xf numFmtId="166" fontId="107" fillId="0" borderId="11" xfId="0" applyFont="1" applyFill="1" applyBorder="1" applyAlignment="1">
      <alignment vertical="center"/>
      <protection locked="0" hidden="1"/>
    </xf>
    <xf numFmtId="166" fontId="108" fillId="0" borderId="11" xfId="0" applyFont="1" applyFill="1" applyBorder="1" applyAlignment="1">
      <alignment horizontal="center" vertical="center"/>
      <protection locked="0" hidden="1"/>
    </xf>
    <xf numFmtId="166" fontId="108" fillId="0" borderId="1" xfId="0" applyFont="1" applyFill="1" applyBorder="1" applyAlignment="1">
      <alignment horizontal="center" vertical="center"/>
      <protection locked="0" hidden="1"/>
    </xf>
    <xf numFmtId="166" fontId="107" fillId="0" borderId="21" xfId="0" applyFont="1" applyFill="1" applyBorder="1" applyAlignment="1">
      <alignment horizontal="left" vertical="center"/>
      <protection locked="0" hidden="1"/>
    </xf>
    <xf numFmtId="166" fontId="107" fillId="0" borderId="5" xfId="0" applyFont="1" applyFill="1" applyBorder="1" applyAlignment="1">
      <alignment vertical="center" wrapText="1"/>
      <protection locked="0" hidden="1"/>
    </xf>
    <xf numFmtId="166" fontId="108" fillId="0" borderId="22" xfId="0" applyFont="1" applyFill="1" applyBorder="1" applyAlignment="1">
      <alignment horizontal="right" vertical="center" readingOrder="2"/>
      <protection locked="0" hidden="1"/>
    </xf>
    <xf numFmtId="166" fontId="107" fillId="0" borderId="0" xfId="0" applyFont="1" applyFill="1" applyAlignment="1">
      <alignment vertical="center" wrapText="1"/>
      <protection locked="0" hidden="1"/>
    </xf>
    <xf numFmtId="166" fontId="107" fillId="0" borderId="12" xfId="0" applyFont="1" applyFill="1" applyBorder="1" applyAlignment="1">
      <alignment vertical="center" wrapText="1"/>
      <protection locked="0" hidden="1"/>
    </xf>
    <xf numFmtId="166" fontId="108" fillId="0" borderId="1" xfId="0" applyFont="1" applyFill="1" applyBorder="1" applyAlignment="1">
      <alignment horizontal="center" vertical="center" wrapText="1"/>
      <protection locked="0" hidden="1"/>
    </xf>
    <xf numFmtId="166" fontId="108" fillId="0" borderId="11" xfId="0" applyFont="1" applyFill="1" applyBorder="1" applyAlignment="1">
      <alignment horizontal="center" vertical="center" wrapText="1"/>
      <protection locked="0" hidden="1"/>
    </xf>
    <xf numFmtId="166" fontId="107" fillId="0" borderId="8" xfId="0" applyFont="1" applyFill="1" applyBorder="1" applyAlignment="1">
      <alignment horizontal="center" vertical="center" wrapText="1"/>
      <protection locked="0" hidden="1"/>
    </xf>
    <xf numFmtId="166" fontId="107" fillId="0" borderId="0" xfId="0" applyFont="1" applyFill="1" applyAlignment="1">
      <alignment horizontal="center" vertical="center" wrapText="1"/>
      <protection locked="0" hidden="1"/>
    </xf>
    <xf numFmtId="209" fontId="107" fillId="0" borderId="1" xfId="0" applyNumberFormat="1" applyFont="1" applyFill="1" applyBorder="1" applyAlignment="1">
      <alignment horizontal="left" indent="1"/>
      <protection locked="0" hidden="1"/>
    </xf>
    <xf numFmtId="2" fontId="112" fillId="0" borderId="11" xfId="0" applyNumberFormat="1" applyFont="1" applyFill="1" applyBorder="1" applyAlignment="1">
      <alignment horizontal="right" indent="1" readingOrder="2"/>
      <protection locked="0" hidden="1"/>
    </xf>
    <xf numFmtId="209" fontId="107" fillId="0" borderId="1" xfId="0" applyNumberFormat="1" applyFont="1" applyFill="1" applyBorder="1" applyAlignment="1">
      <alignment horizontal="left" wrapText="1" indent="1"/>
      <protection locked="0" hidden="1"/>
    </xf>
    <xf numFmtId="209" fontId="107" fillId="0" borderId="1" xfId="0" applyNumberFormat="1" applyFont="1" applyFill="1" applyBorder="1" applyAlignment="1">
      <alignment horizontal="center"/>
      <protection locked="0" hidden="1"/>
    </xf>
    <xf numFmtId="2" fontId="112" fillId="0" borderId="11" xfId="0" applyNumberFormat="1" applyFont="1" applyFill="1" applyBorder="1" applyAlignment="1">
      <alignment horizontal="center" readingOrder="2"/>
      <protection locked="0" hidden="1"/>
    </xf>
    <xf numFmtId="166" fontId="107" fillId="0" borderId="0" xfId="0" applyFont="1" applyFill="1" applyAlignment="1">
      <protection locked="0" hidden="1"/>
    </xf>
    <xf numFmtId="211" fontId="105" fillId="0" borderId="0" xfId="0" applyNumberFormat="1" applyFont="1" applyFill="1" applyAlignment="1">
      <protection locked="0" hidden="1"/>
    </xf>
    <xf numFmtId="166" fontId="108" fillId="0" borderId="12" xfId="0" applyFont="1" applyFill="1" applyBorder="1" applyAlignment="1">
      <alignment horizontal="right" vertical="center" readingOrder="2"/>
      <protection locked="0" hidden="1"/>
    </xf>
    <xf numFmtId="166" fontId="79" fillId="0" borderId="0" xfId="0" applyFont="1" applyFill="1" applyAlignment="1">
      <alignment horizontal="right" readingOrder="2"/>
      <protection locked="0" hidden="1"/>
    </xf>
    <xf numFmtId="166" fontId="39" fillId="0" borderId="1" xfId="0" applyFont="1" applyFill="1" applyBorder="1" applyAlignment="1">
      <alignment horizontal="left"/>
      <protection locked="0" hidden="1"/>
    </xf>
    <xf numFmtId="166" fontId="39" fillId="0" borderId="0" xfId="0" applyFont="1" applyFill="1" applyAlignment="1">
      <alignment horizontal="left"/>
      <protection locked="0" hidden="1"/>
    </xf>
    <xf numFmtId="185" fontId="38" fillId="0" borderId="1" xfId="0" applyNumberFormat="1" applyFont="1" applyFill="1" applyBorder="1" applyAlignment="1">
      <alignment horizontal="right"/>
      <protection locked="0" hidden="1"/>
    </xf>
    <xf numFmtId="167" fontId="38" fillId="0" borderId="1" xfId="0" applyNumberFormat="1" applyFont="1" applyFill="1" applyBorder="1" applyAlignment="1">
      <alignment horizontal="right"/>
      <protection locked="0" hidden="1"/>
    </xf>
    <xf numFmtId="167" fontId="38" fillId="0" borderId="11" xfId="0" applyNumberFormat="1" applyFont="1" applyFill="1" applyBorder="1" applyAlignment="1">
      <alignment horizontal="right"/>
      <protection locked="0" hidden="1"/>
    </xf>
    <xf numFmtId="172" fontId="38" fillId="0" borderId="11" xfId="0" applyNumberFormat="1" applyFont="1" applyFill="1" applyBorder="1" applyAlignment="1">
      <alignment horizontal="right"/>
      <protection locked="0" hidden="1"/>
    </xf>
    <xf numFmtId="184" fontId="38" fillId="0" borderId="11" xfId="0" applyNumberFormat="1" applyFont="1" applyFill="1" applyBorder="1" applyAlignment="1">
      <alignment horizontal="right"/>
      <protection locked="0" hidden="1"/>
    </xf>
    <xf numFmtId="185" fontId="38" fillId="0" borderId="11" xfId="0" applyNumberFormat="1" applyFont="1" applyFill="1" applyBorder="1" applyAlignment="1">
      <alignment horizontal="right"/>
      <protection locked="0" hidden="1"/>
    </xf>
    <xf numFmtId="171" fontId="38" fillId="0" borderId="11" xfId="0" applyNumberFormat="1" applyFont="1" applyFill="1" applyBorder="1" applyAlignment="1">
      <alignment horizontal="right"/>
      <protection locked="0" hidden="1"/>
    </xf>
    <xf numFmtId="179" fontId="38" fillId="0" borderId="11" xfId="0" applyNumberFormat="1" applyFont="1" applyFill="1" applyBorder="1" applyAlignment="1">
      <alignment horizontal="right"/>
      <protection locked="0" hidden="1"/>
    </xf>
    <xf numFmtId="0" fontId="105" fillId="0" borderId="0" xfId="0" quotePrefix="1" applyNumberFormat="1" applyFont="1" applyFill="1" applyAlignment="1" applyProtection="1">
      <alignment wrapText="1"/>
    </xf>
    <xf numFmtId="0" fontId="91" fillId="0" borderId="3" xfId="0" applyNumberFormat="1" applyFont="1" applyFill="1" applyBorder="1" applyAlignment="1" applyProtection="1"/>
    <xf numFmtId="0" fontId="108" fillId="0" borderId="12" xfId="0" applyNumberFormat="1" applyFont="1" applyFill="1" applyBorder="1" applyAlignment="1" applyProtection="1">
      <alignment horizontal="center"/>
    </xf>
    <xf numFmtId="0" fontId="108" fillId="0" borderId="6" xfId="0" applyNumberFormat="1" applyFont="1" applyFill="1" applyBorder="1" applyAlignment="1" applyProtection="1">
      <alignment horizontal="center"/>
    </xf>
    <xf numFmtId="0" fontId="107" fillId="0" borderId="0" xfId="0" applyNumberFormat="1" applyFont="1" applyFill="1" applyAlignment="1" applyProtection="1"/>
    <xf numFmtId="164" fontId="105" fillId="0" borderId="0" xfId="0" applyNumberFormat="1" applyFont="1" applyFill="1" applyAlignment="1" applyProtection="1"/>
    <xf numFmtId="187" fontId="22" fillId="0" borderId="11" xfId="0" applyNumberFormat="1" applyFont="1" applyFill="1" applyBorder="1" applyAlignment="1">
      <protection locked="0" hidden="1"/>
    </xf>
    <xf numFmtId="166" fontId="16" fillId="0" borderId="0" xfId="0" applyFont="1" applyFill="1" applyAlignment="1">
      <alignment horizontal="right" readingOrder="2"/>
      <protection locked="0" hidden="1"/>
    </xf>
    <xf numFmtId="2" fontId="105" fillId="0" borderId="11" xfId="18" applyNumberFormat="1" applyFont="1" applyFill="1" applyBorder="1" applyAlignment="1">
      <alignment horizontal="right" indent="3"/>
      <protection locked="0" hidden="1"/>
    </xf>
    <xf numFmtId="0" fontId="21" fillId="0" borderId="0" xfId="22" applyFont="1" applyAlignment="1">
      <alignment horizontal="center"/>
    </xf>
    <xf numFmtId="0" fontId="21" fillId="0" borderId="0" xfId="22" applyFont="1" applyAlignment="1">
      <alignment horizontal="left"/>
    </xf>
    <xf numFmtId="0" fontId="95" fillId="0" borderId="0" xfId="0" applyNumberFormat="1" applyFont="1" applyFill="1" applyAlignment="1" applyProtection="1">
      <alignment horizontal="centerContinuous" readingOrder="2"/>
    </xf>
    <xf numFmtId="0" fontId="25" fillId="0" borderId="4" xfId="0" applyNumberFormat="1" applyFont="1" applyFill="1" applyBorder="1" applyAlignment="1" applyProtection="1">
      <alignment horizontal="left" vertical="center" indent="3"/>
    </xf>
    <xf numFmtId="0" fontId="26" fillId="0" borderId="3" xfId="0" applyNumberFormat="1" applyFont="1" applyFill="1" applyBorder="1" applyAlignment="1" applyProtection="1">
      <alignment horizontal="right" vertical="center" indent="3"/>
    </xf>
    <xf numFmtId="0" fontId="25" fillId="0" borderId="4" xfId="0" applyNumberFormat="1" applyFont="1" applyFill="1" applyBorder="1" applyAlignment="1" applyProtection="1">
      <alignment horizontal="left" vertical="center" indent="2"/>
    </xf>
    <xf numFmtId="0" fontId="26" fillId="0" borderId="3" xfId="0" applyNumberFormat="1" applyFont="1" applyFill="1" applyBorder="1" applyAlignment="1" applyProtection="1">
      <alignment horizontal="right" vertical="center" indent="2" readingOrder="2"/>
    </xf>
    <xf numFmtId="0" fontId="25" fillId="0" borderId="3" xfId="0" applyNumberFormat="1" applyFont="1" applyFill="1" applyBorder="1" applyAlignment="1" applyProtection="1">
      <alignment horizontal="left" vertical="center" indent="3"/>
    </xf>
    <xf numFmtId="0" fontId="25" fillId="0" borderId="3" xfId="0" applyNumberFormat="1" applyFont="1" applyFill="1" applyBorder="1" applyAlignment="1" applyProtection="1">
      <alignment horizontal="left" vertical="center" indent="2"/>
    </xf>
    <xf numFmtId="0" fontId="26" fillId="0" borderId="22" xfId="0" applyNumberFormat="1" applyFont="1" applyFill="1" applyBorder="1" applyAlignment="1" applyProtection="1">
      <alignment horizontal="right" vertical="center" indent="3"/>
    </xf>
    <xf numFmtId="165" fontId="30" fillId="0" borderId="1" xfId="0" applyNumberFormat="1" applyFont="1" applyFill="1" applyBorder="1" applyAlignment="1">
      <alignment horizontal="right" indent="1"/>
      <protection locked="0" hidden="1"/>
    </xf>
    <xf numFmtId="165" fontId="30" fillId="0" borderId="1" xfId="0" applyNumberFormat="1" applyFont="1" applyFill="1" applyBorder="1" applyAlignment="1">
      <alignment horizontal="right" vertical="top" indent="1"/>
      <protection locked="0" hidden="1"/>
    </xf>
    <xf numFmtId="165" fontId="78" fillId="0" borderId="1" xfId="0" applyNumberFormat="1" applyFont="1" applyFill="1" applyBorder="1" applyAlignment="1">
      <alignment horizontal="right" vertical="top" indent="1"/>
      <protection locked="0" hidden="1"/>
    </xf>
    <xf numFmtId="165" fontId="78" fillId="0" borderId="11" xfId="0" applyNumberFormat="1" applyFont="1" applyFill="1" applyBorder="1" applyAlignment="1">
      <alignment horizontal="right" vertical="top" indent="1"/>
      <protection locked="0" hidden="1"/>
    </xf>
    <xf numFmtId="165" fontId="79" fillId="0" borderId="1" xfId="0" applyNumberFormat="1" applyFont="1" applyFill="1" applyBorder="1" applyAlignment="1">
      <alignment horizontal="right" indent="1"/>
      <protection locked="0" hidden="1"/>
    </xf>
    <xf numFmtId="165" fontId="22" fillId="0" borderId="11" xfId="0" applyNumberFormat="1" applyFont="1" applyFill="1" applyBorder="1" applyAlignment="1">
      <alignment horizontal="right" indent="1"/>
      <protection locked="0" hidden="1"/>
    </xf>
    <xf numFmtId="164" fontId="18" fillId="0" borderId="7" xfId="0" applyNumberFormat="1" applyFont="1" applyFill="1" applyBorder="1" applyAlignment="1" applyProtection="1"/>
    <xf numFmtId="164" fontId="18" fillId="0" borderId="7" xfId="0" applyNumberFormat="1" applyFont="1" applyFill="1" applyBorder="1" applyAlignment="1" applyProtection="1">
      <alignment horizontal="centerContinuous"/>
    </xf>
    <xf numFmtId="164" fontId="18" fillId="0" borderId="7" xfId="0" applyNumberFormat="1" applyFont="1" applyFill="1" applyBorder="1" applyAlignment="1" applyProtection="1">
      <alignment horizontal="right"/>
    </xf>
    <xf numFmtId="165" fontId="82" fillId="0" borderId="0" xfId="0" applyNumberFormat="1" applyFont="1" applyFill="1" applyAlignment="1">
      <alignment horizontal="right"/>
      <protection locked="0" hidden="1"/>
    </xf>
    <xf numFmtId="0" fontId="25" fillId="0" borderId="5" xfId="0" applyNumberFormat="1" applyFont="1" applyFill="1" applyBorder="1" applyAlignment="1" applyProtection="1">
      <alignment horizontal="center" vertical="center"/>
    </xf>
    <xf numFmtId="0" fontId="28" fillId="0" borderId="5" xfId="0" applyNumberFormat="1" applyFont="1" applyFill="1" applyBorder="1" applyAlignment="1" applyProtection="1">
      <alignment horizontal="centerContinuous" vertical="top"/>
    </xf>
    <xf numFmtId="0" fontId="28" fillId="0" borderId="5" xfId="0" applyNumberFormat="1" applyFont="1" applyFill="1" applyBorder="1" applyAlignment="1" applyProtection="1">
      <alignment vertical="top" wrapText="1"/>
    </xf>
    <xf numFmtId="0" fontId="25" fillId="0" borderId="5" xfId="0" applyNumberFormat="1" applyFont="1" applyFill="1" applyBorder="1" applyAlignment="1" applyProtection="1">
      <alignment vertical="top"/>
    </xf>
    <xf numFmtId="0" fontId="26" fillId="0" borderId="5" xfId="0" applyNumberFormat="1" applyFont="1" applyFill="1" applyBorder="1" applyAlignment="1" applyProtection="1">
      <alignment horizontal="centerContinuous" vertical="center"/>
    </xf>
    <xf numFmtId="0" fontId="26" fillId="0" borderId="22" xfId="0" applyNumberFormat="1" applyFont="1" applyFill="1" applyBorder="1" applyAlignment="1" applyProtection="1">
      <alignment horizontal="right" vertical="center" indent="2" readingOrder="2"/>
    </xf>
    <xf numFmtId="0" fontId="25" fillId="0" borderId="12" xfId="0" applyNumberFormat="1" applyFont="1" applyFill="1" applyBorder="1" applyAlignment="1" applyProtection="1">
      <alignment horizontal="center" vertical="top"/>
    </xf>
    <xf numFmtId="0" fontId="26" fillId="0" borderId="11" xfId="0" applyNumberFormat="1" applyFont="1" applyFill="1" applyBorder="1" applyAlignment="1" applyProtection="1">
      <alignment horizontal="centerContinuous" vertical="top" readingOrder="2"/>
    </xf>
    <xf numFmtId="0" fontId="25" fillId="0" borderId="0" xfId="0" applyNumberFormat="1" applyFont="1" applyFill="1" applyAlignment="1" applyProtection="1">
      <alignment horizontal="centerContinuous"/>
    </xf>
    <xf numFmtId="0" fontId="28" fillId="0" borderId="24" xfId="0" applyNumberFormat="1" applyFont="1" applyFill="1" applyBorder="1" applyAlignment="1" applyProtection="1">
      <alignment vertical="top" wrapText="1"/>
    </xf>
    <xf numFmtId="189" fontId="30" fillId="0" borderId="15" xfId="0" applyNumberFormat="1" applyFont="1" applyFill="1" applyBorder="1" applyAlignment="1">
      <alignment horizontal="right"/>
      <protection locked="0" hidden="1"/>
    </xf>
    <xf numFmtId="0" fontId="25" fillId="0" borderId="8" xfId="0" applyNumberFormat="1" applyFont="1" applyFill="1" applyBorder="1" applyAlignment="1" applyProtection="1"/>
    <xf numFmtId="0" fontId="91" fillId="0" borderId="0" xfId="0" applyNumberFormat="1" applyFont="1" applyFill="1" applyAlignment="1" applyProtection="1">
      <alignment horizontal="left"/>
    </xf>
    <xf numFmtId="0" fontId="117" fillId="0" borderId="0" xfId="0" applyNumberFormat="1" applyFont="1" applyFill="1" applyAlignment="1" applyProtection="1"/>
    <xf numFmtId="0" fontId="108" fillId="0" borderId="2" xfId="0" applyNumberFormat="1" applyFont="1" applyFill="1" applyBorder="1" applyAlignment="1" applyProtection="1">
      <alignment horizontal="centerContinuous"/>
    </xf>
    <xf numFmtId="0" fontId="107" fillId="0" borderId="6" xfId="0" applyNumberFormat="1" applyFont="1" applyFill="1" applyBorder="1" applyAlignment="1" applyProtection="1">
      <alignment horizontal="centerContinuous"/>
    </xf>
    <xf numFmtId="166" fontId="77" fillId="0" borderId="9" xfId="0" applyFont="1" applyFill="1" applyBorder="1" applyAlignment="1">
      <alignment horizontal="left" vertical="top"/>
      <protection locked="0" hidden="1"/>
    </xf>
    <xf numFmtId="165" fontId="79" fillId="0" borderId="11" xfId="0" applyNumberFormat="1" applyFont="1" applyFill="1" applyBorder="1" applyAlignment="1">
      <alignment horizontal="center"/>
      <protection locked="0" hidden="1"/>
    </xf>
    <xf numFmtId="165" fontId="83" fillId="0" borderId="11" xfId="0" applyNumberFormat="1" applyFont="1" applyFill="1" applyBorder="1" applyAlignment="1">
      <alignment horizontal="center"/>
      <protection locked="0" hidden="1"/>
    </xf>
    <xf numFmtId="0" fontId="91" fillId="0" borderId="7" xfId="0" applyNumberFormat="1" applyFont="1" applyFill="1" applyBorder="1" applyAlignment="1" applyProtection="1"/>
    <xf numFmtId="0" fontId="91" fillId="0" borderId="7" xfId="0" applyNumberFormat="1" applyFont="1" applyFill="1" applyBorder="1" applyAlignment="1" applyProtection="1">
      <alignment horizontal="right" readingOrder="2"/>
    </xf>
    <xf numFmtId="0" fontId="96" fillId="0" borderId="0" xfId="0" applyNumberFormat="1" applyFont="1" applyFill="1" applyAlignment="1" applyProtection="1">
      <alignment horizontal="centerContinuous"/>
    </xf>
    <xf numFmtId="0" fontId="78" fillId="0" borderId="7" xfId="0" applyNumberFormat="1" applyFont="1" applyFill="1" applyBorder="1" applyAlignment="1" applyProtection="1">
      <alignment wrapText="1"/>
    </xf>
    <xf numFmtId="0" fontId="91" fillId="0" borderId="7" xfId="0" applyNumberFormat="1" applyFont="1" applyFill="1" applyBorder="1" applyAlignment="1" applyProtection="1">
      <alignment wrapText="1"/>
    </xf>
    <xf numFmtId="165" fontId="16" fillId="0" borderId="15" xfId="0" applyNumberFormat="1" applyFont="1" applyFill="1" applyBorder="1" applyAlignment="1">
      <alignment horizontal="right"/>
      <protection locked="0" hidden="1"/>
    </xf>
    <xf numFmtId="178" fontId="83" fillId="0" borderId="11" xfId="0" applyNumberFormat="1" applyFont="1" applyFill="1" applyBorder="1" applyAlignment="1">
      <protection locked="0" hidden="1"/>
    </xf>
    <xf numFmtId="212" fontId="35" fillId="0" borderId="11" xfId="0" applyNumberFormat="1" applyFont="1" applyFill="1" applyBorder="1" applyAlignment="1" applyProtection="1">
      <alignment horizontal="right"/>
    </xf>
    <xf numFmtId="165" fontId="116" fillId="0" borderId="11" xfId="0" applyNumberFormat="1" applyFont="1" applyFill="1" applyBorder="1" applyAlignment="1">
      <alignment horizontal="center" vertical="top"/>
      <protection locked="0" hidden="1"/>
    </xf>
    <xf numFmtId="189" fontId="116" fillId="0" borderId="11" xfId="0" applyNumberFormat="1" applyFont="1" applyFill="1" applyBorder="1" applyAlignment="1">
      <alignment horizontal="right"/>
      <protection locked="0" hidden="1"/>
    </xf>
    <xf numFmtId="190" fontId="83" fillId="0" borderId="0" xfId="0" applyNumberFormat="1" applyFont="1" applyFill="1" applyAlignment="1">
      <protection locked="0" hidden="1"/>
    </xf>
    <xf numFmtId="190" fontId="79" fillId="0" borderId="0" xfId="0" applyNumberFormat="1" applyFont="1" applyFill="1" applyAlignment="1">
      <protection locked="0" hidden="1"/>
    </xf>
    <xf numFmtId="206" fontId="18" fillId="0" borderId="0" xfId="0" applyNumberFormat="1" applyFont="1" applyFill="1" applyAlignment="1">
      <alignment horizontal="right" readingOrder="2"/>
      <protection locked="0" hidden="1"/>
    </xf>
    <xf numFmtId="176" fontId="116" fillId="0" borderId="11" xfId="0" applyNumberFormat="1" applyFont="1" applyFill="1" applyBorder="1" applyAlignment="1">
      <alignment horizontal="right"/>
      <protection locked="0" hidden="1"/>
    </xf>
    <xf numFmtId="164" fontId="28" fillId="0" borderId="0" xfId="0" applyNumberFormat="1" applyFont="1" applyFill="1" applyAlignment="1" applyProtection="1">
      <alignment horizontal="right"/>
    </xf>
    <xf numFmtId="164" fontId="8" fillId="0" borderId="0" xfId="0" applyNumberFormat="1" applyFont="1" applyFill="1" applyAlignment="1" applyProtection="1">
      <alignment horizontal="right"/>
    </xf>
    <xf numFmtId="164" fontId="0" fillId="0" borderId="0" xfId="0" applyNumberFormat="1" applyFill="1" applyAlignment="1" applyProtection="1">
      <alignment horizontal="right"/>
    </xf>
    <xf numFmtId="206" fontId="0" fillId="0" borderId="0" xfId="0" applyNumberFormat="1" applyFill="1" applyAlignment="1">
      <alignment horizontal="right"/>
      <protection locked="0" hidden="1"/>
    </xf>
    <xf numFmtId="206" fontId="17" fillId="0" borderId="0" xfId="0" applyNumberFormat="1" applyFont="1" applyFill="1" applyAlignment="1">
      <protection locked="0" hidden="1"/>
    </xf>
    <xf numFmtId="169" fontId="116" fillId="0" borderId="11" xfId="0" applyNumberFormat="1" applyFont="1" applyFill="1" applyBorder="1" applyAlignment="1">
      <alignment horizontal="right"/>
      <protection locked="0" hidden="1"/>
    </xf>
    <xf numFmtId="165" fontId="121" fillId="0" borderId="11" xfId="0" applyNumberFormat="1" applyFont="1" applyFill="1" applyBorder="1" applyAlignment="1">
      <alignment horizontal="right"/>
      <protection locked="0" hidden="1"/>
    </xf>
    <xf numFmtId="165" fontId="121" fillId="0" borderId="1" xfId="0" applyNumberFormat="1" applyFont="1" applyFill="1" applyBorder="1" applyAlignment="1">
      <alignment horizontal="right"/>
      <protection locked="0" hidden="1"/>
    </xf>
    <xf numFmtId="165" fontId="85" fillId="0" borderId="8" xfId="0" applyNumberFormat="1" applyFont="1" applyFill="1" applyBorder="1" applyAlignment="1" applyProtection="1">
      <protection locked="0"/>
    </xf>
    <xf numFmtId="165" fontId="85" fillId="4" borderId="12" xfId="0" applyNumberFormat="1" applyFont="1" applyFill="1" applyBorder="1" applyAlignment="1" applyProtection="1"/>
    <xf numFmtId="165" fontId="85" fillId="4" borderId="23" xfId="0" applyNumberFormat="1" applyFont="1" applyFill="1" applyBorder="1" applyAlignment="1" applyProtection="1"/>
    <xf numFmtId="206" fontId="42" fillId="0" borderId="0" xfId="0" applyNumberFormat="1" applyFont="1" applyFill="1" applyAlignment="1">
      <protection locked="0" hidden="1"/>
    </xf>
    <xf numFmtId="206" fontId="40" fillId="0" borderId="0" xfId="0" applyNumberFormat="1" applyFont="1" applyFill="1" applyAlignment="1">
      <protection locked="0" hidden="1"/>
    </xf>
    <xf numFmtId="179" fontId="116" fillId="0" borderId="11" xfId="0" applyNumberFormat="1" applyFont="1" applyFill="1" applyBorder="1" applyAlignment="1">
      <alignment horizontal="right"/>
      <protection locked="0" hidden="1"/>
    </xf>
    <xf numFmtId="165" fontId="121" fillId="0" borderId="15" xfId="0" applyNumberFormat="1" applyFont="1" applyFill="1" applyBorder="1" applyAlignment="1">
      <alignment horizontal="right"/>
      <protection locked="0" hidden="1"/>
    </xf>
    <xf numFmtId="201" fontId="30" fillId="0" borderId="11" xfId="0" applyNumberFormat="1" applyFont="1" applyFill="1" applyBorder="1" applyAlignment="1">
      <alignment horizontal="right"/>
      <protection locked="0" hidden="1"/>
    </xf>
    <xf numFmtId="188" fontId="116" fillId="0" borderId="11" xfId="0" applyNumberFormat="1" applyFont="1" applyFill="1" applyBorder="1" applyAlignment="1">
      <alignment horizontal="right"/>
      <protection locked="0" hidden="1"/>
    </xf>
    <xf numFmtId="167" fontId="116" fillId="0" borderId="11" xfId="0" applyNumberFormat="1" applyFont="1" applyFill="1" applyBorder="1" applyAlignment="1">
      <alignment horizontal="right"/>
      <protection locked="0" hidden="1"/>
    </xf>
    <xf numFmtId="190" fontId="116" fillId="0" borderId="11" xfId="0" applyNumberFormat="1" applyFont="1" applyFill="1" applyBorder="1" applyAlignment="1">
      <protection locked="0" hidden="1"/>
    </xf>
    <xf numFmtId="1" fontId="38" fillId="0" borderId="0" xfId="0" applyNumberFormat="1" applyFont="1" applyFill="1" applyAlignment="1">
      <protection locked="0" hidden="1"/>
    </xf>
    <xf numFmtId="16" fontId="14" fillId="0" borderId="9" xfId="0" applyNumberFormat="1" applyFont="1" applyFill="1" applyBorder="1" applyAlignment="1" applyProtection="1">
      <alignment horizontal="center"/>
    </xf>
    <xf numFmtId="0" fontId="21" fillId="0" borderId="11" xfId="22" applyFont="1" applyBorder="1" applyAlignment="1">
      <alignment horizontal="center"/>
    </xf>
    <xf numFmtId="189" fontId="18" fillId="0" borderId="11" xfId="0" applyNumberFormat="1" applyFont="1" applyFill="1" applyBorder="1" applyAlignment="1">
      <alignment horizontal="right"/>
      <protection locked="0" hidden="1"/>
    </xf>
    <xf numFmtId="172" fontId="18" fillId="0" borderId="11" xfId="0" applyNumberFormat="1" applyFont="1" applyFill="1" applyBorder="1" applyAlignment="1">
      <alignment horizontal="right"/>
      <protection locked="0" hidden="1"/>
    </xf>
    <xf numFmtId="188" fontId="18" fillId="0" borderId="11" xfId="0" applyNumberFormat="1" applyFont="1" applyFill="1" applyBorder="1" applyAlignment="1">
      <alignment horizontal="right"/>
      <protection locked="0" hidden="1"/>
    </xf>
    <xf numFmtId="179" fontId="18" fillId="0" borderId="9" xfId="0" applyNumberFormat="1" applyFont="1" applyFill="1" applyBorder="1" applyAlignment="1">
      <alignment horizontal="right"/>
      <protection locked="0" hidden="1"/>
    </xf>
    <xf numFmtId="165" fontId="16" fillId="0" borderId="0" xfId="0" applyNumberFormat="1" applyFont="1" applyFill="1" applyAlignment="1">
      <alignment horizontal="right"/>
      <protection locked="0" hidden="1"/>
    </xf>
    <xf numFmtId="172" fontId="22" fillId="0" borderId="11" xfId="0" applyNumberFormat="1" applyFont="1" applyFill="1" applyBorder="1" applyAlignment="1">
      <protection locked="0" hidden="1"/>
    </xf>
    <xf numFmtId="177" fontId="22" fillId="0" borderId="11" xfId="0" applyNumberFormat="1" applyFont="1" applyFill="1" applyBorder="1" applyAlignment="1">
      <protection locked="0" hidden="1"/>
    </xf>
    <xf numFmtId="202" fontId="22" fillId="0" borderId="11" xfId="0" applyNumberFormat="1" applyFont="1" applyFill="1" applyBorder="1" applyAlignment="1">
      <protection locked="0" hidden="1"/>
    </xf>
    <xf numFmtId="178" fontId="22" fillId="0" borderId="19" xfId="0" applyNumberFormat="1" applyFont="1" applyFill="1" applyBorder="1" applyAlignment="1">
      <protection locked="0" hidden="1"/>
    </xf>
    <xf numFmtId="165" fontId="6" fillId="0" borderId="15" xfId="0" applyNumberFormat="1" applyFont="1" applyFill="1" applyBorder="1" applyAlignment="1">
      <alignment horizontal="right"/>
      <protection locked="0" hidden="1"/>
    </xf>
    <xf numFmtId="165" fontId="5" fillId="0" borderId="8" xfId="0" applyNumberFormat="1" applyFont="1" applyFill="1" applyBorder="1" applyAlignment="1" applyProtection="1">
      <protection locked="0"/>
    </xf>
    <xf numFmtId="177" fontId="116" fillId="0" borderId="11" xfId="0" applyNumberFormat="1" applyFont="1" applyFill="1" applyBorder="1" applyAlignment="1">
      <alignment horizontal="right"/>
      <protection locked="0" hidden="1"/>
    </xf>
    <xf numFmtId="165" fontId="18" fillId="0" borderId="11" xfId="0" applyNumberFormat="1" applyFont="1" applyFill="1" applyBorder="1" applyAlignment="1">
      <alignment horizontal="center" vertical="top"/>
      <protection locked="0" hidden="1"/>
    </xf>
    <xf numFmtId="165" fontId="22" fillId="0" borderId="11" xfId="0" applyNumberFormat="1" applyFont="1" applyFill="1" applyBorder="1" applyAlignment="1">
      <alignment horizontal="center"/>
      <protection locked="0" hidden="1"/>
    </xf>
    <xf numFmtId="165" fontId="6" fillId="0" borderId="1" xfId="0" applyNumberFormat="1" applyFont="1" applyFill="1" applyBorder="1" applyAlignment="1">
      <alignment horizontal="right"/>
      <protection locked="0" hidden="1"/>
    </xf>
    <xf numFmtId="190" fontId="18" fillId="0" borderId="11" xfId="0" applyNumberFormat="1" applyFont="1" applyFill="1" applyBorder="1" applyAlignment="1">
      <protection locked="0" hidden="1"/>
    </xf>
    <xf numFmtId="193" fontId="18" fillId="0" borderId="11" xfId="0" applyNumberFormat="1" applyFont="1" applyFill="1" applyBorder="1" applyAlignment="1">
      <protection locked="0" hidden="1"/>
    </xf>
    <xf numFmtId="192" fontId="18" fillId="0" borderId="11" xfId="0" applyNumberFormat="1" applyFont="1" applyFill="1" applyBorder="1" applyAlignment="1">
      <protection locked="0" hidden="1"/>
    </xf>
    <xf numFmtId="182" fontId="18" fillId="0" borderId="11" xfId="0" applyNumberFormat="1" applyFont="1" applyFill="1" applyBorder="1" applyAlignment="1">
      <protection locked="0" hidden="1"/>
    </xf>
    <xf numFmtId="177" fontId="18" fillId="0" borderId="40" xfId="0" applyNumberFormat="1" applyFont="1" applyFill="1" applyBorder="1" applyAlignment="1">
      <alignment horizontal="right"/>
      <protection locked="0" hidden="1"/>
    </xf>
    <xf numFmtId="179" fontId="18" fillId="0" borderId="11" xfId="0" applyNumberFormat="1" applyFont="1" applyFill="1" applyBorder="1" applyAlignment="1">
      <alignment horizontal="right"/>
      <protection locked="0" hidden="1"/>
    </xf>
    <xf numFmtId="172" fontId="18" fillId="0" borderId="1" xfId="0" applyNumberFormat="1" applyFont="1" applyFill="1" applyBorder="1" applyAlignment="1">
      <alignment horizontal="right"/>
      <protection locked="0" hidden="1"/>
    </xf>
    <xf numFmtId="187" fontId="18" fillId="0" borderId="0" xfId="0" applyNumberFormat="1" applyFont="1" applyFill="1" applyAlignment="1">
      <alignment horizontal="right"/>
      <protection locked="0" hidden="1"/>
    </xf>
    <xf numFmtId="178" fontId="22" fillId="0" borderId="11" xfId="0" applyNumberFormat="1" applyFont="1" applyFill="1" applyBorder="1" applyAlignment="1">
      <protection locked="0" hidden="1"/>
    </xf>
    <xf numFmtId="165" fontId="6" fillId="0" borderId="11" xfId="0" applyNumberFormat="1" applyFont="1" applyFill="1" applyBorder="1" applyAlignment="1">
      <alignment horizontal="right"/>
      <protection locked="0" hidden="1"/>
    </xf>
    <xf numFmtId="177" fontId="18" fillId="0" borderId="11" xfId="0" applyNumberFormat="1" applyFont="1" applyFill="1" applyBorder="1" applyAlignment="1">
      <alignment horizontal="right"/>
      <protection locked="0" hidden="1"/>
    </xf>
    <xf numFmtId="165" fontId="5" fillId="0" borderId="11" xfId="0" applyNumberFormat="1" applyFont="1" applyFill="1" applyBorder="1" applyAlignment="1">
      <alignment horizontal="right"/>
      <protection locked="0" hidden="1"/>
    </xf>
    <xf numFmtId="169" fontId="18" fillId="0" borderId="11" xfId="0" applyNumberFormat="1" applyFont="1" applyFill="1" applyBorder="1" applyAlignment="1">
      <alignment horizontal="right"/>
      <protection locked="0" hidden="1"/>
    </xf>
    <xf numFmtId="177" fontId="18" fillId="0" borderId="41" xfId="0" applyNumberFormat="1" applyFont="1" applyFill="1" applyBorder="1" applyAlignment="1">
      <alignment horizontal="right"/>
      <protection locked="0" hidden="1"/>
    </xf>
    <xf numFmtId="183" fontId="22" fillId="0" borderId="11" xfId="0" applyNumberFormat="1" applyFont="1" applyFill="1" applyBorder="1" applyAlignment="1">
      <protection locked="0" hidden="1"/>
    </xf>
    <xf numFmtId="192" fontId="18" fillId="0" borderId="9" xfId="0" applyNumberFormat="1" applyFont="1" applyFill="1" applyBorder="1" applyAlignment="1">
      <protection locked="0" hidden="1"/>
    </xf>
    <xf numFmtId="178" fontId="18" fillId="0" borderId="11" xfId="0" applyNumberFormat="1" applyFont="1" applyFill="1" applyBorder="1" applyAlignment="1">
      <alignment horizontal="right"/>
      <protection locked="0" hidden="1"/>
    </xf>
    <xf numFmtId="208" fontId="18" fillId="0" borderId="15" xfId="0" applyNumberFormat="1" applyFont="1" applyFill="1" applyBorder="1" applyAlignment="1">
      <alignment horizontal="right"/>
      <protection locked="0" hidden="1"/>
    </xf>
    <xf numFmtId="171" fontId="116" fillId="0" borderId="11" xfId="0" applyNumberFormat="1" applyFont="1" applyFill="1" applyBorder="1" applyAlignment="1">
      <alignment horizontal="right"/>
      <protection locked="0" hidden="1"/>
    </xf>
    <xf numFmtId="171" fontId="18" fillId="0" borderId="11" xfId="0" applyNumberFormat="1" applyFont="1" applyFill="1" applyBorder="1" applyAlignment="1">
      <alignment horizontal="right"/>
      <protection locked="0" hidden="1"/>
    </xf>
    <xf numFmtId="167" fontId="18" fillId="0" borderId="11" xfId="0" applyNumberFormat="1" applyFont="1" applyFill="1" applyBorder="1" applyAlignment="1">
      <alignment horizontal="right"/>
      <protection locked="0" hidden="1"/>
    </xf>
    <xf numFmtId="179" fontId="22" fillId="0" borderId="11" xfId="0" applyNumberFormat="1" applyFont="1" applyFill="1" applyBorder="1" applyAlignment="1">
      <protection locked="0" hidden="1"/>
    </xf>
    <xf numFmtId="166" fontId="110" fillId="0" borderId="8" xfId="0" applyFont="1" applyFill="1" applyBorder="1" applyAlignment="1">
      <alignment horizontal="center" vertical="top"/>
      <protection locked="0" hidden="1"/>
    </xf>
    <xf numFmtId="176" fontId="18" fillId="0" borderId="11" xfId="0" applyNumberFormat="1" applyFont="1" applyFill="1" applyBorder="1" applyAlignment="1">
      <alignment horizontal="right"/>
      <protection locked="0" hidden="1"/>
    </xf>
    <xf numFmtId="186" fontId="18" fillId="0" borderId="11" xfId="0" applyNumberFormat="1" applyFont="1" applyFill="1" applyBorder="1" applyAlignment="1">
      <protection locked="0" hidden="1"/>
    </xf>
    <xf numFmtId="194" fontId="18" fillId="0" borderId="11" xfId="0" applyNumberFormat="1" applyFont="1" applyFill="1" applyBorder="1" applyAlignment="1">
      <protection locked="0" hidden="1"/>
    </xf>
    <xf numFmtId="167" fontId="18" fillId="0" borderId="0" xfId="0" applyNumberFormat="1" applyFont="1" applyFill="1" applyAlignment="1">
      <alignment horizontal="right"/>
      <protection locked="0" hidden="1"/>
    </xf>
    <xf numFmtId="170" fontId="22" fillId="0" borderId="11" xfId="0" applyNumberFormat="1" applyFont="1" applyFill="1" applyBorder="1" applyAlignment="1">
      <protection locked="0" hidden="1"/>
    </xf>
    <xf numFmtId="172" fontId="18" fillId="0" borderId="0" xfId="0" applyNumberFormat="1" applyFont="1" applyFill="1" applyAlignment="1">
      <alignment horizontal="right"/>
      <protection locked="0" hidden="1"/>
    </xf>
    <xf numFmtId="3" fontId="90" fillId="0" borderId="11" xfId="22" applyNumberFormat="1" applyFont="1" applyBorder="1" applyAlignment="1">
      <alignment horizontal="right" indent="2" readingOrder="1"/>
    </xf>
    <xf numFmtId="0" fontId="86" fillId="0" borderId="6" xfId="21" applyFont="1" applyBorder="1" applyAlignment="1">
      <alignment horizontal="centerContinuous" vertical="center"/>
    </xf>
    <xf numFmtId="189" fontId="30" fillId="0" borderId="9" xfId="0" applyNumberFormat="1" applyFont="1" applyFill="1" applyBorder="1" applyAlignment="1">
      <alignment horizontal="right"/>
      <protection locked="0" hidden="1"/>
    </xf>
    <xf numFmtId="206" fontId="38" fillId="0" borderId="0" xfId="0" applyNumberFormat="1" applyFont="1" applyFill="1" applyAlignment="1">
      <protection locked="0" hidden="1"/>
    </xf>
    <xf numFmtId="172" fontId="18" fillId="0" borderId="1" xfId="0" applyNumberFormat="1" applyFont="1" applyFill="1" applyBorder="1" applyAlignment="1">
      <protection locked="0" hidden="1"/>
    </xf>
    <xf numFmtId="187" fontId="18" fillId="0" borderId="11" xfId="0" applyNumberFormat="1" applyFont="1" applyFill="1" applyBorder="1" applyAlignment="1">
      <protection locked="0" hidden="1"/>
    </xf>
    <xf numFmtId="185" fontId="18" fillId="0" borderId="11" xfId="0" applyNumberFormat="1" applyFont="1" applyFill="1" applyBorder="1" applyAlignment="1">
      <protection locked="0" hidden="1"/>
    </xf>
    <xf numFmtId="167" fontId="18" fillId="0" borderId="11" xfId="0" applyNumberFormat="1" applyFont="1" applyFill="1" applyBorder="1" applyAlignment="1">
      <protection locked="0" hidden="1"/>
    </xf>
    <xf numFmtId="167" fontId="18" fillId="0" borderId="16" xfId="0" applyNumberFormat="1" applyFont="1" applyFill="1" applyBorder="1" applyAlignment="1">
      <protection locked="0" hidden="1"/>
    </xf>
    <xf numFmtId="165" fontId="83" fillId="0" borderId="1" xfId="0" applyNumberFormat="1" applyFont="1" applyFill="1" applyBorder="1" applyAlignment="1">
      <alignment horizontal="right" indent="1"/>
      <protection locked="0" hidden="1"/>
    </xf>
    <xf numFmtId="0" fontId="88" fillId="0" borderId="0" xfId="0" applyNumberFormat="1" applyFont="1" applyFill="1" applyAlignment="1" applyProtection="1">
      <alignment horizontal="centerContinuous" readingOrder="1"/>
    </xf>
    <xf numFmtId="0" fontId="94" fillId="0" borderId="0" xfId="0" applyNumberFormat="1" applyFont="1" applyFill="1" applyAlignment="1" applyProtection="1">
      <alignment horizontal="centerContinuous" readingOrder="1"/>
    </xf>
    <xf numFmtId="0" fontId="94" fillId="0" borderId="0" xfId="0" applyNumberFormat="1" applyFont="1" applyFill="1" applyAlignment="1" applyProtection="1">
      <alignment readingOrder="1"/>
    </xf>
    <xf numFmtId="166" fontId="88" fillId="0" borderId="0" xfId="0" applyFont="1" applyFill="1" applyAlignment="1" applyProtection="1">
      <alignment horizontal="centerContinuous" readingOrder="1"/>
    </xf>
    <xf numFmtId="0" fontId="16" fillId="0" borderId="0" xfId="0" applyNumberFormat="1" applyFont="1" applyFill="1" applyAlignment="1" applyProtection="1">
      <alignment readingOrder="1"/>
    </xf>
    <xf numFmtId="0" fontId="81" fillId="0" borderId="0" xfId="0" applyNumberFormat="1" applyFont="1" applyFill="1" applyAlignment="1" applyProtection="1">
      <alignment readingOrder="1"/>
    </xf>
    <xf numFmtId="0" fontId="123" fillId="0" borderId="2" xfId="0" applyNumberFormat="1" applyFont="1" applyFill="1" applyBorder="1" applyAlignment="1" applyProtection="1">
      <alignment horizontal="centerContinuous" readingOrder="1"/>
    </xf>
    <xf numFmtId="0" fontId="123" fillId="0" borderId="7" xfId="0" applyNumberFormat="1" applyFont="1" applyFill="1" applyBorder="1" applyAlignment="1" applyProtection="1">
      <alignment horizontal="centerContinuous" vertical="center" readingOrder="1"/>
    </xf>
    <xf numFmtId="0" fontId="123" fillId="0" borderId="7" xfId="0" applyNumberFormat="1" applyFont="1" applyFill="1" applyBorder="1" applyAlignment="1" applyProtection="1">
      <alignment horizontal="centerContinuous" vertical="center" readingOrder="2"/>
    </xf>
    <xf numFmtId="0" fontId="123" fillId="0" borderId="6" xfId="0" applyNumberFormat="1" applyFont="1" applyFill="1" applyBorder="1" applyAlignment="1" applyProtection="1">
      <alignment horizontal="centerContinuous" vertical="center" readingOrder="1"/>
    </xf>
    <xf numFmtId="0" fontId="123" fillId="0" borderId="2" xfId="0" applyNumberFormat="1" applyFont="1" applyFill="1" applyBorder="1" applyAlignment="1" applyProtection="1">
      <alignment horizontal="center" readingOrder="1"/>
    </xf>
    <xf numFmtId="0" fontId="123" fillId="0" borderId="12" xfId="0" applyNumberFormat="1" applyFont="1" applyFill="1" applyBorder="1" applyAlignment="1" applyProtection="1">
      <alignment horizontal="center" readingOrder="1"/>
    </xf>
    <xf numFmtId="0" fontId="48" fillId="0" borderId="0" xfId="0" applyNumberFormat="1" applyFont="1" applyFill="1" applyAlignment="1" applyProtection="1">
      <alignment readingOrder="1"/>
    </xf>
    <xf numFmtId="0" fontId="123" fillId="0" borderId="4" xfId="0" applyNumberFormat="1" applyFont="1" applyFill="1" applyBorder="1" applyAlignment="1" applyProtection="1">
      <alignment horizontal="centerContinuous" vertical="top" readingOrder="1"/>
    </xf>
    <xf numFmtId="0" fontId="123" fillId="0" borderId="3" xfId="0" applyNumberFormat="1" applyFont="1" applyFill="1" applyBorder="1" applyAlignment="1" applyProtection="1">
      <alignment horizontal="centerContinuous" vertical="center" readingOrder="1"/>
    </xf>
    <xf numFmtId="0" fontId="123" fillId="0" borderId="1" xfId="0" applyNumberFormat="1" applyFont="1" applyFill="1" applyBorder="1" applyAlignment="1" applyProtection="1">
      <alignment horizontal="centerContinuous" vertical="top" readingOrder="1"/>
    </xf>
    <xf numFmtId="0" fontId="123" fillId="0" borderId="10" xfId="0" applyNumberFormat="1" applyFont="1" applyFill="1" applyBorder="1" applyAlignment="1" applyProtection="1">
      <alignment horizontal="centerContinuous" vertical="center" readingOrder="1"/>
    </xf>
    <xf numFmtId="0" fontId="123" fillId="0" borderId="9" xfId="0" applyNumberFormat="1" applyFont="1" applyFill="1" applyBorder="1" applyAlignment="1" applyProtection="1">
      <alignment horizontal="center" vertical="top" wrapText="1" readingOrder="1"/>
    </xf>
    <xf numFmtId="0" fontId="123" fillId="0" borderId="11" xfId="0" applyNumberFormat="1" applyFont="1" applyFill="1" applyBorder="1" applyAlignment="1" applyProtection="1">
      <alignment horizontal="center" vertical="top" wrapText="1" readingOrder="1"/>
    </xf>
    <xf numFmtId="0" fontId="123" fillId="0" borderId="6" xfId="0" applyNumberFormat="1" applyFont="1" applyFill="1" applyBorder="1" applyAlignment="1" applyProtection="1">
      <alignment horizontal="centerContinuous" readingOrder="1"/>
    </xf>
    <xf numFmtId="0" fontId="123" fillId="0" borderId="0" xfId="0" applyNumberFormat="1" applyFont="1" applyFill="1" applyAlignment="1" applyProtection="1">
      <alignment horizontal="centerContinuous" readingOrder="1"/>
    </xf>
    <xf numFmtId="0" fontId="123" fillId="0" borderId="12" xfId="0" applyNumberFormat="1" applyFont="1" applyFill="1" applyBorder="1" applyAlignment="1" applyProtection="1">
      <alignment horizontal="centerContinuous" readingOrder="1"/>
    </xf>
    <xf numFmtId="0" fontId="123" fillId="0" borderId="4" xfId="0" applyNumberFormat="1" applyFont="1" applyFill="1" applyBorder="1" applyAlignment="1" applyProtection="1">
      <alignment horizontal="centerContinuous" vertical="top" wrapText="1" readingOrder="1"/>
    </xf>
    <xf numFmtId="0" fontId="123" fillId="0" borderId="10" xfId="0" applyNumberFormat="1" applyFont="1" applyFill="1" applyBorder="1" applyAlignment="1" applyProtection="1">
      <alignment horizontal="centerContinuous" vertical="center" wrapText="1" readingOrder="1"/>
    </xf>
    <xf numFmtId="0" fontId="123" fillId="0" borderId="9" xfId="0" applyNumberFormat="1" applyFont="1" applyFill="1" applyBorder="1" applyAlignment="1" applyProtection="1">
      <alignment horizontal="centerContinuous" vertical="center" wrapText="1" readingOrder="1"/>
    </xf>
    <xf numFmtId="0" fontId="123" fillId="0" borderId="11" xfId="0" applyNumberFormat="1" applyFont="1" applyFill="1" applyBorder="1" applyAlignment="1" applyProtection="1">
      <alignment horizontal="center" vertical="center" readingOrder="1"/>
    </xf>
    <xf numFmtId="0" fontId="123" fillId="0" borderId="11" xfId="0" applyNumberFormat="1" applyFont="1" applyFill="1" applyBorder="1" applyAlignment="1" applyProtection="1">
      <alignment horizontal="center" wrapText="1" readingOrder="2"/>
    </xf>
    <xf numFmtId="0" fontId="123" fillId="0" borderId="12" xfId="0" applyNumberFormat="1" applyFont="1" applyFill="1" applyBorder="1" applyAlignment="1" applyProtection="1">
      <alignment horizontal="center" vertical="center" readingOrder="1"/>
    </xf>
    <xf numFmtId="0" fontId="123" fillId="0" borderId="8" xfId="0" applyNumberFormat="1" applyFont="1" applyFill="1" applyBorder="1" applyAlignment="1" applyProtection="1">
      <alignment horizontal="center" vertical="center" readingOrder="1"/>
    </xf>
    <xf numFmtId="0" fontId="123" fillId="0" borderId="10" xfId="0" applyNumberFormat="1" applyFont="1" applyFill="1" applyBorder="1" applyAlignment="1" applyProtection="1">
      <alignment horizontal="center" vertical="center" readingOrder="1"/>
    </xf>
    <xf numFmtId="0" fontId="123" fillId="0" borderId="10" xfId="0" applyNumberFormat="1" applyFont="1" applyFill="1" applyBorder="1" applyAlignment="1" applyProtection="1">
      <alignment horizontal="center" vertical="center" wrapText="1" readingOrder="1"/>
    </xf>
    <xf numFmtId="0" fontId="16" fillId="0" borderId="0" xfId="0" applyNumberFormat="1" applyFont="1" applyFill="1" applyAlignment="1" applyProtection="1">
      <alignment horizontal="center" readingOrder="1"/>
    </xf>
    <xf numFmtId="165" fontId="38" fillId="0" borderId="0" xfId="0" applyNumberFormat="1" applyFont="1" applyFill="1" applyAlignment="1">
      <alignment readingOrder="1"/>
      <protection locked="0" hidden="1"/>
    </xf>
    <xf numFmtId="166" fontId="126" fillId="0" borderId="1" xfId="0" applyFont="1" applyFill="1" applyBorder="1" applyAlignment="1">
      <alignment horizontal="left" readingOrder="1"/>
      <protection locked="0" hidden="1"/>
    </xf>
    <xf numFmtId="166" fontId="126" fillId="0" borderId="9" xfId="0" applyFont="1" applyFill="1" applyBorder="1" applyAlignment="1">
      <alignment horizontal="left" readingOrder="1"/>
      <protection locked="0" hidden="1"/>
    </xf>
    <xf numFmtId="165" fontId="81" fillId="0" borderId="11" xfId="0" applyNumberFormat="1" applyFont="1" applyFill="1" applyBorder="1" applyAlignment="1" applyProtection="1">
      <alignment horizontal="right" indent="1"/>
    </xf>
    <xf numFmtId="165" fontId="80" fillId="0" borderId="11" xfId="0" applyNumberFormat="1" applyFont="1" applyFill="1" applyBorder="1" applyAlignment="1" applyProtection="1">
      <alignment horizontal="right" indent="1"/>
    </xf>
    <xf numFmtId="165" fontId="81" fillId="0" borderId="11" xfId="0" applyNumberFormat="1" applyFont="1" applyFill="1" applyBorder="1" applyAlignment="1" applyProtection="1">
      <alignment horizontal="right" indent="2"/>
    </xf>
    <xf numFmtId="165" fontId="80" fillId="0" borderId="11" xfId="0" applyNumberFormat="1" applyFont="1" applyFill="1" applyBorder="1" applyAlignment="1" applyProtection="1">
      <alignment horizontal="right" indent="2"/>
    </xf>
    <xf numFmtId="165" fontId="80" fillId="0" borderId="9" xfId="0" applyNumberFormat="1" applyFont="1" applyFill="1" applyBorder="1" applyAlignment="1" applyProtection="1">
      <alignment horizontal="right" indent="1"/>
    </xf>
    <xf numFmtId="166" fontId="126" fillId="0" borderId="1" xfId="0" applyFont="1" applyFill="1" applyBorder="1" applyAlignment="1">
      <alignment horizontal="left" vertical="top" readingOrder="1"/>
      <protection locked="0" hidden="1"/>
    </xf>
    <xf numFmtId="166" fontId="126" fillId="0" borderId="9" xfId="0" applyFont="1" applyFill="1" applyBorder="1" applyAlignment="1">
      <alignment horizontal="left" vertical="top" readingOrder="1"/>
      <protection locked="0" hidden="1"/>
    </xf>
    <xf numFmtId="165" fontId="81" fillId="0" borderId="11" xfId="0" applyNumberFormat="1" applyFont="1" applyFill="1" applyBorder="1" applyAlignment="1" applyProtection="1">
      <alignment horizontal="right" vertical="top" indent="1"/>
    </xf>
    <xf numFmtId="165" fontId="80" fillId="0" borderId="11" xfId="0" applyNumberFormat="1" applyFont="1" applyFill="1" applyBorder="1" applyAlignment="1" applyProtection="1">
      <alignment horizontal="right" vertical="top" indent="1"/>
    </xf>
    <xf numFmtId="165" fontId="81" fillId="0" borderId="11" xfId="0" applyNumberFormat="1" applyFont="1" applyFill="1" applyBorder="1" applyAlignment="1" applyProtection="1">
      <alignment horizontal="right" vertical="top" indent="2"/>
    </xf>
    <xf numFmtId="165" fontId="80" fillId="0" borderId="11" xfId="0" applyNumberFormat="1" applyFont="1" applyFill="1" applyBorder="1" applyAlignment="1" applyProtection="1">
      <alignment horizontal="right" vertical="top" indent="2"/>
    </xf>
    <xf numFmtId="165" fontId="80" fillId="0" borderId="9" xfId="0" applyNumberFormat="1" applyFont="1" applyFill="1" applyBorder="1" applyAlignment="1" applyProtection="1">
      <alignment horizontal="right" vertical="top" indent="1"/>
    </xf>
    <xf numFmtId="166" fontId="38" fillId="0" borderId="0" xfId="0" applyFont="1" applyFill="1" applyAlignment="1">
      <alignment vertical="top" readingOrder="1"/>
      <protection locked="0" hidden="1"/>
    </xf>
    <xf numFmtId="165" fontId="38" fillId="0" borderId="0" xfId="0" applyNumberFormat="1" applyFont="1" applyFill="1" applyAlignment="1">
      <alignment horizontal="right" indent="1" readingOrder="1"/>
      <protection locked="0" hidden="1"/>
    </xf>
    <xf numFmtId="166" fontId="38" fillId="0" borderId="0" xfId="0" applyFont="1" applyFill="1" applyAlignment="1">
      <alignment horizontal="right" indent="1" readingOrder="1"/>
      <protection locked="0" hidden="1"/>
    </xf>
    <xf numFmtId="0" fontId="81" fillId="0" borderId="7" xfId="0" applyNumberFormat="1" applyFont="1" applyFill="1" applyBorder="1" applyAlignment="1" applyProtection="1">
      <alignment readingOrder="1"/>
    </xf>
    <xf numFmtId="166" fontId="21" fillId="0" borderId="4" xfId="0" applyFont="1" applyFill="1" applyBorder="1" applyAlignment="1">
      <alignment horizontal="left"/>
      <protection locked="0" hidden="1"/>
    </xf>
    <xf numFmtId="0" fontId="18" fillId="0" borderId="3" xfId="22" applyFont="1" applyBorder="1" applyAlignment="1">
      <alignment horizontal="center"/>
    </xf>
    <xf numFmtId="3" fontId="78" fillId="0" borderId="8" xfId="0" applyNumberFormat="1" applyFont="1" applyFill="1" applyBorder="1" applyAlignment="1">
      <alignment horizontal="right" indent="3"/>
      <protection locked="0" hidden="1"/>
    </xf>
    <xf numFmtId="2" fontId="18" fillId="0" borderId="8" xfId="0" applyNumberFormat="1" applyFont="1" applyFill="1" applyBorder="1" applyAlignment="1">
      <alignment horizontal="right" indent="3"/>
      <protection locked="0" hidden="1"/>
    </xf>
    <xf numFmtId="3" fontId="30" fillId="0" borderId="8" xfId="0" applyNumberFormat="1" applyFont="1" applyFill="1" applyBorder="1" applyAlignment="1">
      <alignment horizontal="right" indent="2"/>
      <protection locked="0" hidden="1"/>
    </xf>
    <xf numFmtId="3" fontId="5" fillId="0" borderId="11" xfId="22" applyNumberFormat="1" applyFont="1" applyBorder="1" applyAlignment="1">
      <alignment horizontal="right" indent="2" readingOrder="1"/>
    </xf>
    <xf numFmtId="166" fontId="12" fillId="0" borderId="11" xfId="0" applyFont="1" applyFill="1" applyBorder="1" applyAlignment="1">
      <alignment horizontal="center" vertical="center"/>
      <protection locked="0" hidden="1"/>
    </xf>
    <xf numFmtId="166" fontId="14" fillId="0" borderId="12" xfId="0" applyFont="1" applyFill="1" applyBorder="1" applyAlignment="1">
      <alignment horizontal="center" vertical="center"/>
      <protection locked="0" hidden="1"/>
    </xf>
    <xf numFmtId="209" fontId="21" fillId="0" borderId="2" xfId="0" applyNumberFormat="1" applyFont="1" applyFill="1" applyBorder="1" applyAlignment="1">
      <alignment horizontal="left"/>
      <protection locked="0" hidden="1"/>
    </xf>
    <xf numFmtId="209" fontId="21" fillId="0" borderId="1" xfId="0" applyNumberFormat="1" applyFont="1" applyFill="1" applyBorder="1" applyAlignment="1">
      <alignment horizontal="left"/>
      <protection locked="0" hidden="1"/>
    </xf>
    <xf numFmtId="209" fontId="77" fillId="0" borderId="1" xfId="0" applyNumberFormat="1" applyFont="1" applyFill="1" applyBorder="1" applyAlignment="1">
      <alignment horizontal="left"/>
      <protection locked="0" hidden="1"/>
    </xf>
    <xf numFmtId="166" fontId="77" fillId="0" borderId="0" xfId="0" applyFont="1" applyFill="1" applyAlignment="1">
      <alignment horizontal="left"/>
      <protection locked="0" hidden="1"/>
    </xf>
    <xf numFmtId="206" fontId="105" fillId="0" borderId="0" xfId="0" applyNumberFormat="1" applyFont="1" applyFill="1" applyAlignment="1">
      <protection locked="0" hidden="1"/>
    </xf>
    <xf numFmtId="177" fontId="18" fillId="0" borderId="8" xfId="0" applyNumberFormat="1" applyFont="1" applyFill="1" applyBorder="1" applyAlignment="1">
      <alignment horizontal="right"/>
      <protection locked="0" hidden="1"/>
    </xf>
    <xf numFmtId="166" fontId="21" fillId="0" borderId="6" xfId="0" applyFont="1" applyFill="1" applyBorder="1" applyAlignment="1">
      <alignment horizontal="left"/>
      <protection locked="0" hidden="1"/>
    </xf>
    <xf numFmtId="167" fontId="22" fillId="0" borderId="11" xfId="0" applyNumberFormat="1" applyFont="1" applyFill="1" applyBorder="1" applyAlignment="1">
      <protection locked="0" hidden="1"/>
    </xf>
    <xf numFmtId="177" fontId="22" fillId="0" borderId="11" xfId="0" applyNumberFormat="1" applyFont="1" applyFill="1" applyBorder="1" applyAlignment="1">
      <alignment horizontal="right"/>
      <protection locked="0" hidden="1"/>
    </xf>
    <xf numFmtId="177" fontId="22" fillId="0" borderId="8" xfId="0" applyNumberFormat="1" applyFont="1" applyFill="1" applyBorder="1" applyAlignment="1">
      <alignment horizontal="right"/>
      <protection locked="0" hidden="1"/>
    </xf>
    <xf numFmtId="165" fontId="79" fillId="0" borderId="11" xfId="0" applyNumberFormat="1" applyFont="1" applyFill="1" applyBorder="1" applyAlignment="1">
      <alignment horizontal="right" indent="1" readingOrder="1"/>
      <protection locked="0" hidden="1"/>
    </xf>
    <xf numFmtId="165" fontId="79" fillId="0" borderId="8" xfId="0" applyNumberFormat="1" applyFont="1" applyFill="1" applyBorder="1" applyAlignment="1">
      <alignment horizontal="right" indent="1" readingOrder="1"/>
      <protection locked="0" hidden="1"/>
    </xf>
    <xf numFmtId="0" fontId="5" fillId="0" borderId="7" xfId="0" applyNumberFormat="1" applyFont="1" applyFill="1" applyBorder="1" applyAlignment="1" applyProtection="1">
      <alignment horizontal="right" readingOrder="2"/>
    </xf>
    <xf numFmtId="179" fontId="83" fillId="0" borderId="11" xfId="0" applyNumberFormat="1" applyFont="1" applyFill="1" applyBorder="1" applyAlignment="1">
      <protection locked="0" hidden="1"/>
    </xf>
    <xf numFmtId="166" fontId="127" fillId="0" borderId="0" xfId="26" applyFont="1" applyFill="1" applyAlignment="1" applyProtection="1">
      <alignment vertical="center"/>
    </xf>
    <xf numFmtId="166" fontId="127" fillId="0" borderId="0" xfId="26" applyFont="1" applyFill="1" applyAlignment="1" applyProtection="1">
      <alignment horizontal="right" vertical="center"/>
    </xf>
    <xf numFmtId="166" fontId="129" fillId="0" borderId="0" xfId="26" applyFont="1" applyFill="1" applyAlignment="1" applyProtection="1">
      <alignment vertical="center"/>
    </xf>
    <xf numFmtId="166" fontId="85" fillId="0" borderId="0" xfId="26" applyFont="1" applyFill="1" applyAlignment="1" applyProtection="1">
      <alignment vertical="center"/>
    </xf>
    <xf numFmtId="166" fontId="127" fillId="0" borderId="0" xfId="26" applyFont="1" applyFill="1" applyAlignment="1" applyProtection="1">
      <alignment horizontal="centerContinuous" vertical="center"/>
    </xf>
    <xf numFmtId="0" fontId="5" fillId="0" borderId="0" xfId="26" applyNumberFormat="1" applyFill="1" applyAlignment="1" applyProtection="1">
      <alignment horizontal="centerContinuous"/>
    </xf>
    <xf numFmtId="166" fontId="40" fillId="0" borderId="0" xfId="26" applyFont="1" applyFill="1" applyAlignment="1">
      <protection locked="0" hidden="1"/>
    </xf>
    <xf numFmtId="0" fontId="45" fillId="0" borderId="7" xfId="26" applyNumberFormat="1" applyFont="1" applyFill="1" applyBorder="1" applyAlignment="1" applyProtection="1">
      <alignment horizontal="right" readingOrder="2"/>
    </xf>
    <xf numFmtId="0" fontId="40" fillId="0" borderId="7" xfId="26" applyNumberFormat="1" applyFont="1" applyFill="1" applyBorder="1" applyAlignment="1" applyProtection="1"/>
    <xf numFmtId="166" fontId="40" fillId="0" borderId="7" xfId="26" applyFont="1" applyFill="1" applyBorder="1" applyAlignment="1">
      <protection locked="0" hidden="1"/>
    </xf>
    <xf numFmtId="166" fontId="84" fillId="0" borderId="1" xfId="26" applyFont="1" applyFill="1" applyBorder="1" applyAlignment="1" applyProtection="1"/>
    <xf numFmtId="166" fontId="84" fillId="0" borderId="1" xfId="26" applyFont="1" applyFill="1" applyBorder="1" applyAlignment="1">
      <alignment horizontal="left"/>
      <protection locked="0" hidden="1"/>
    </xf>
    <xf numFmtId="166" fontId="128" fillId="0" borderId="0" xfId="26" applyFont="1" applyFill="1" applyAlignment="1" applyProtection="1">
      <alignment vertical="center"/>
    </xf>
    <xf numFmtId="166" fontId="127" fillId="0" borderId="0" xfId="26" applyFont="1" applyFill="1" applyAlignment="1" applyProtection="1">
      <alignment horizontal="center" vertical="center"/>
    </xf>
    <xf numFmtId="0" fontId="8" fillId="0" borderId="3" xfId="26" applyNumberFormat="1" applyFont="1" applyFill="1" applyBorder="1" applyAlignment="1" applyProtection="1"/>
    <xf numFmtId="0" fontId="91" fillId="0" borderId="0" xfId="26" applyNumberFormat="1" applyFont="1" applyFill="1" applyAlignment="1" applyProtection="1">
      <alignment horizontal="left"/>
    </xf>
    <xf numFmtId="0" fontId="80" fillId="0" borderId="0" xfId="26" applyNumberFormat="1" applyFont="1" applyFill="1" applyAlignment="1" applyProtection="1">
      <alignment horizontal="centerContinuous"/>
    </xf>
    <xf numFmtId="0" fontId="105" fillId="0" borderId="0" xfId="26" applyNumberFormat="1" applyFont="1" applyFill="1" applyAlignment="1" applyProtection="1">
      <alignment horizontal="centerContinuous"/>
    </xf>
    <xf numFmtId="0" fontId="95" fillId="0" borderId="0" xfId="26" applyNumberFormat="1" applyFont="1" applyFill="1" applyAlignment="1" applyProtection="1">
      <alignment horizontal="centerContinuous" readingOrder="2"/>
    </xf>
    <xf numFmtId="0" fontId="108" fillId="0" borderId="0" xfId="26" applyNumberFormat="1" applyFont="1" applyFill="1" applyAlignment="1" applyProtection="1">
      <alignment horizontal="centerContinuous" readingOrder="2"/>
    </xf>
    <xf numFmtId="0" fontId="93" fillId="0" borderId="0" xfId="26" applyNumberFormat="1" applyFont="1" applyFill="1" applyAlignment="1" applyProtection="1">
      <alignment horizontal="centerContinuous"/>
    </xf>
    <xf numFmtId="0" fontId="107" fillId="0" borderId="0" xfId="26" applyNumberFormat="1" applyFont="1" applyFill="1" applyAlignment="1" applyProtection="1">
      <alignment horizontal="centerContinuous"/>
    </xf>
    <xf numFmtId="185" fontId="18" fillId="0" borderId="11" xfId="0" applyNumberFormat="1" applyFont="1" applyFill="1" applyBorder="1" applyAlignment="1">
      <alignment horizontal="right"/>
      <protection locked="0" hidden="1"/>
    </xf>
    <xf numFmtId="185" fontId="116" fillId="0" borderId="11" xfId="0" applyNumberFormat="1" applyFont="1" applyFill="1" applyBorder="1" applyAlignment="1">
      <alignment horizontal="right"/>
      <protection locked="0" hidden="1"/>
    </xf>
    <xf numFmtId="0" fontId="107" fillId="0" borderId="5" xfId="0" applyNumberFormat="1" applyFont="1" applyFill="1" applyBorder="1" applyAlignment="1" applyProtection="1">
      <alignment horizontal="right" vertical="center" indent="2" readingOrder="2"/>
    </xf>
    <xf numFmtId="0" fontId="12" fillId="0" borderId="2" xfId="0" applyNumberFormat="1" applyFont="1" applyFill="1" applyBorder="1" applyAlignment="1" applyProtection="1">
      <alignment horizontal="centerContinuous"/>
    </xf>
    <xf numFmtId="218" fontId="18" fillId="0" borderId="11" xfId="0" applyNumberFormat="1" applyFont="1" applyFill="1" applyBorder="1" applyAlignment="1">
      <alignment horizontal="right" indent="2"/>
      <protection locked="0" hidden="1"/>
    </xf>
    <xf numFmtId="218" fontId="18" fillId="0" borderId="11" xfId="0" applyNumberFormat="1" applyFont="1" applyFill="1" applyBorder="1" applyAlignment="1">
      <alignment horizontal="right" vertical="top" indent="2"/>
      <protection locked="0" hidden="1"/>
    </xf>
    <xf numFmtId="218" fontId="79" fillId="0" borderId="11" xfId="0" applyNumberFormat="1" applyFont="1" applyFill="1" applyBorder="1" applyAlignment="1">
      <alignment horizontal="right" indent="2"/>
      <protection locked="0" hidden="1"/>
    </xf>
    <xf numFmtId="210" fontId="18" fillId="0" borderId="11" xfId="0" applyNumberFormat="1" applyFont="1" applyFill="1" applyBorder="1" applyAlignment="1">
      <alignment horizontal="right" indent="2"/>
      <protection locked="0" hidden="1"/>
    </xf>
    <xf numFmtId="210" fontId="18" fillId="0" borderId="11" xfId="0" applyNumberFormat="1" applyFont="1" applyFill="1" applyBorder="1" applyAlignment="1">
      <alignment horizontal="right" vertical="top" indent="2"/>
      <protection locked="0" hidden="1"/>
    </xf>
    <xf numFmtId="210" fontId="79" fillId="0" borderId="11" xfId="0" applyNumberFormat="1" applyFont="1" applyFill="1" applyBorder="1" applyAlignment="1">
      <alignment horizontal="right" indent="2"/>
      <protection locked="0" hidden="1"/>
    </xf>
    <xf numFmtId="0" fontId="8" fillId="0" borderId="1" xfId="22" applyFont="1" applyBorder="1"/>
    <xf numFmtId="219" fontId="79" fillId="0" borderId="1" xfId="0" applyNumberFormat="1" applyFont="1" applyFill="1" applyBorder="1" applyAlignment="1">
      <protection locked="0" hidden="1"/>
    </xf>
    <xf numFmtId="178" fontId="79" fillId="0" borderId="1" xfId="0" applyNumberFormat="1" applyFont="1" applyFill="1" applyBorder="1" applyAlignment="1">
      <alignment horizontal="right"/>
      <protection locked="0" hidden="1"/>
    </xf>
    <xf numFmtId="206" fontId="79" fillId="0" borderId="11" xfId="0" applyNumberFormat="1" applyFont="1" applyFill="1" applyBorder="1" applyAlignment="1">
      <alignment horizontal="center"/>
      <protection locked="0" hidden="1"/>
    </xf>
    <xf numFmtId="176" fontId="22" fillId="0" borderId="11" xfId="0" applyNumberFormat="1" applyFont="1" applyFill="1" applyBorder="1" applyAlignment="1">
      <alignment horizontal="right"/>
      <protection locked="0" hidden="1"/>
    </xf>
    <xf numFmtId="166" fontId="84" fillId="0" borderId="0" xfId="0" applyFont="1" applyFill="1" applyAlignment="1">
      <alignment horizontal="left" vertical="top"/>
      <protection locked="0" hidden="1"/>
    </xf>
    <xf numFmtId="0" fontId="40" fillId="0" borderId="0" xfId="0" applyNumberFormat="1" applyFont="1" applyFill="1" applyAlignment="1" applyProtection="1"/>
    <xf numFmtId="0" fontId="5" fillId="0" borderId="0" xfId="0" applyNumberFormat="1" applyFont="1" applyFill="1" applyAlignment="1" applyProtection="1">
      <alignment horizontal="right" readingOrder="2"/>
    </xf>
    <xf numFmtId="177" fontId="79" fillId="0" borderId="1" xfId="0" applyNumberFormat="1" applyFont="1" applyFill="1" applyBorder="1" applyAlignment="1">
      <alignment horizontal="right"/>
      <protection locked="0" hidden="1"/>
    </xf>
    <xf numFmtId="171" fontId="22" fillId="0" borderId="1" xfId="0" applyNumberFormat="1" applyFont="1" applyFill="1" applyBorder="1" applyAlignment="1">
      <alignment horizontal="right"/>
      <protection locked="0" hidden="1"/>
    </xf>
    <xf numFmtId="187" fontId="79" fillId="0" borderId="11" xfId="0" applyNumberFormat="1" applyFont="1" applyFill="1" applyBorder="1" applyAlignment="1">
      <alignment horizontal="right"/>
      <protection locked="0" hidden="1"/>
    </xf>
    <xf numFmtId="220" fontId="22" fillId="0" borderId="11" xfId="0" applyNumberFormat="1" applyFont="1" applyFill="1" applyBorder="1" applyAlignment="1">
      <alignment horizontal="right"/>
      <protection locked="0" hidden="1"/>
    </xf>
    <xf numFmtId="221" fontId="79" fillId="0" borderId="1" xfId="0" applyNumberFormat="1" applyFont="1" applyFill="1" applyBorder="1" applyAlignment="1">
      <alignment horizontal="right"/>
      <protection locked="0" hidden="1"/>
    </xf>
    <xf numFmtId="221" fontId="79" fillId="0" borderId="11" xfId="0" applyNumberFormat="1" applyFont="1" applyFill="1" applyBorder="1" applyAlignment="1">
      <alignment horizontal="right"/>
      <protection locked="0" hidden="1"/>
    </xf>
    <xf numFmtId="222" fontId="79" fillId="0" borderId="11" xfId="0" applyNumberFormat="1" applyFont="1" applyFill="1" applyBorder="1" applyAlignment="1">
      <alignment horizontal="right"/>
      <protection locked="0" hidden="1"/>
    </xf>
    <xf numFmtId="208" fontId="22" fillId="0" borderId="11" xfId="0" applyNumberFormat="1" applyFont="1" applyFill="1" applyBorder="1" applyAlignment="1">
      <alignment horizontal="right"/>
      <protection locked="0" hidden="1"/>
    </xf>
    <xf numFmtId="177" fontId="79" fillId="0" borderId="1" xfId="0" applyNumberFormat="1" applyFont="1" applyFill="1" applyBorder="1" applyAlignment="1">
      <alignment horizontal="right" vertical="top"/>
      <protection locked="0" hidden="1"/>
    </xf>
    <xf numFmtId="171" fontId="79" fillId="0" borderId="1" xfId="0" applyNumberFormat="1" applyFont="1" applyFill="1" applyBorder="1" applyAlignment="1">
      <alignment horizontal="right" vertical="top"/>
      <protection locked="0" hidden="1"/>
    </xf>
    <xf numFmtId="187" fontId="79" fillId="0" borderId="1" xfId="0" applyNumberFormat="1" applyFont="1" applyFill="1" applyBorder="1" applyAlignment="1">
      <alignment horizontal="right" vertical="top"/>
      <protection locked="0" hidden="1"/>
    </xf>
    <xf numFmtId="172" fontId="79" fillId="0" borderId="1" xfId="0" applyNumberFormat="1" applyFont="1" applyFill="1" applyBorder="1" applyAlignment="1">
      <alignment horizontal="right" vertical="top"/>
      <protection locked="0" hidden="1"/>
    </xf>
    <xf numFmtId="220" fontId="79" fillId="0" borderId="1" xfId="0" applyNumberFormat="1" applyFont="1" applyFill="1" applyBorder="1" applyAlignment="1">
      <alignment horizontal="right" vertical="top"/>
      <protection locked="0" hidden="1"/>
    </xf>
    <xf numFmtId="221" fontId="79" fillId="0" borderId="1" xfId="0" applyNumberFormat="1" applyFont="1" applyFill="1" applyBorder="1" applyAlignment="1">
      <alignment horizontal="right" vertical="top"/>
      <protection locked="0" hidden="1"/>
    </xf>
    <xf numFmtId="165" fontId="79" fillId="0" borderId="1" xfId="0" applyNumberFormat="1" applyFont="1" applyFill="1" applyBorder="1" applyAlignment="1">
      <alignment horizontal="right" vertical="top" indent="1"/>
      <protection locked="0" hidden="1"/>
    </xf>
    <xf numFmtId="208" fontId="79" fillId="0" borderId="1" xfId="0" applyNumberFormat="1" applyFont="1" applyFill="1" applyBorder="1" applyAlignment="1">
      <alignment horizontal="right" vertical="top"/>
      <protection locked="0" hidden="1"/>
    </xf>
    <xf numFmtId="222" fontId="79" fillId="0" borderId="11" xfId="0" applyNumberFormat="1" applyFont="1" applyFill="1" applyBorder="1" applyAlignment="1">
      <alignment horizontal="right" vertical="top"/>
      <protection locked="0" hidden="1"/>
    </xf>
    <xf numFmtId="187" fontId="22" fillId="0" borderId="11" xfId="0" applyNumberFormat="1" applyFont="1" applyFill="1" applyBorder="1" applyAlignment="1">
      <alignment horizontal="right"/>
      <protection locked="0" hidden="1"/>
    </xf>
    <xf numFmtId="222" fontId="22" fillId="0" borderId="11" xfId="0" applyNumberFormat="1" applyFont="1" applyFill="1" applyBorder="1" applyAlignment="1">
      <alignment horizontal="right"/>
      <protection locked="0" hidden="1"/>
    </xf>
    <xf numFmtId="0" fontId="40" fillId="0" borderId="7" xfId="0" applyNumberFormat="1" applyFont="1" applyFill="1" applyBorder="1" applyAlignment="1" applyProtection="1">
      <alignment horizontal="right" readingOrder="2"/>
    </xf>
    <xf numFmtId="223" fontId="79" fillId="0" borderId="11" xfId="0" applyNumberFormat="1" applyFont="1" applyFill="1" applyBorder="1" applyAlignment="1">
      <alignment horizontal="right"/>
      <protection locked="0" hidden="1"/>
    </xf>
    <xf numFmtId="223" fontId="79" fillId="0" borderId="1" xfId="0" applyNumberFormat="1" applyFont="1" applyFill="1" applyBorder="1" applyAlignment="1">
      <alignment horizontal="right" vertical="top"/>
      <protection locked="0" hidden="1"/>
    </xf>
    <xf numFmtId="166" fontId="84" fillId="0" borderId="4" xfId="0" applyFont="1" applyFill="1" applyBorder="1" applyAlignment="1">
      <alignment horizontal="left"/>
      <protection locked="0" hidden="1"/>
    </xf>
    <xf numFmtId="166" fontId="84" fillId="0" borderId="3" xfId="0" applyFont="1" applyFill="1" applyBorder="1" applyAlignment="1">
      <protection locked="0" hidden="1"/>
    </xf>
    <xf numFmtId="179" fontId="79" fillId="0" borderId="8" xfId="0" applyNumberFormat="1" applyFont="1" applyFill="1" applyBorder="1" applyAlignment="1">
      <protection locked="0" hidden="1"/>
    </xf>
    <xf numFmtId="168" fontId="79" fillId="0" borderId="8" xfId="0" applyNumberFormat="1" applyFont="1" applyFill="1" applyBorder="1" applyAlignment="1">
      <protection locked="0" hidden="1"/>
    </xf>
    <xf numFmtId="164" fontId="79" fillId="0" borderId="8" xfId="0" applyNumberFormat="1" applyFont="1" applyFill="1" applyBorder="1" applyAlignment="1">
      <alignment horizontal="center"/>
      <protection locked="0" hidden="1"/>
    </xf>
    <xf numFmtId="165" fontId="79" fillId="0" borderId="8" xfId="0" applyNumberFormat="1" applyFont="1" applyFill="1" applyBorder="1" applyAlignment="1">
      <alignment horizontal="right" indent="2"/>
      <protection locked="0" hidden="1"/>
    </xf>
    <xf numFmtId="166" fontId="84" fillId="0" borderId="3" xfId="0" applyFont="1" applyFill="1" applyBorder="1" applyAlignment="1">
      <alignment horizontal="left"/>
      <protection locked="0" hidden="1"/>
    </xf>
    <xf numFmtId="181" fontId="79" fillId="0" borderId="8" xfId="0" applyNumberFormat="1" applyFont="1" applyFill="1" applyBorder="1" applyAlignment="1">
      <protection locked="0" hidden="1"/>
    </xf>
    <xf numFmtId="182" fontId="79" fillId="0" borderId="8" xfId="0" applyNumberFormat="1" applyFont="1" applyFill="1" applyBorder="1" applyAlignment="1">
      <protection locked="0" hidden="1"/>
    </xf>
    <xf numFmtId="175" fontId="79" fillId="0" borderId="8" xfId="0" applyNumberFormat="1" applyFont="1" applyFill="1" applyBorder="1" applyAlignment="1">
      <protection locked="0" hidden="1"/>
    </xf>
    <xf numFmtId="166" fontId="84" fillId="0" borderId="10" xfId="0" applyFont="1" applyFill="1" applyBorder="1" applyAlignment="1">
      <alignment horizontal="left"/>
      <protection locked="0" hidden="1"/>
    </xf>
    <xf numFmtId="190" fontId="79" fillId="0" borderId="8" xfId="0" applyNumberFormat="1" applyFont="1" applyFill="1" applyBorder="1" applyAlignment="1">
      <protection locked="0" hidden="1"/>
    </xf>
    <xf numFmtId="196" fontId="79" fillId="0" borderId="8" xfId="0" applyNumberFormat="1" applyFont="1" applyFill="1" applyBorder="1" applyAlignment="1">
      <alignment horizontal="right"/>
      <protection locked="0" hidden="1"/>
    </xf>
    <xf numFmtId="218" fontId="79" fillId="0" borderId="8" xfId="0" applyNumberFormat="1" applyFont="1" applyFill="1" applyBorder="1" applyAlignment="1">
      <alignment horizontal="right" indent="2"/>
      <protection locked="0" hidden="1"/>
    </xf>
    <xf numFmtId="210" fontId="79" fillId="0" borderId="8" xfId="0" applyNumberFormat="1" applyFont="1" applyFill="1" applyBorder="1" applyAlignment="1">
      <alignment horizontal="right" indent="2"/>
      <protection locked="0" hidden="1"/>
    </xf>
    <xf numFmtId="2" fontId="105" fillId="0" borderId="8" xfId="18" applyNumberFormat="1" applyFont="1" applyFill="1" applyBorder="1" applyAlignment="1">
      <alignment horizontal="center"/>
      <protection locked="0" hidden="1"/>
    </xf>
    <xf numFmtId="2" fontId="105" fillId="0" borderId="8" xfId="18" applyNumberFormat="1" applyFont="1" applyFill="1" applyBorder="1" applyAlignment="1">
      <alignment horizontal="right" indent="1"/>
      <protection locked="0" hidden="1"/>
    </xf>
    <xf numFmtId="2" fontId="105" fillId="0" borderId="8" xfId="18" applyNumberFormat="1" applyFont="1" applyFill="1" applyBorder="1" applyAlignment="1">
      <alignment horizontal="right" indent="3"/>
      <protection locked="0" hidden="1"/>
    </xf>
    <xf numFmtId="2" fontId="105" fillId="0" borderId="8" xfId="18" applyNumberFormat="1" applyFont="1" applyFill="1" applyBorder="1" applyAlignment="1">
      <alignment horizontal="right" indent="2"/>
      <protection locked="0" hidden="1"/>
    </xf>
    <xf numFmtId="166" fontId="25" fillId="0" borderId="4" xfId="0" applyFont="1" applyFill="1" applyBorder="1" applyAlignment="1">
      <alignment horizontal="left"/>
      <protection locked="0" hidden="1"/>
    </xf>
    <xf numFmtId="166" fontId="25" fillId="0" borderId="3" xfId="0" applyFont="1" applyFill="1" applyBorder="1" applyAlignment="1">
      <alignment horizontal="left"/>
      <protection locked="0" hidden="1"/>
    </xf>
    <xf numFmtId="164" fontId="81" fillId="0" borderId="8" xfId="0" applyNumberFormat="1" applyFont="1" applyFill="1" applyBorder="1" applyAlignment="1">
      <alignment horizontal="right" indent="1" readingOrder="1"/>
      <protection locked="0" hidden="1"/>
    </xf>
    <xf numFmtId="165" fontId="6" fillId="0" borderId="8" xfId="0" applyNumberFormat="1" applyFont="1" applyFill="1" applyBorder="1" applyAlignment="1">
      <alignment horizontal="right" indent="1" readingOrder="1"/>
      <protection locked="0" hidden="1"/>
    </xf>
    <xf numFmtId="165" fontId="81" fillId="0" borderId="8" xfId="0" applyNumberFormat="1" applyFont="1" applyFill="1" applyBorder="1" applyAlignment="1">
      <alignment horizontal="right" indent="1"/>
      <protection locked="0" hidden="1"/>
    </xf>
    <xf numFmtId="165" fontId="81" fillId="0" borderId="8" xfId="0" applyNumberFormat="1" applyFont="1" applyFill="1" applyBorder="1" applyAlignment="1">
      <alignment horizontal="right" indent="1" readingOrder="1"/>
      <protection locked="0" hidden="1"/>
    </xf>
    <xf numFmtId="189" fontId="79" fillId="0" borderId="4" xfId="0" applyNumberFormat="1" applyFont="1" applyFill="1" applyBorder="1" applyAlignment="1">
      <alignment horizontal="right"/>
      <protection locked="0" hidden="1"/>
    </xf>
    <xf numFmtId="178" fontId="79" fillId="0" borderId="8" xfId="0" applyNumberFormat="1" applyFont="1" applyFill="1" applyBorder="1" applyAlignment="1">
      <alignment horizontal="right"/>
      <protection locked="0" hidden="1"/>
    </xf>
    <xf numFmtId="169" fontId="79" fillId="0" borderId="8" xfId="0" applyNumberFormat="1" applyFont="1" applyFill="1" applyBorder="1" applyAlignment="1">
      <alignment horizontal="right"/>
      <protection locked="0" hidden="1"/>
    </xf>
    <xf numFmtId="177" fontId="79" fillId="0" borderId="8" xfId="0" applyNumberFormat="1" applyFont="1" applyFill="1" applyBorder="1" applyAlignment="1">
      <alignment horizontal="right"/>
      <protection locked="0" hidden="1"/>
    </xf>
    <xf numFmtId="208" fontId="79" fillId="0" borderId="18" xfId="0" applyNumberFormat="1" applyFont="1" applyFill="1" applyBorder="1" applyAlignment="1">
      <alignment horizontal="right"/>
      <protection locked="0" hidden="1"/>
    </xf>
    <xf numFmtId="179" fontId="79" fillId="0" borderId="10" xfId="0" applyNumberFormat="1" applyFont="1" applyFill="1" applyBorder="1" applyAlignment="1">
      <alignment horizontal="right"/>
      <protection locked="0" hidden="1"/>
    </xf>
    <xf numFmtId="176" fontId="79" fillId="0" borderId="8" xfId="0" applyNumberFormat="1" applyFont="1" applyFill="1" applyBorder="1" applyAlignment="1">
      <alignment horizontal="right"/>
      <protection locked="0" hidden="1"/>
    </xf>
    <xf numFmtId="208" fontId="79" fillId="0" borderId="10" xfId="0" applyNumberFormat="1" applyFont="1" applyFill="1" applyBorder="1" applyAlignment="1">
      <alignment horizontal="right"/>
      <protection locked="0" hidden="1"/>
    </xf>
    <xf numFmtId="172" fontId="79" fillId="0" borderId="4" xfId="0" applyNumberFormat="1" applyFont="1" applyFill="1" applyBorder="1" applyAlignment="1">
      <protection locked="0" hidden="1"/>
    </xf>
    <xf numFmtId="172" fontId="79" fillId="0" borderId="8" xfId="0" applyNumberFormat="1" applyFont="1" applyFill="1" applyBorder="1" applyAlignment="1">
      <protection locked="0" hidden="1"/>
    </xf>
    <xf numFmtId="167" fontId="79" fillId="0" borderId="8" xfId="0" applyNumberFormat="1" applyFont="1" applyFill="1" applyBorder="1" applyAlignment="1">
      <protection locked="0" hidden="1"/>
    </xf>
    <xf numFmtId="187" fontId="79" fillId="0" borderId="8" xfId="0" applyNumberFormat="1" applyFont="1" applyFill="1" applyBorder="1" applyAlignment="1">
      <protection locked="0" hidden="1"/>
    </xf>
    <xf numFmtId="204" fontId="79" fillId="0" borderId="8" xfId="0" applyNumberFormat="1" applyFont="1" applyFill="1" applyBorder="1" applyAlignment="1">
      <protection locked="0" hidden="1"/>
    </xf>
    <xf numFmtId="185" fontId="79" fillId="0" borderId="8" xfId="0" applyNumberFormat="1" applyFont="1" applyFill="1" applyBorder="1" applyAlignment="1">
      <protection locked="0" hidden="1"/>
    </xf>
    <xf numFmtId="215" fontId="79" fillId="0" borderId="8" xfId="0" applyNumberFormat="1" applyFont="1" applyFill="1" applyBorder="1" applyAlignment="1">
      <protection locked="0" hidden="1"/>
    </xf>
    <xf numFmtId="167" fontId="79" fillId="0" borderId="42" xfId="0" applyNumberFormat="1" applyFont="1" applyFill="1" applyBorder="1" applyAlignment="1">
      <protection locked="0" hidden="1"/>
    </xf>
    <xf numFmtId="203" fontId="79" fillId="0" borderId="10" xfId="0" applyNumberFormat="1" applyFont="1" applyFill="1" applyBorder="1" applyAlignment="1">
      <protection locked="0" hidden="1"/>
    </xf>
    <xf numFmtId="182" fontId="79" fillId="0" borderId="4" xfId="0" applyNumberFormat="1" applyFont="1" applyFill="1" applyBorder="1" applyAlignment="1">
      <protection locked="0" hidden="1"/>
    </xf>
    <xf numFmtId="214" fontId="79" fillId="0" borderId="8" xfId="0" applyNumberFormat="1" applyFont="1" applyFill="1" applyBorder="1" applyAlignment="1">
      <protection locked="0" hidden="1"/>
    </xf>
    <xf numFmtId="169" fontId="79" fillId="0" borderId="3" xfId="0" applyNumberFormat="1" applyFont="1" applyFill="1" applyBorder="1" applyAlignment="1">
      <protection locked="0" hidden="1"/>
    </xf>
    <xf numFmtId="184" fontId="79" fillId="0" borderId="8" xfId="0" applyNumberFormat="1" applyFont="1" applyFill="1" applyBorder="1" applyAlignment="1">
      <protection locked="0" hidden="1"/>
    </xf>
    <xf numFmtId="187" fontId="79" fillId="0" borderId="42" xfId="0" applyNumberFormat="1" applyFont="1" applyFill="1" applyBorder="1" applyAlignment="1">
      <protection locked="0" hidden="1"/>
    </xf>
    <xf numFmtId="213" fontId="79" fillId="0" borderId="10" xfId="0" applyNumberFormat="1" applyFont="1" applyFill="1" applyBorder="1" applyAlignment="1">
      <protection locked="0" hidden="1"/>
    </xf>
    <xf numFmtId="166" fontId="86" fillId="0" borderId="4" xfId="0" applyFont="1" applyFill="1" applyBorder="1" applyAlignment="1">
      <alignment horizontal="left"/>
      <protection locked="0" hidden="1"/>
    </xf>
    <xf numFmtId="166" fontId="86" fillId="0" borderId="3" xfId="0" applyFont="1" applyFill="1" applyBorder="1" applyAlignment="1">
      <alignment horizontal="left"/>
      <protection locked="0" hidden="1"/>
    </xf>
    <xf numFmtId="165" fontId="85" fillId="0" borderId="8" xfId="0" applyNumberFormat="1" applyFont="1" applyFill="1" applyBorder="1" applyAlignment="1">
      <alignment horizontal="right" indent="2"/>
      <protection locked="0" hidden="1"/>
    </xf>
    <xf numFmtId="205" fontId="85" fillId="0" borderId="8" xfId="0" applyNumberFormat="1" applyFont="1" applyFill="1" applyBorder="1" applyAlignment="1">
      <alignment horizontal="right" indent="2"/>
      <protection locked="0" hidden="1"/>
    </xf>
    <xf numFmtId="166" fontId="39" fillId="0" borderId="4" xfId="0" applyFont="1" applyFill="1" applyBorder="1" applyAlignment="1">
      <alignment horizontal="left"/>
      <protection locked="0" hidden="1"/>
    </xf>
    <xf numFmtId="166" fontId="39" fillId="0" borderId="3" xfId="0" applyFont="1" applyFill="1" applyBorder="1" applyAlignment="1">
      <alignment horizontal="left"/>
      <protection locked="0" hidden="1"/>
    </xf>
    <xf numFmtId="185" fontId="38" fillId="0" borderId="4" xfId="0" applyNumberFormat="1" applyFont="1" applyFill="1" applyBorder="1" applyAlignment="1">
      <alignment horizontal="right"/>
      <protection locked="0" hidden="1"/>
    </xf>
    <xf numFmtId="167" fontId="38" fillId="0" borderId="4" xfId="0" applyNumberFormat="1" applyFont="1" applyFill="1" applyBorder="1" applyAlignment="1">
      <alignment horizontal="right"/>
      <protection locked="0" hidden="1"/>
    </xf>
    <xf numFmtId="167" fontId="38" fillId="0" borderId="8" xfId="0" applyNumberFormat="1" applyFont="1" applyFill="1" applyBorder="1" applyAlignment="1">
      <alignment horizontal="right"/>
      <protection locked="0" hidden="1"/>
    </xf>
    <xf numFmtId="172" fontId="38" fillId="0" borderId="8" xfId="0" applyNumberFormat="1" applyFont="1" applyFill="1" applyBorder="1" applyAlignment="1">
      <alignment horizontal="right"/>
      <protection locked="0" hidden="1"/>
    </xf>
    <xf numFmtId="184" fontId="38" fillId="0" borderId="8" xfId="0" applyNumberFormat="1" applyFont="1" applyFill="1" applyBorder="1" applyAlignment="1">
      <alignment horizontal="right"/>
      <protection locked="0" hidden="1"/>
    </xf>
    <xf numFmtId="185" fontId="38" fillId="0" borderId="8" xfId="0" applyNumberFormat="1" applyFont="1" applyFill="1" applyBorder="1" applyAlignment="1">
      <alignment horizontal="right"/>
      <protection locked="0" hidden="1"/>
    </xf>
    <xf numFmtId="171" fontId="38" fillId="0" borderId="8" xfId="0" applyNumberFormat="1" applyFont="1" applyFill="1" applyBorder="1" applyAlignment="1">
      <alignment horizontal="right"/>
      <protection locked="0" hidden="1"/>
    </xf>
    <xf numFmtId="179" fontId="38" fillId="0" borderId="8" xfId="0" applyNumberFormat="1" applyFont="1" applyFill="1" applyBorder="1" applyAlignment="1">
      <alignment horizontal="right"/>
      <protection locked="0" hidden="1"/>
    </xf>
    <xf numFmtId="172" fontId="79" fillId="0" borderId="4" xfId="0" applyNumberFormat="1" applyFont="1" applyFill="1" applyBorder="1" applyAlignment="1">
      <alignment horizontal="right"/>
      <protection locked="0" hidden="1"/>
    </xf>
    <xf numFmtId="188" fontId="79" fillId="0" borderId="8" xfId="0" applyNumberFormat="1" applyFont="1" applyFill="1" applyBorder="1" applyAlignment="1">
      <alignment horizontal="right"/>
      <protection locked="0" hidden="1"/>
    </xf>
    <xf numFmtId="172" fontId="79" fillId="0" borderId="8" xfId="0" applyNumberFormat="1" applyFont="1" applyFill="1" applyBorder="1" applyAlignment="1">
      <alignment horizontal="right"/>
      <protection locked="0" hidden="1"/>
    </xf>
    <xf numFmtId="172" fontId="79" fillId="0" borderId="3" xfId="0" applyNumberFormat="1" applyFont="1" applyFill="1" applyBorder="1" applyAlignment="1">
      <alignment horizontal="right"/>
      <protection locked="0" hidden="1"/>
    </xf>
    <xf numFmtId="187" fontId="79" fillId="0" borderId="3" xfId="0" applyNumberFormat="1" applyFont="1" applyFill="1" applyBorder="1" applyAlignment="1">
      <alignment horizontal="right"/>
      <protection locked="0" hidden="1"/>
    </xf>
    <xf numFmtId="167" fontId="79" fillId="0" borderId="8" xfId="0" applyNumberFormat="1" applyFont="1" applyFill="1" applyBorder="1" applyAlignment="1">
      <alignment horizontal="right"/>
      <protection locked="0" hidden="1"/>
    </xf>
    <xf numFmtId="171" fontId="79" fillId="0" borderId="8" xfId="0" applyNumberFormat="1" applyFont="1" applyFill="1" applyBorder="1" applyAlignment="1">
      <alignment horizontal="right"/>
      <protection locked="0" hidden="1"/>
    </xf>
    <xf numFmtId="167" fontId="79" fillId="0" borderId="4" xfId="0" applyNumberFormat="1" applyFont="1" applyFill="1" applyBorder="1" applyAlignment="1">
      <alignment horizontal="right"/>
      <protection locked="0" hidden="1"/>
    </xf>
    <xf numFmtId="167" fontId="79" fillId="0" borderId="3" xfId="0" applyNumberFormat="1" applyFont="1" applyFill="1" applyBorder="1" applyAlignment="1">
      <alignment horizontal="right"/>
      <protection locked="0" hidden="1"/>
    </xf>
    <xf numFmtId="185" fontId="79" fillId="0" borderId="8" xfId="0" applyNumberFormat="1" applyFont="1" applyFill="1" applyBorder="1" applyAlignment="1">
      <alignment horizontal="right"/>
      <protection locked="0" hidden="1"/>
    </xf>
    <xf numFmtId="189" fontId="79" fillId="0" borderId="8" xfId="0" applyNumberFormat="1" applyFont="1" applyFill="1" applyBorder="1" applyAlignment="1">
      <alignment horizontal="right"/>
      <protection locked="0" hidden="1"/>
    </xf>
    <xf numFmtId="179" fontId="79" fillId="0" borderId="8" xfId="0" applyNumberFormat="1" applyFont="1" applyFill="1" applyBorder="1" applyAlignment="1">
      <alignment horizontal="right"/>
      <protection locked="0" hidden="1"/>
    </xf>
    <xf numFmtId="209" fontId="77" fillId="0" borderId="4" xfId="0" applyNumberFormat="1" applyFont="1" applyFill="1" applyBorder="1" applyAlignment="1">
      <alignment horizontal="left"/>
      <protection locked="0" hidden="1"/>
    </xf>
    <xf numFmtId="166" fontId="77" fillId="0" borderId="3" xfId="0" applyFont="1" applyFill="1" applyBorder="1" applyAlignment="1">
      <alignment horizontal="left"/>
      <protection locked="0" hidden="1"/>
    </xf>
    <xf numFmtId="166" fontId="80" fillId="0" borderId="4" xfId="0" applyFont="1" applyFill="1" applyBorder="1" applyAlignment="1">
      <alignment horizontal="left"/>
      <protection locked="0" hidden="1"/>
    </xf>
    <xf numFmtId="166" fontId="80" fillId="0" borderId="3" xfId="0" applyFont="1" applyFill="1" applyBorder="1" applyAlignment="1">
      <alignment horizontal="left"/>
      <protection locked="0" hidden="1"/>
    </xf>
    <xf numFmtId="165" fontId="81" fillId="0" borderId="4" xfId="0" applyNumberFormat="1" applyFont="1" applyFill="1" applyBorder="1" applyAlignment="1">
      <alignment horizontal="right"/>
      <protection locked="0" hidden="1"/>
    </xf>
    <xf numFmtId="165" fontId="81" fillId="0" borderId="8" xfId="0" applyNumberFormat="1" applyFont="1" applyFill="1" applyBorder="1" applyAlignment="1">
      <alignment horizontal="right"/>
      <protection locked="0" hidden="1"/>
    </xf>
    <xf numFmtId="165" fontId="81" fillId="0" borderId="18" xfId="0" applyNumberFormat="1" applyFont="1" applyFill="1" applyBorder="1" applyAlignment="1">
      <alignment horizontal="right"/>
      <protection locked="0" hidden="1"/>
    </xf>
    <xf numFmtId="165" fontId="81" fillId="0" borderId="3" xfId="0" applyNumberFormat="1" applyFont="1" applyFill="1" applyBorder="1" applyAlignment="1">
      <alignment horizontal="right"/>
      <protection locked="0" hidden="1"/>
    </xf>
    <xf numFmtId="219" fontId="79" fillId="0" borderId="4" xfId="0" applyNumberFormat="1" applyFont="1" applyFill="1" applyBorder="1" applyAlignment="1">
      <protection locked="0" hidden="1"/>
    </xf>
    <xf numFmtId="165" fontId="22" fillId="0" borderId="11" xfId="0" applyNumberFormat="1" applyFont="1" applyFill="1" applyBorder="1" applyAlignment="1">
      <alignment horizontal="right" indent="2"/>
      <protection locked="0" hidden="1"/>
    </xf>
    <xf numFmtId="170" fontId="22" fillId="0" borderId="11" xfId="0" applyNumberFormat="1" applyFont="1" applyFill="1" applyBorder="1" applyAlignment="1">
      <alignment horizontal="right" indent="1"/>
      <protection locked="0" hidden="1"/>
    </xf>
    <xf numFmtId="216" fontId="22" fillId="0" borderId="9" xfId="0" applyNumberFormat="1" applyFont="1" applyFill="1" applyBorder="1" applyAlignment="1">
      <protection locked="0" hidden="1"/>
    </xf>
    <xf numFmtId="178" fontId="79" fillId="0" borderId="8" xfId="0" applyNumberFormat="1" applyFont="1" applyFill="1" applyBorder="1" applyAlignment="1">
      <protection locked="0" hidden="1"/>
    </xf>
    <xf numFmtId="170" fontId="79" fillId="0" borderId="8" xfId="0" applyNumberFormat="1" applyFont="1" applyFill="1" applyBorder="1" applyAlignment="1">
      <alignment horizontal="right" indent="1"/>
      <protection locked="0" hidden="1"/>
    </xf>
    <xf numFmtId="177" fontId="79" fillId="0" borderId="8" xfId="0" applyNumberFormat="1" applyFont="1" applyFill="1" applyBorder="1" applyAlignment="1">
      <protection locked="0" hidden="1"/>
    </xf>
    <xf numFmtId="165" fontId="79" fillId="0" borderId="10" xfId="0" applyNumberFormat="1" applyFont="1" applyFill="1" applyBorder="1" applyAlignment="1">
      <alignment horizontal="right" indent="1"/>
      <protection locked="0" hidden="1"/>
    </xf>
    <xf numFmtId="170" fontId="79" fillId="0" borderId="14" xfId="0" applyNumberFormat="1" applyFont="1" applyFill="1" applyBorder="1" applyAlignment="1">
      <alignment horizontal="right" indent="1"/>
      <protection locked="0" hidden="1"/>
    </xf>
    <xf numFmtId="167" fontId="79" fillId="0" borderId="17" xfId="0" applyNumberFormat="1" applyFont="1" applyFill="1" applyBorder="1" applyAlignment="1">
      <protection locked="0" hidden="1"/>
    </xf>
    <xf numFmtId="176" fontId="79" fillId="0" borderId="8" xfId="0" applyNumberFormat="1" applyFont="1" applyFill="1" applyBorder="1" applyAlignment="1">
      <protection locked="0" hidden="1"/>
    </xf>
    <xf numFmtId="202" fontId="79" fillId="0" borderId="8" xfId="0" applyNumberFormat="1" applyFont="1" applyFill="1" applyBorder="1" applyAlignment="1">
      <protection locked="0" hidden="1"/>
    </xf>
    <xf numFmtId="170" fontId="79" fillId="0" borderId="8" xfId="0" applyNumberFormat="1" applyFont="1" applyFill="1" applyBorder="1" applyAlignment="1">
      <protection locked="0" hidden="1"/>
    </xf>
    <xf numFmtId="183" fontId="79" fillId="0" borderId="8" xfId="0" applyNumberFormat="1" applyFont="1" applyFill="1" applyBorder="1" applyAlignment="1">
      <protection locked="0" hidden="1"/>
    </xf>
    <xf numFmtId="165" fontId="79" fillId="0" borderId="8" xfId="0" applyNumberFormat="1" applyFont="1" applyFill="1" applyBorder="1" applyAlignment="1">
      <alignment horizontal="right" indent="1"/>
      <protection locked="0" hidden="1"/>
    </xf>
    <xf numFmtId="178" fontId="79" fillId="0" borderId="14" xfId="0" applyNumberFormat="1" applyFont="1" applyFill="1" applyBorder="1" applyAlignment="1">
      <protection locked="0" hidden="1"/>
    </xf>
    <xf numFmtId="188" fontId="79" fillId="0" borderId="17" xfId="0" applyNumberFormat="1" applyFont="1" applyFill="1" applyBorder="1" applyAlignment="1">
      <protection locked="0" hidden="1"/>
    </xf>
    <xf numFmtId="188" fontId="22" fillId="0" borderId="20" xfId="0" applyNumberFormat="1" applyFont="1" applyFill="1" applyBorder="1" applyAlignment="1">
      <protection locked="0" hidden="1"/>
    </xf>
    <xf numFmtId="165" fontId="79" fillId="0" borderId="4" xfId="0" applyNumberFormat="1" applyFont="1" applyFill="1" applyBorder="1" applyAlignment="1">
      <alignment horizontal="right" indent="1"/>
      <protection locked="0" hidden="1"/>
    </xf>
    <xf numFmtId="166" fontId="50" fillId="0" borderId="1" xfId="0" applyFont="1" applyFill="1" applyBorder="1" applyAlignment="1">
      <alignment horizontal="left"/>
      <protection locked="0" hidden="1"/>
    </xf>
    <xf numFmtId="166" fontId="50" fillId="0" borderId="0" xfId="0" applyFont="1" applyFill="1" applyAlignment="1">
      <alignment horizontal="left"/>
      <protection locked="0" hidden="1"/>
    </xf>
    <xf numFmtId="165" fontId="22" fillId="0" borderId="1" xfId="0" applyNumberFormat="1" applyFont="1" applyFill="1" applyBorder="1" applyAlignment="1">
      <alignment horizontal="right" indent="1"/>
      <protection locked="0" hidden="1"/>
    </xf>
    <xf numFmtId="166" fontId="80" fillId="0" borderId="8" xfId="26" applyFont="1" applyFill="1" applyBorder="1" applyAlignment="1" applyProtection="1">
      <alignment horizontal="center" vertical="center"/>
    </xf>
    <xf numFmtId="166" fontId="21" fillId="0" borderId="3" xfId="0" applyFont="1" applyFill="1" applyBorder="1" applyAlignment="1">
      <alignment horizontal="left"/>
      <protection locked="0" hidden="1"/>
    </xf>
    <xf numFmtId="166" fontId="18" fillId="0" borderId="8" xfId="0" applyFont="1" applyFill="1" applyBorder="1" applyAlignment="1">
      <alignment horizontal="right" indent="3"/>
      <protection locked="0" hidden="1"/>
    </xf>
    <xf numFmtId="3" fontId="18" fillId="0" borderId="8" xfId="0" applyNumberFormat="1" applyFont="1" applyFill="1" applyBorder="1" applyAlignment="1">
      <alignment horizontal="right" indent="2"/>
      <protection locked="0" hidden="1"/>
    </xf>
    <xf numFmtId="3" fontId="18" fillId="0" borderId="8" xfId="0" applyNumberFormat="1" applyFont="1" applyFill="1" applyBorder="1" applyAlignment="1">
      <alignment horizontal="right" indent="3"/>
      <protection locked="0" hidden="1"/>
    </xf>
    <xf numFmtId="4" fontId="18" fillId="0" borderId="8" xfId="0" applyNumberFormat="1" applyFont="1" applyFill="1" applyBorder="1" applyAlignment="1">
      <alignment horizontal="center"/>
      <protection locked="0" hidden="1"/>
    </xf>
    <xf numFmtId="4" fontId="18" fillId="0" borderId="8" xfId="0" applyNumberFormat="1" applyFont="1" applyFill="1" applyBorder="1" applyAlignment="1">
      <alignment horizontal="right" indent="2"/>
      <protection locked="0" hidden="1"/>
    </xf>
    <xf numFmtId="2" fontId="18" fillId="0" borderId="8" xfId="22" applyNumberFormat="1" applyFont="1" applyBorder="1" applyAlignment="1">
      <alignment horizontal="right" indent="3"/>
    </xf>
    <xf numFmtId="166" fontId="9" fillId="0" borderId="3" xfId="0" applyFont="1" applyFill="1" applyBorder="1" applyAlignment="1">
      <alignment horizontal="left"/>
      <protection locked="0" hidden="1"/>
    </xf>
    <xf numFmtId="3" fontId="85" fillId="0" borderId="8" xfId="22" applyNumberFormat="1" applyFont="1" applyBorder="1" applyAlignment="1">
      <alignment horizontal="right" indent="2" readingOrder="1"/>
    </xf>
    <xf numFmtId="3" fontId="91" fillId="0" borderId="8" xfId="22" applyNumberFormat="1" applyFont="1" applyBorder="1" applyAlignment="1">
      <alignment horizontal="right" indent="2" readingOrder="1"/>
    </xf>
    <xf numFmtId="0" fontId="21" fillId="0" borderId="3" xfId="22" applyFont="1" applyBorder="1" applyAlignment="1">
      <alignment horizontal="left"/>
    </xf>
    <xf numFmtId="187" fontId="116" fillId="0" borderId="11" xfId="0" applyNumberFormat="1" applyFont="1" applyFill="1" applyBorder="1" applyAlignment="1">
      <protection locked="0" hidden="1"/>
    </xf>
    <xf numFmtId="170" fontId="50" fillId="0" borderId="6" xfId="0" applyNumberFormat="1" applyFont="1" applyFill="1" applyBorder="1" applyAlignment="1">
      <alignment horizontal="right"/>
      <protection locked="0" hidden="1"/>
    </xf>
    <xf numFmtId="170" fontId="22" fillId="0" borderId="19" xfId="0" applyNumberFormat="1" applyFont="1" applyFill="1" applyBorder="1" applyAlignment="1">
      <alignment horizontal="right" indent="1"/>
      <protection locked="0" hidden="1"/>
    </xf>
    <xf numFmtId="209" fontId="12" fillId="0" borderId="4" xfId="0" applyNumberFormat="1" applyFont="1" applyFill="1" applyBorder="1" applyAlignment="1">
      <alignment horizontal="left"/>
      <protection locked="0" hidden="1"/>
    </xf>
    <xf numFmtId="166" fontId="34" fillId="0" borderId="4" xfId="0" applyFont="1" applyFill="1" applyBorder="1" applyAlignment="1">
      <alignment horizontal="left"/>
      <protection locked="0" hidden="1"/>
    </xf>
    <xf numFmtId="166" fontId="107" fillId="0" borderId="3" xfId="0" applyFont="1" applyFill="1" applyBorder="1" applyAlignment="1">
      <alignment horizontal="left"/>
      <protection locked="0" hidden="1"/>
    </xf>
    <xf numFmtId="165" fontId="18" fillId="0" borderId="1" xfId="0" applyNumberFormat="1" applyFont="1" applyFill="1" applyBorder="1" applyAlignment="1">
      <protection locked="0" hidden="1"/>
    </xf>
    <xf numFmtId="166" fontId="79" fillId="0" borderId="1" xfId="0" applyFont="1" applyFill="1" applyBorder="1" applyAlignment="1">
      <protection locked="0" hidden="1"/>
    </xf>
    <xf numFmtId="165" fontId="38" fillId="0" borderId="1" xfId="0" applyNumberFormat="1" applyFont="1" applyFill="1" applyBorder="1" applyAlignment="1">
      <alignment horizontal="right"/>
      <protection locked="0" hidden="1"/>
    </xf>
    <xf numFmtId="165" fontId="38" fillId="0" borderId="1" xfId="0" applyNumberFormat="1" applyFont="1" applyFill="1" applyBorder="1" applyAlignment="1">
      <protection locked="0" hidden="1"/>
    </xf>
    <xf numFmtId="165" fontId="30" fillId="0" borderId="1" xfId="0" applyNumberFormat="1" applyFont="1" applyFill="1" applyBorder="1" applyAlignment="1">
      <protection locked="0" hidden="1"/>
    </xf>
    <xf numFmtId="177" fontId="22" fillId="0" borderId="1" xfId="0" applyNumberFormat="1" applyFont="1" applyFill="1" applyBorder="1" applyAlignment="1">
      <alignment horizontal="right"/>
      <protection locked="0" hidden="1"/>
    </xf>
    <xf numFmtId="0" fontId="79" fillId="0" borderId="1" xfId="22" applyFont="1" applyBorder="1"/>
    <xf numFmtId="0" fontId="85" fillId="0" borderId="1" xfId="22" applyFont="1" applyBorder="1"/>
    <xf numFmtId="2" fontId="6" fillId="0" borderId="11" xfId="18" applyNumberFormat="1" applyFont="1" applyFill="1" applyBorder="1" applyAlignment="1">
      <alignment horizontal="right" indent="2"/>
      <protection locked="0" hidden="1"/>
    </xf>
    <xf numFmtId="165" fontId="22" fillId="0" borderId="9" xfId="0" applyNumberFormat="1" applyFont="1" applyFill="1" applyBorder="1" applyAlignment="1">
      <alignment horizontal="right" indent="1"/>
      <protection locked="0" hidden="1"/>
    </xf>
    <xf numFmtId="165" fontId="22" fillId="0" borderId="0" xfId="0" applyNumberFormat="1" applyFont="1" applyFill="1" applyAlignment="1">
      <alignment horizontal="right" indent="1"/>
      <protection locked="0" hidden="1"/>
    </xf>
    <xf numFmtId="206" fontId="85" fillId="0" borderId="0" xfId="0" applyNumberFormat="1" applyFont="1" applyFill="1" applyAlignment="1">
      <alignment horizontal="centerContinuous"/>
      <protection locked="0" hidden="1"/>
    </xf>
    <xf numFmtId="206" fontId="80" fillId="0" borderId="2" xfId="0" applyNumberFormat="1" applyFont="1" applyFill="1" applyBorder="1" applyAlignment="1" applyProtection="1">
      <alignment horizontal="centerContinuous" vertical="top"/>
    </xf>
    <xf numFmtId="206" fontId="80" fillId="0" borderId="4" xfId="0" applyNumberFormat="1" applyFont="1" applyFill="1" applyBorder="1" applyAlignment="1" applyProtection="1">
      <alignment horizontal="centerContinuous" vertical="center"/>
    </xf>
    <xf numFmtId="206" fontId="86" fillId="0" borderId="12" xfId="0" applyNumberFormat="1" applyFont="1" applyFill="1" applyBorder="1" applyAlignment="1" applyProtection="1">
      <alignment horizontal="center"/>
    </xf>
    <xf numFmtId="206" fontId="86" fillId="0" borderId="8" xfId="0" applyNumberFormat="1" applyFont="1" applyFill="1" applyBorder="1" applyAlignment="1" applyProtection="1">
      <alignment horizontal="center"/>
    </xf>
    <xf numFmtId="206" fontId="5" fillId="0" borderId="8" xfId="0" applyNumberFormat="1" applyFont="1" applyFill="1" applyBorder="1" applyAlignment="1" applyProtection="1">
      <protection locked="0"/>
    </xf>
    <xf numFmtId="206" fontId="85" fillId="0" borderId="0" xfId="0" applyNumberFormat="1" applyFont="1" applyFill="1" applyAlignment="1" applyProtection="1">
      <alignment horizontal="centerContinuous"/>
    </xf>
    <xf numFmtId="224" fontId="127" fillId="0" borderId="11" xfId="2" applyNumberFormat="1" applyFont="1" applyFill="1" applyBorder="1" applyAlignment="1" applyProtection="1">
      <alignment vertical="center"/>
    </xf>
    <xf numFmtId="217" fontId="127" fillId="0" borderId="11" xfId="2" applyNumberFormat="1" applyFont="1" applyFill="1" applyBorder="1" applyAlignment="1" applyProtection="1">
      <alignment vertical="center"/>
    </xf>
    <xf numFmtId="224" fontId="127" fillId="0" borderId="11" xfId="2" applyNumberFormat="1" applyFont="1" applyFill="1" applyBorder="1" applyAlignment="1" applyProtection="1"/>
    <xf numFmtId="217" fontId="127" fillId="0" borderId="11" xfId="2" applyNumberFormat="1" applyFont="1" applyFill="1" applyBorder="1" applyAlignment="1" applyProtection="1"/>
    <xf numFmtId="225" fontId="127" fillId="0" borderId="11" xfId="2" applyNumberFormat="1" applyFont="1" applyFill="1" applyBorder="1" applyAlignment="1" applyProtection="1">
      <alignment horizontal="right" indent="1"/>
    </xf>
    <xf numFmtId="224" fontId="127" fillId="0" borderId="8" xfId="2" applyNumberFormat="1" applyFont="1" applyFill="1" applyBorder="1" applyAlignment="1" applyProtection="1">
      <alignment vertical="center"/>
    </xf>
    <xf numFmtId="224" fontId="127" fillId="0" borderId="8" xfId="2" applyNumberFormat="1" applyFont="1" applyFill="1" applyBorder="1" applyAlignment="1" applyProtection="1"/>
    <xf numFmtId="225" fontId="127" fillId="0" borderId="8" xfId="2" applyNumberFormat="1" applyFont="1" applyFill="1" applyBorder="1" applyAlignment="1" applyProtection="1">
      <alignment horizontal="right" indent="1"/>
    </xf>
    <xf numFmtId="217" fontId="127" fillId="0" borderId="8" xfId="2" applyNumberFormat="1" applyFont="1" applyFill="1" applyBorder="1" applyAlignment="1" applyProtection="1"/>
    <xf numFmtId="166" fontId="127" fillId="0" borderId="0" xfId="26" applyFont="1" applyFill="1" applyAlignment="1" applyProtection="1">
      <alignment horizontal="left" vertical="center"/>
    </xf>
    <xf numFmtId="166" fontId="85" fillId="0" borderId="7" xfId="26" applyFont="1" applyFill="1" applyBorder="1" applyAlignment="1" applyProtection="1">
      <alignment vertical="center"/>
    </xf>
    <xf numFmtId="166" fontId="129" fillId="0" borderId="7" xfId="26" applyFont="1" applyFill="1" applyBorder="1" applyAlignment="1" applyProtection="1">
      <alignment vertical="center"/>
    </xf>
    <xf numFmtId="166" fontId="127" fillId="0" borderId="7" xfId="26" applyFont="1" applyFill="1" applyBorder="1" applyAlignment="1" applyProtection="1">
      <alignment vertical="center"/>
    </xf>
    <xf numFmtId="221" fontId="22" fillId="0" borderId="11" xfId="0" applyNumberFormat="1" applyFont="1" applyFill="1" applyBorder="1" applyAlignment="1">
      <alignment horizontal="right"/>
      <protection locked="0" hidden="1"/>
    </xf>
    <xf numFmtId="3" fontId="116" fillId="0" borderId="11" xfId="0" applyNumberFormat="1" applyFont="1" applyFill="1" applyBorder="1" applyAlignment="1">
      <alignment horizontal="right" indent="3"/>
      <protection locked="0" hidden="1"/>
    </xf>
    <xf numFmtId="165" fontId="5" fillId="3" borderId="11" xfId="0" applyNumberFormat="1" applyFont="1" applyFill="1" applyBorder="1" applyAlignment="1">
      <alignment horizontal="right"/>
      <protection locked="0" hidden="1"/>
    </xf>
    <xf numFmtId="206" fontId="22" fillId="0" borderId="0" xfId="0" applyNumberFormat="1" applyFont="1" applyFill="1" applyAlignment="1">
      <protection locked="0" hidden="1"/>
    </xf>
    <xf numFmtId="0" fontId="88" fillId="0" borderId="0" xfId="22" applyFont="1" applyAlignment="1">
      <alignment horizontal="centerContinuous"/>
    </xf>
    <xf numFmtId="0" fontId="26" fillId="0" borderId="10" xfId="0" applyNumberFormat="1" applyFont="1" applyFill="1" applyBorder="1" applyAlignment="1" applyProtection="1">
      <alignment horizontal="center" vertical="top" readingOrder="2"/>
    </xf>
    <xf numFmtId="0" fontId="25" fillId="0" borderId="3" xfId="0" applyNumberFormat="1" applyFont="1" applyFill="1" applyBorder="1" applyAlignment="1" applyProtection="1"/>
    <xf numFmtId="0" fontId="25" fillId="0" borderId="18" xfId="0" applyNumberFormat="1" applyFont="1" applyFill="1" applyBorder="1" applyAlignment="1" applyProtection="1"/>
    <xf numFmtId="0" fontId="25" fillId="0" borderId="8" xfId="0" applyNumberFormat="1" applyFont="1" applyFill="1" applyBorder="1" applyAlignment="1" applyProtection="1">
      <alignment horizontal="center"/>
    </xf>
    <xf numFmtId="0" fontId="25" fillId="0" borderId="10" xfId="0" applyNumberFormat="1" applyFont="1" applyFill="1" applyBorder="1" applyAlignment="1" applyProtection="1">
      <alignment horizontal="center" wrapText="1"/>
    </xf>
    <xf numFmtId="15" fontId="131" fillId="0" borderId="11" xfId="22" applyNumberFormat="1" applyFont="1" applyBorder="1" applyAlignment="1">
      <alignment horizontal="center"/>
    </xf>
    <xf numFmtId="2" fontId="132" fillId="0" borderId="11" xfId="22" applyNumberFormat="1" applyFont="1" applyBorder="1" applyAlignment="1">
      <alignment horizontal="right" indent="3"/>
    </xf>
    <xf numFmtId="210" fontId="132" fillId="0" borderId="11" xfId="0" applyNumberFormat="1" applyFont="1" applyFill="1" applyBorder="1" applyAlignment="1">
      <alignment horizontal="center"/>
      <protection locked="0" hidden="1"/>
    </xf>
    <xf numFmtId="2" fontId="132" fillId="0" borderId="11" xfId="22" applyNumberFormat="1" applyFont="1" applyBorder="1" applyAlignment="1">
      <alignment horizontal="center"/>
    </xf>
    <xf numFmtId="197" fontId="22" fillId="0" borderId="10" xfId="0" applyNumberFormat="1" applyFont="1" applyFill="1" applyBorder="1" applyAlignment="1">
      <protection locked="0" hidden="1"/>
    </xf>
    <xf numFmtId="178" fontId="22" fillId="0" borderId="11" xfId="0" applyNumberFormat="1" applyFont="1" applyFill="1" applyBorder="1" applyAlignment="1">
      <alignment horizontal="right"/>
      <protection locked="0" hidden="1"/>
    </xf>
    <xf numFmtId="3" fontId="5" fillId="0" borderId="8" xfId="22" applyNumberFormat="1" applyFont="1" applyBorder="1" applyAlignment="1">
      <alignment horizontal="right" indent="2" readingOrder="1"/>
    </xf>
    <xf numFmtId="172" fontId="22" fillId="0" borderId="11" xfId="0" applyNumberFormat="1" applyFont="1" applyFill="1" applyBorder="1" applyAlignment="1">
      <alignment horizontal="right"/>
      <protection locked="0" hidden="1"/>
    </xf>
    <xf numFmtId="221" fontId="22" fillId="0" borderId="1" xfId="0" applyNumberFormat="1" applyFont="1" applyFill="1" applyBorder="1" applyAlignment="1">
      <alignment horizontal="right"/>
      <protection locked="0" hidden="1"/>
    </xf>
    <xf numFmtId="206" fontId="22" fillId="0" borderId="11" xfId="0" applyNumberFormat="1" applyFont="1" applyFill="1" applyBorder="1" applyAlignment="1">
      <alignment horizontal="center"/>
      <protection locked="0" hidden="1"/>
    </xf>
    <xf numFmtId="167" fontId="22" fillId="0" borderId="20" xfId="0" applyNumberFormat="1" applyFont="1" applyFill="1" applyBorder="1" applyAlignment="1">
      <protection locked="0" hidden="1"/>
    </xf>
    <xf numFmtId="165" fontId="22" fillId="0" borderId="0" xfId="0" applyNumberFormat="1" applyFont="1" applyFill="1" applyAlignment="1">
      <protection locked="0" hidden="1"/>
    </xf>
    <xf numFmtId="164" fontId="22" fillId="0" borderId="0" xfId="0" applyNumberFormat="1" applyFont="1" applyFill="1" applyAlignment="1">
      <protection locked="0" hidden="1"/>
    </xf>
    <xf numFmtId="176" fontId="22" fillId="0" borderId="11" xfId="0" applyNumberFormat="1" applyFont="1" applyFill="1" applyBorder="1" applyAlignment="1">
      <protection locked="0" hidden="1"/>
    </xf>
    <xf numFmtId="1" fontId="22" fillId="0" borderId="0" xfId="0" applyNumberFormat="1" applyFont="1" applyFill="1" applyAlignment="1">
      <protection locked="0" hidden="1"/>
    </xf>
    <xf numFmtId="197" fontId="18" fillId="0" borderId="11" xfId="0" applyNumberFormat="1" applyFont="1" applyFill="1" applyBorder="1" applyAlignment="1">
      <protection locked="0" hidden="1"/>
    </xf>
    <xf numFmtId="165" fontId="18" fillId="0" borderId="0" xfId="0" applyNumberFormat="1" applyFont="1" applyFill="1" applyAlignment="1">
      <alignment horizontal="right"/>
      <protection locked="0" hidden="1"/>
    </xf>
    <xf numFmtId="168" fontId="18" fillId="0" borderId="11" xfId="0" applyNumberFormat="1" applyFont="1" applyFill="1" applyBorder="1" applyAlignment="1">
      <protection locked="0" hidden="1"/>
    </xf>
    <xf numFmtId="214" fontId="18" fillId="0" borderId="11" xfId="0" applyNumberFormat="1" applyFont="1" applyFill="1" applyBorder="1" applyAlignment="1">
      <protection locked="0" hidden="1"/>
    </xf>
    <xf numFmtId="169" fontId="18" fillId="0" borderId="0" xfId="0" applyNumberFormat="1" applyFont="1" applyFill="1" applyAlignment="1">
      <protection locked="0" hidden="1"/>
    </xf>
    <xf numFmtId="169" fontId="18" fillId="0" borderId="11" xfId="0" applyNumberFormat="1" applyFont="1" applyFill="1" applyBorder="1" applyAlignment="1">
      <protection locked="0" hidden="1"/>
    </xf>
    <xf numFmtId="184" fontId="18" fillId="0" borderId="11" xfId="0" applyNumberFormat="1" applyFont="1" applyFill="1" applyBorder="1" applyAlignment="1">
      <protection locked="0" hidden="1"/>
    </xf>
    <xf numFmtId="187" fontId="18" fillId="0" borderId="16" xfId="0" applyNumberFormat="1" applyFont="1" applyFill="1" applyBorder="1" applyAlignment="1">
      <protection locked="0" hidden="1"/>
    </xf>
    <xf numFmtId="213" fontId="18" fillId="0" borderId="9" xfId="0" applyNumberFormat="1" applyFont="1" applyFill="1" applyBorder="1" applyAlignment="1">
      <protection locked="0" hidden="1"/>
    </xf>
    <xf numFmtId="205" fontId="5" fillId="0" borderId="11" xfId="0" applyNumberFormat="1" applyFont="1" applyFill="1" applyBorder="1" applyAlignment="1">
      <alignment horizontal="right" indent="2"/>
      <protection locked="0" hidden="1"/>
    </xf>
    <xf numFmtId="165" fontId="5" fillId="0" borderId="0" xfId="0" applyNumberFormat="1" applyFont="1" applyFill="1" applyAlignment="1">
      <alignment horizontal="right"/>
      <protection locked="0" hidden="1"/>
    </xf>
    <xf numFmtId="185" fontId="18" fillId="0" borderId="1" xfId="0" applyNumberFormat="1" applyFont="1" applyFill="1" applyBorder="1" applyAlignment="1">
      <alignment horizontal="right"/>
      <protection locked="0" hidden="1"/>
    </xf>
    <xf numFmtId="184" fontId="18" fillId="0" borderId="11" xfId="0" applyNumberFormat="1" applyFont="1" applyFill="1" applyBorder="1" applyAlignment="1">
      <alignment horizontal="right"/>
      <protection locked="0" hidden="1"/>
    </xf>
    <xf numFmtId="167" fontId="18" fillId="0" borderId="1" xfId="0" applyNumberFormat="1" applyFont="1" applyFill="1" applyBorder="1" applyAlignment="1">
      <alignment horizontal="right"/>
      <protection locked="0" hidden="1"/>
    </xf>
    <xf numFmtId="206" fontId="6" fillId="0" borderId="0" xfId="0" applyNumberFormat="1" applyFont="1" applyFill="1" applyAlignment="1">
      <protection locked="0" hidden="1"/>
    </xf>
    <xf numFmtId="219" fontId="22" fillId="0" borderId="1" xfId="0" applyNumberFormat="1" applyFont="1" applyFill="1" applyBorder="1" applyAlignment="1">
      <protection locked="0" hidden="1"/>
    </xf>
    <xf numFmtId="189" fontId="22" fillId="0" borderId="11" xfId="0" applyNumberFormat="1" applyFont="1" applyFill="1" applyBorder="1" applyAlignment="1">
      <alignment horizontal="right"/>
      <protection locked="0" hidden="1"/>
    </xf>
    <xf numFmtId="184" fontId="116" fillId="0" borderId="11" xfId="0" applyNumberFormat="1" applyFont="1" applyFill="1" applyBorder="1" applyAlignment="1">
      <protection locked="0" hidden="1"/>
    </xf>
    <xf numFmtId="164" fontId="85" fillId="0" borderId="0" xfId="22" applyNumberFormat="1" applyFont="1"/>
    <xf numFmtId="165" fontId="18" fillId="0" borderId="11" xfId="0" applyNumberFormat="1" applyFont="1" applyFill="1" applyBorder="1" applyAlignment="1">
      <alignment horizontal="right" indent="1" readingOrder="1"/>
      <protection locked="0" hidden="1"/>
    </xf>
    <xf numFmtId="166" fontId="133" fillId="0" borderId="8" xfId="0" applyFont="1" applyFill="1" applyBorder="1" applyAlignment="1" applyProtection="1">
      <alignment horizontal="center" vertical="center"/>
    </xf>
    <xf numFmtId="166" fontId="48" fillId="0" borderId="8" xfId="0" applyFont="1" applyFill="1" applyBorder="1" applyAlignment="1" applyProtection="1">
      <alignment horizontal="center" vertical="center"/>
    </xf>
    <xf numFmtId="187" fontId="116" fillId="0" borderId="16" xfId="0" applyNumberFormat="1" applyFont="1" applyFill="1" applyBorder="1" applyAlignment="1">
      <protection locked="0" hidden="1"/>
    </xf>
    <xf numFmtId="172" fontId="18" fillId="0" borderId="11" xfId="0" applyNumberFormat="1" applyFont="1" applyFill="1" applyBorder="1" applyAlignment="1">
      <protection locked="0" hidden="1"/>
    </xf>
    <xf numFmtId="166" fontId="53" fillId="0" borderId="9" xfId="0" applyFont="1" applyFill="1" applyBorder="1" applyAlignment="1">
      <alignment horizontal="right" indent="5" readingOrder="2"/>
      <protection locked="0" hidden="1"/>
    </xf>
    <xf numFmtId="166" fontId="53" fillId="0" borderId="9" xfId="0" applyFont="1" applyFill="1" applyBorder="1" applyAlignment="1">
      <alignment horizontal="right" indent="4" readingOrder="2"/>
      <protection locked="0" hidden="1"/>
    </xf>
    <xf numFmtId="166" fontId="56" fillId="0" borderId="9" xfId="0" applyFont="1" applyFill="1" applyBorder="1" applyAlignment="1">
      <alignment horizontal="right" indent="1" readingOrder="2"/>
      <protection locked="0" hidden="1"/>
    </xf>
    <xf numFmtId="166" fontId="56" fillId="0" borderId="9" xfId="0" applyFont="1" applyFill="1" applyBorder="1" applyAlignment="1">
      <alignment horizontal="right" indent="3" readingOrder="2"/>
      <protection locked="0" hidden="1"/>
    </xf>
    <xf numFmtId="166" fontId="53" fillId="0" borderId="9" xfId="0" applyFont="1" applyFill="1" applyBorder="1" applyAlignment="1">
      <alignment horizontal="right" indent="3" readingOrder="2"/>
      <protection locked="0" hidden="1"/>
    </xf>
    <xf numFmtId="166" fontId="113" fillId="0" borderId="9" xfId="0" applyFont="1" applyFill="1" applyBorder="1" applyAlignment="1">
      <alignment horizontal="right" indent="4" readingOrder="2"/>
      <protection locked="0" hidden="1"/>
    </xf>
    <xf numFmtId="166" fontId="118" fillId="0" borderId="9" xfId="0" applyFont="1" applyFill="1" applyBorder="1" applyAlignment="1">
      <alignment horizontal="right" indent="1" readingOrder="2"/>
      <protection locked="0" hidden="1"/>
    </xf>
    <xf numFmtId="166" fontId="113" fillId="0" borderId="9" xfId="0" applyFont="1" applyFill="1" applyBorder="1" applyAlignment="1">
      <alignment horizontal="right" indent="3" readingOrder="2"/>
      <protection locked="0" hidden="1"/>
    </xf>
    <xf numFmtId="212" fontId="35" fillId="0" borderId="12" xfId="0" applyNumberFormat="1" applyFont="1" applyFill="1" applyBorder="1" applyAlignment="1" applyProtection="1">
      <alignment horizontal="right"/>
    </xf>
    <xf numFmtId="166" fontId="56" fillId="0" borderId="9" xfId="0" applyFont="1" applyFill="1" applyBorder="1" applyAlignment="1">
      <alignment horizontal="right" readingOrder="2"/>
      <protection locked="0" hidden="1"/>
    </xf>
    <xf numFmtId="170" fontId="22" fillId="0" borderId="9" xfId="0" applyNumberFormat="1" applyFont="1" applyFill="1" applyBorder="1" applyAlignment="1">
      <alignment horizontal="right" indent="1"/>
      <protection locked="0" hidden="1"/>
    </xf>
    <xf numFmtId="212" fontId="42" fillId="0" borderId="8" xfId="0" applyNumberFormat="1" applyFont="1" applyFill="1" applyBorder="1" applyAlignment="1" applyProtection="1">
      <alignment horizontal="right"/>
    </xf>
    <xf numFmtId="224" fontId="134" fillId="0" borderId="11" xfId="2" applyNumberFormat="1" applyFont="1" applyFill="1" applyBorder="1" applyAlignment="1" applyProtection="1"/>
    <xf numFmtId="224" fontId="43" fillId="0" borderId="11" xfId="2" applyNumberFormat="1" applyFont="1" applyFill="1" applyBorder="1" applyAlignment="1" applyProtection="1"/>
    <xf numFmtId="192" fontId="18" fillId="0" borderId="11" xfId="0" applyNumberFormat="1" applyFont="1" applyFill="1" applyBorder="1" applyAlignment="1">
      <alignment vertical="top"/>
      <protection locked="0" hidden="1"/>
    </xf>
    <xf numFmtId="192" fontId="18" fillId="0" borderId="10" xfId="0" applyNumberFormat="1" applyFont="1" applyFill="1" applyBorder="1" applyAlignment="1">
      <protection locked="0" hidden="1"/>
    </xf>
    <xf numFmtId="4" fontId="18" fillId="0" borderId="11" xfId="0" quotePrefix="1" applyNumberFormat="1" applyFont="1" applyFill="1" applyBorder="1" applyAlignment="1">
      <alignment horizontal="center"/>
      <protection locked="0" hidden="1"/>
    </xf>
    <xf numFmtId="212" fontId="42" fillId="0" borderId="11" xfId="0" applyNumberFormat="1" applyFont="1" applyFill="1" applyBorder="1" applyAlignment="1" applyProtection="1">
      <alignment horizontal="right"/>
    </xf>
    <xf numFmtId="0" fontId="7" fillId="0" borderId="0" xfId="22" applyFont="1" applyAlignment="1">
      <alignment horizontal="centerContinuous"/>
    </xf>
    <xf numFmtId="0" fontId="12" fillId="0" borderId="0" xfId="22" applyFont="1" applyAlignment="1">
      <alignment horizontal="centerContinuous" vertical="top"/>
    </xf>
    <xf numFmtId="0" fontId="8" fillId="0" borderId="0" xfId="22" applyFont="1" applyAlignment="1">
      <alignment horizontal="center" vertical="top"/>
    </xf>
    <xf numFmtId="0" fontId="15" fillId="0" borderId="0" xfId="27" applyFont="1" applyAlignment="1" applyProtection="1">
      <alignment horizontal="right"/>
      <protection locked="0" hidden="1"/>
    </xf>
    <xf numFmtId="0" fontId="14" fillId="0" borderId="1" xfId="27" applyFont="1" applyBorder="1" applyAlignment="1">
      <alignment horizontal="centerContinuous"/>
    </xf>
    <xf numFmtId="0" fontId="12" fillId="0" borderId="9" xfId="27" applyFont="1" applyBorder="1" applyAlignment="1">
      <alignment horizontal="centerContinuous"/>
    </xf>
    <xf numFmtId="0" fontId="12" fillId="0" borderId="1" xfId="27" applyFont="1" applyBorder="1" applyAlignment="1">
      <alignment horizontal="centerContinuous" vertical="top"/>
    </xf>
    <xf numFmtId="0" fontId="12" fillId="0" borderId="0" xfId="27" applyFont="1" applyAlignment="1">
      <alignment horizontal="centerContinuous"/>
    </xf>
    <xf numFmtId="0" fontId="21" fillId="0" borderId="3" xfId="22" applyFont="1" applyBorder="1" applyAlignment="1">
      <alignment horizontal="center" vertical="center"/>
    </xf>
    <xf numFmtId="166" fontId="21" fillId="0" borderId="1" xfId="27" applyNumberFormat="1" applyFont="1" applyBorder="1" applyAlignment="1" applyProtection="1">
      <alignment horizontal="left"/>
      <protection locked="0" hidden="1"/>
    </xf>
    <xf numFmtId="164" fontId="18" fillId="0" borderId="11" xfId="27" applyNumberFormat="1" applyFont="1" applyBorder="1" applyAlignment="1" applyProtection="1">
      <alignment horizontal="right" indent="3"/>
      <protection locked="0" hidden="1"/>
    </xf>
    <xf numFmtId="164" fontId="18" fillId="0" borderId="0" xfId="22" applyNumberFormat="1" applyFont="1" applyAlignment="1">
      <alignment horizontal="right" indent="3"/>
    </xf>
    <xf numFmtId="166" fontId="21" fillId="0" borderId="4" xfId="27" applyNumberFormat="1" applyFont="1" applyBorder="1" applyAlignment="1" applyProtection="1">
      <alignment horizontal="left"/>
      <protection locked="0" hidden="1"/>
    </xf>
    <xf numFmtId="166" fontId="21" fillId="0" borderId="3" xfId="27" applyNumberFormat="1" applyFont="1" applyBorder="1" applyAlignment="1" applyProtection="1">
      <alignment horizontal="left"/>
      <protection locked="0" hidden="1"/>
    </xf>
    <xf numFmtId="0" fontId="22" fillId="0" borderId="1" xfId="22" applyFont="1" applyBorder="1"/>
    <xf numFmtId="0" fontId="22" fillId="0" borderId="0" xfId="22" applyFont="1"/>
    <xf numFmtId="166" fontId="21" fillId="0" borderId="0" xfId="27" applyNumberFormat="1" applyFont="1" applyAlignment="1" applyProtection="1">
      <alignment horizontal="left"/>
      <protection locked="0" hidden="1"/>
    </xf>
    <xf numFmtId="166" fontId="50" fillId="0" borderId="1" xfId="27" applyNumberFormat="1" applyFont="1" applyBorder="1" applyAlignment="1" applyProtection="1">
      <alignment horizontal="left"/>
      <protection locked="0" hidden="1"/>
    </xf>
    <xf numFmtId="166" fontId="50" fillId="0" borderId="0" xfId="27" applyNumberFormat="1" applyFont="1" applyAlignment="1" applyProtection="1">
      <alignment horizontal="left"/>
      <protection locked="0" hidden="1"/>
    </xf>
    <xf numFmtId="0" fontId="8" fillId="0" borderId="7" xfId="22" applyFont="1" applyBorder="1" applyAlignment="1">
      <alignment horizontal="left" indent="5"/>
    </xf>
    <xf numFmtId="164" fontId="18" fillId="0" borderId="8" xfId="27" applyNumberFormat="1" applyFont="1" applyBorder="1" applyAlignment="1" applyProtection="1">
      <alignment horizontal="right" indent="3"/>
      <protection locked="0" hidden="1"/>
    </xf>
    <xf numFmtId="164" fontId="18" fillId="0" borderId="3" xfId="22" applyNumberFormat="1" applyFont="1" applyBorder="1" applyAlignment="1">
      <alignment horizontal="right" indent="3"/>
    </xf>
    <xf numFmtId="166" fontId="79" fillId="0" borderId="0" xfId="0" applyFont="1" applyFill="1" applyAlignment="1" applyProtection="1">
      <alignment horizontal="left"/>
    </xf>
    <xf numFmtId="166" fontId="85" fillId="0" borderId="0" xfId="0" applyFont="1" applyFill="1" applyAlignment="1" applyProtection="1">
      <alignment horizontal="left"/>
    </xf>
    <xf numFmtId="166" fontId="81" fillId="0" borderId="0" xfId="26" applyFont="1" applyFill="1" applyAlignment="1" applyProtection="1">
      <alignment vertical="center"/>
    </xf>
    <xf numFmtId="0" fontId="80" fillId="0" borderId="0" xfId="26" applyNumberFormat="1" applyFont="1" applyFill="1" applyAlignment="1" applyProtection="1">
      <alignment horizontal="centerContinuous" readingOrder="2"/>
    </xf>
    <xf numFmtId="0" fontId="6" fillId="0" borderId="0" xfId="26" applyNumberFormat="1" applyFont="1" applyFill="1" applyAlignment="1" applyProtection="1"/>
    <xf numFmtId="166" fontId="80" fillId="0" borderId="12" xfId="26" applyFont="1" applyFill="1" applyBorder="1" applyAlignment="1" applyProtection="1">
      <alignment horizontal="centerContinuous" vertical="center" wrapText="1"/>
    </xf>
    <xf numFmtId="166" fontId="81" fillId="0" borderId="0" xfId="26" applyFont="1" applyFill="1" applyAlignment="1" applyProtection="1">
      <alignment horizontal="center" vertical="center"/>
    </xf>
    <xf numFmtId="166" fontId="80" fillId="0" borderId="0" xfId="26" applyFont="1" applyFill="1" applyAlignment="1" applyProtection="1">
      <alignment vertical="center"/>
    </xf>
    <xf numFmtId="166" fontId="80" fillId="0" borderId="12" xfId="26" applyFont="1" applyFill="1" applyBorder="1" applyAlignment="1" applyProtection="1">
      <alignment wrapText="1"/>
    </xf>
    <xf numFmtId="224" fontId="81" fillId="0" borderId="11" xfId="2" applyNumberFormat="1" applyFont="1" applyFill="1" applyBorder="1" applyAlignment="1" applyProtection="1"/>
    <xf numFmtId="224" fontId="135" fillId="0" borderId="11" xfId="2" applyNumberFormat="1" applyFont="1" applyFill="1" applyBorder="1" applyAlignment="1" applyProtection="1">
      <alignment readingOrder="2"/>
    </xf>
    <xf numFmtId="166" fontId="80" fillId="0" borderId="11" xfId="26" applyFont="1" applyFill="1" applyBorder="1" applyAlignment="1" applyProtection="1">
      <alignment wrapText="1"/>
    </xf>
    <xf numFmtId="224" fontId="135" fillId="0" borderId="11" xfId="2" applyNumberFormat="1" applyFont="1" applyFill="1" applyBorder="1" applyAlignment="1" applyProtection="1"/>
    <xf numFmtId="224" fontId="135" fillId="0" borderId="11" xfId="2" applyNumberFormat="1" applyFont="1" applyFill="1" applyBorder="1" applyAlignment="1" applyProtection="1">
      <alignment wrapText="1"/>
    </xf>
    <xf numFmtId="166" fontId="80" fillId="0" borderId="8" xfId="26" applyFont="1" applyFill="1" applyBorder="1" applyAlignment="1" applyProtection="1">
      <alignment horizontal="center" wrapText="1"/>
    </xf>
    <xf numFmtId="224" fontId="80" fillId="0" borderId="8" xfId="2" applyNumberFormat="1" applyFont="1" applyFill="1" applyBorder="1" applyAlignment="1" applyProtection="1"/>
    <xf numFmtId="224" fontId="136" fillId="0" borderId="8" xfId="2" applyNumberFormat="1" applyFont="1" applyFill="1" applyBorder="1" applyAlignment="1" applyProtection="1">
      <alignment horizontal="center"/>
    </xf>
    <xf numFmtId="166" fontId="80" fillId="0" borderId="0" xfId="26" applyFont="1" applyFill="1" applyAlignment="1" applyProtection="1"/>
    <xf numFmtId="166" fontId="79" fillId="0" borderId="0" xfId="26" applyFont="1" applyFill="1" applyAlignment="1" applyProtection="1"/>
    <xf numFmtId="166" fontId="81" fillId="0" borderId="0" xfId="26" applyFont="1" applyFill="1" applyAlignment="1" applyProtection="1">
      <alignment wrapText="1"/>
    </xf>
    <xf numFmtId="166" fontId="85" fillId="0" borderId="0" xfId="26" applyFont="1" applyFill="1" applyAlignment="1" applyProtection="1"/>
    <xf numFmtId="166" fontId="94" fillId="0" borderId="0" xfId="26" applyFont="1" applyFill="1" applyAlignment="1" applyProtection="1">
      <alignment horizontal="right"/>
    </xf>
    <xf numFmtId="49" fontId="85" fillId="0" borderId="0" xfId="26" applyNumberFormat="1" applyFont="1" applyFill="1" applyAlignment="1" applyProtection="1">
      <alignment horizontal="centerContinuous"/>
    </xf>
    <xf numFmtId="166" fontId="81" fillId="0" borderId="0" xfId="26" applyFont="1" applyFill="1" applyAlignment="1" applyProtection="1">
      <alignment horizontal="right" vertical="center"/>
    </xf>
    <xf numFmtId="206" fontId="81" fillId="0" borderId="0" xfId="26" applyNumberFormat="1" applyFont="1" applyFill="1" applyAlignment="1" applyProtection="1">
      <alignment vertical="center"/>
    </xf>
    <xf numFmtId="166" fontId="81" fillId="0" borderId="0" xfId="26" applyFont="1" applyFill="1" applyAlignment="1" applyProtection="1">
      <alignment horizontal="left" vertical="center"/>
    </xf>
    <xf numFmtId="0" fontId="21" fillId="0" borderId="12" xfId="22" applyFont="1" applyBorder="1" applyAlignment="1">
      <alignment horizontal="center" vertical="center" wrapText="1"/>
    </xf>
    <xf numFmtId="0" fontId="8" fillId="0" borderId="0" xfId="22" applyFont="1" applyAlignment="1">
      <alignment horizontal="right" readingOrder="2"/>
    </xf>
    <xf numFmtId="0" fontId="8" fillId="0" borderId="0" xfId="22" applyFont="1" applyAlignment="1">
      <alignment horizontal="right"/>
    </xf>
    <xf numFmtId="0" fontId="8" fillId="0" borderId="7" xfId="22" applyFont="1" applyBorder="1" applyAlignment="1">
      <alignment horizontal="right" indent="5"/>
    </xf>
    <xf numFmtId="0" fontId="8" fillId="0" borderId="7" xfId="22" applyFont="1" applyBorder="1" applyAlignment="1">
      <alignment horizontal="right"/>
    </xf>
    <xf numFmtId="0" fontId="81" fillId="0" borderId="0" xfId="28" applyFont="1"/>
    <xf numFmtId="0" fontId="80" fillId="8" borderId="23" xfId="28" applyFont="1" applyFill="1" applyBorder="1" applyAlignment="1">
      <alignment vertical="center"/>
    </xf>
    <xf numFmtId="0" fontId="81" fillId="5" borderId="23" xfId="28" applyFont="1" applyFill="1" applyBorder="1" applyAlignment="1">
      <alignment vertical="center" wrapText="1"/>
    </xf>
    <xf numFmtId="0" fontId="81" fillId="5" borderId="23" xfId="28" applyFont="1" applyFill="1" applyBorder="1" applyAlignment="1">
      <alignment horizontal="center" vertical="center"/>
    </xf>
    <xf numFmtId="49" fontId="81" fillId="5" borderId="23" xfId="28" applyNumberFormat="1" applyFont="1" applyFill="1" applyBorder="1" applyAlignment="1">
      <alignment horizontal="center" vertical="center"/>
    </xf>
    <xf numFmtId="0" fontId="81" fillId="0" borderId="0" xfId="28" applyFont="1" applyAlignment="1">
      <alignment vertical="center"/>
    </xf>
    <xf numFmtId="0" fontId="81" fillId="5" borderId="23" xfId="28" applyFont="1" applyFill="1" applyBorder="1" applyAlignment="1">
      <alignment horizontal="center" vertical="center" wrapText="1"/>
    </xf>
    <xf numFmtId="0" fontId="81" fillId="0" borderId="23" xfId="28" applyFont="1" applyBorder="1" applyAlignment="1">
      <alignment horizontal="center" vertical="center"/>
    </xf>
    <xf numFmtId="0" fontId="81" fillId="0" borderId="23" xfId="28" applyFont="1" applyBorder="1" applyAlignment="1">
      <alignment vertical="center" wrapText="1"/>
    </xf>
    <xf numFmtId="49" fontId="81" fillId="0" borderId="23" xfId="28" applyNumberFormat="1" applyFont="1" applyBorder="1" applyAlignment="1">
      <alignment horizontal="center" vertical="center"/>
    </xf>
    <xf numFmtId="0" fontId="81" fillId="0" borderId="23" xfId="28" applyFont="1" applyBorder="1" applyAlignment="1">
      <alignment horizontal="center" vertical="center" wrapText="1"/>
    </xf>
    <xf numFmtId="0" fontId="80" fillId="8" borderId="23" xfId="28" applyFont="1" applyFill="1" applyBorder="1" applyAlignment="1">
      <alignment vertical="center" wrapText="1"/>
    </xf>
    <xf numFmtId="0" fontId="80" fillId="7" borderId="23" xfId="28" applyFont="1" applyFill="1" applyBorder="1" applyAlignment="1">
      <alignment vertical="center" wrapText="1"/>
    </xf>
    <xf numFmtId="0" fontId="81" fillId="0" borderId="0" xfId="28" applyFont="1" applyAlignment="1">
      <alignment horizontal="left" vertical="top" wrapText="1"/>
    </xf>
    <xf numFmtId="0" fontId="81" fillId="0" borderId="0" xfId="28" applyFont="1" applyAlignment="1">
      <alignment horizontal="left" vertical="top"/>
    </xf>
    <xf numFmtId="195" fontId="22" fillId="0" borderId="11" xfId="0" applyNumberFormat="1" applyFont="1" applyFill="1" applyBorder="1" applyAlignment="1">
      <protection locked="0" hidden="1"/>
    </xf>
    <xf numFmtId="168" fontId="22" fillId="0" borderId="11" xfId="0" applyNumberFormat="1" applyFont="1" applyFill="1" applyBorder="1" applyAlignment="1">
      <protection locked="0" hidden="1"/>
    </xf>
    <xf numFmtId="200" fontId="22" fillId="0" borderId="11" xfId="0" applyNumberFormat="1" applyFont="1" applyFill="1" applyBorder="1" applyAlignment="1">
      <protection locked="0" hidden="1"/>
    </xf>
    <xf numFmtId="172" fontId="22" fillId="0" borderId="0" xfId="0" applyNumberFormat="1" applyFont="1" applyFill="1" applyAlignment="1">
      <protection locked="0" hidden="1"/>
    </xf>
    <xf numFmtId="207" fontId="22" fillId="0" borderId="11" xfId="0" applyNumberFormat="1" applyFont="1" applyFill="1" applyBorder="1" applyAlignment="1">
      <protection locked="0" hidden="1"/>
    </xf>
    <xf numFmtId="180" fontId="22" fillId="0" borderId="11" xfId="0" applyNumberFormat="1" applyFont="1" applyFill="1" applyBorder="1" applyAlignment="1">
      <protection locked="0" hidden="1"/>
    </xf>
    <xf numFmtId="171" fontId="22" fillId="0" borderId="11" xfId="0" applyNumberFormat="1" applyFont="1" applyFill="1" applyBorder="1" applyAlignment="1">
      <protection locked="0" hidden="1"/>
    </xf>
    <xf numFmtId="0" fontId="5" fillId="0" borderId="0" xfId="22" applyFont="1"/>
    <xf numFmtId="3" fontId="22" fillId="0" borderId="11" xfId="0" applyNumberFormat="1" applyFont="1" applyFill="1" applyBorder="1" applyAlignment="1">
      <alignment horizontal="right" indent="2"/>
      <protection locked="0" hidden="1"/>
    </xf>
    <xf numFmtId="166" fontId="50" fillId="0" borderId="9" xfId="0" applyFont="1" applyFill="1" applyBorder="1" applyAlignment="1" applyProtection="1">
      <alignment horizontal="left"/>
    </xf>
    <xf numFmtId="166" fontId="43" fillId="0" borderId="0" xfId="26" applyFont="1" applyFill="1" applyAlignment="1" applyProtection="1">
      <alignment vertical="center"/>
    </xf>
    <xf numFmtId="166" fontId="50" fillId="0" borderId="9" xfId="26" applyFont="1" applyFill="1" applyBorder="1" applyAlignment="1" applyProtection="1">
      <alignment horizontal="left"/>
    </xf>
    <xf numFmtId="166" fontId="18" fillId="0" borderId="0" xfId="0" applyFont="1" applyFill="1" applyAlignment="1">
      <alignment wrapText="1"/>
      <protection locked="0" hidden="1"/>
    </xf>
    <xf numFmtId="166" fontId="12" fillId="0" borderId="1" xfId="0" applyFont="1" applyFill="1" applyBorder="1" applyAlignment="1">
      <alignment horizontal="left"/>
      <protection locked="0" hidden="1"/>
    </xf>
    <xf numFmtId="166" fontId="48" fillId="0" borderId="1" xfId="0" applyFont="1" applyFill="1" applyBorder="1" applyAlignment="1">
      <alignment horizontal="left"/>
      <protection locked="0" hidden="1"/>
    </xf>
    <xf numFmtId="166" fontId="48" fillId="0" borderId="0" xfId="0" applyFont="1" applyFill="1" applyAlignment="1">
      <alignment horizontal="left"/>
      <protection locked="0" hidden="1"/>
    </xf>
    <xf numFmtId="166" fontId="133" fillId="0" borderId="1" xfId="0" applyFont="1" applyFill="1" applyBorder="1" applyAlignment="1">
      <alignment horizontal="left"/>
      <protection locked="0" hidden="1"/>
    </xf>
    <xf numFmtId="166" fontId="133" fillId="0" borderId="0" xfId="0" applyFont="1" applyFill="1" applyAlignment="1">
      <alignment horizontal="left"/>
      <protection locked="0" hidden="1"/>
    </xf>
    <xf numFmtId="0" fontId="40" fillId="0" borderId="11" xfId="0" applyNumberFormat="1" applyFont="1" applyFill="1" applyBorder="1" applyAlignment="1" applyProtection="1"/>
    <xf numFmtId="166" fontId="40" fillId="0" borderId="7" xfId="0" applyFont="1" applyFill="1" applyBorder="1" applyAlignment="1">
      <alignment readingOrder="2"/>
      <protection locked="0" hidden="1"/>
    </xf>
    <xf numFmtId="166" fontId="40" fillId="0" borderId="0" xfId="0" applyFont="1" applyFill="1" applyAlignment="1">
      <alignment horizontal="centerContinuous"/>
      <protection locked="0" hidden="1"/>
    </xf>
    <xf numFmtId="206" fontId="40" fillId="0" borderId="0" xfId="0" applyNumberFormat="1" applyFont="1" applyFill="1" applyAlignment="1">
      <alignment horizontal="centerContinuous"/>
      <protection locked="0" hidden="1"/>
    </xf>
    <xf numFmtId="206" fontId="40" fillId="0" borderId="0" xfId="0" applyNumberFormat="1" applyFont="1" applyFill="1" applyAlignment="1" applyProtection="1"/>
    <xf numFmtId="0" fontId="80" fillId="9" borderId="23" xfId="28" applyFont="1" applyFill="1" applyBorder="1" applyAlignment="1">
      <alignment horizontal="center" vertical="center"/>
    </xf>
    <xf numFmtId="0" fontId="81" fillId="5" borderId="23" xfId="28" applyFont="1" applyFill="1" applyBorder="1" applyAlignment="1">
      <alignment horizontal="left" vertical="center" wrapText="1"/>
    </xf>
    <xf numFmtId="0" fontId="80" fillId="8" borderId="8" xfId="28" applyFont="1" applyFill="1" applyBorder="1" applyAlignment="1">
      <alignment horizontal="left" vertical="center"/>
    </xf>
    <xf numFmtId="0" fontId="25" fillId="0" borderId="4" xfId="0" applyNumberFormat="1" applyFont="1" applyFill="1" applyBorder="1" applyAlignment="1" applyProtection="1">
      <alignment horizontal="center" vertical="top" wrapText="1"/>
    </xf>
    <xf numFmtId="0" fontId="25" fillId="0" borderId="10" xfId="0" applyNumberFormat="1" applyFont="1" applyFill="1" applyBorder="1" applyAlignment="1" applyProtection="1">
      <alignment horizontal="center" vertical="top" wrapText="1"/>
    </xf>
    <xf numFmtId="0" fontId="26" fillId="0" borderId="1" xfId="0" applyNumberFormat="1" applyFont="1" applyFill="1" applyBorder="1" applyAlignment="1" applyProtection="1">
      <alignment horizontal="center"/>
    </xf>
    <xf numFmtId="0" fontId="14" fillId="0" borderId="6" xfId="0" applyNumberFormat="1" applyFont="1" applyFill="1" applyBorder="1" applyAlignment="1" applyProtection="1">
      <alignment horizontal="center" vertical="center" wrapText="1" readingOrder="2"/>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12" fillId="0" borderId="0" xfId="22" applyFont="1" applyAlignment="1">
      <alignment horizontal="center" vertical="top"/>
    </xf>
    <xf numFmtId="0" fontId="19" fillId="0" borderId="2" xfId="22" applyFont="1" applyBorder="1" applyAlignment="1">
      <alignment horizontal="center"/>
    </xf>
    <xf numFmtId="0" fontId="19" fillId="0" borderId="6" xfId="22" applyFont="1" applyBorder="1" applyAlignment="1">
      <alignment horizontal="center"/>
    </xf>
    <xf numFmtId="0" fontId="21" fillId="0" borderId="6" xfId="22" applyFont="1" applyBorder="1" applyAlignment="1">
      <alignment horizontal="center" vertical="center" wrapText="1"/>
    </xf>
    <xf numFmtId="0" fontId="123" fillId="0" borderId="8" xfId="0" applyNumberFormat="1" applyFont="1" applyFill="1" applyBorder="1" applyAlignment="1" applyProtection="1">
      <alignment horizontal="center" vertical="center" wrapText="1" readingOrder="1"/>
    </xf>
    <xf numFmtId="166" fontId="80" fillId="0" borderId="12" xfId="26" applyFont="1" applyFill="1" applyBorder="1" applyAlignment="1" applyProtection="1">
      <alignment horizontal="center" vertical="center" wrapText="1"/>
    </xf>
    <xf numFmtId="166" fontId="80" fillId="0" borderId="8" xfId="26" applyFont="1" applyFill="1" applyBorder="1" applyAlignment="1" applyProtection="1">
      <alignment horizontal="center" vertical="center" wrapText="1"/>
    </xf>
    <xf numFmtId="166" fontId="84" fillId="0" borderId="1" xfId="26" applyFont="1" applyFill="1" applyBorder="1" applyAlignment="1" applyProtection="1">
      <alignment horizontal="left"/>
    </xf>
    <xf numFmtId="166" fontId="84" fillId="0" borderId="9" xfId="26" applyFont="1" applyFill="1" applyBorder="1" applyAlignment="1" applyProtection="1">
      <alignment horizontal="left"/>
    </xf>
    <xf numFmtId="166" fontId="84" fillId="0" borderId="4" xfId="26" applyFont="1" applyFill="1" applyBorder="1" applyAlignment="1" applyProtection="1">
      <alignment horizontal="left"/>
    </xf>
    <xf numFmtId="166" fontId="84" fillId="0" borderId="10" xfId="26" applyFont="1" applyFill="1" applyBorder="1" applyAlignment="1" applyProtection="1">
      <alignment horizontal="left"/>
    </xf>
    <xf numFmtId="166" fontId="48" fillId="0" borderId="11" xfId="0" applyFont="1" applyFill="1" applyBorder="1" applyAlignment="1">
      <alignment horizontal="center" vertical="center" wrapText="1"/>
      <protection locked="0" hidden="1"/>
    </xf>
    <xf numFmtId="166" fontId="48" fillId="0" borderId="8" xfId="0" applyFont="1" applyFill="1" applyBorder="1" applyAlignment="1">
      <alignment horizontal="center" vertical="center" wrapText="1"/>
      <protection locked="0" hidden="1"/>
    </xf>
    <xf numFmtId="166" fontId="48" fillId="0" borderId="12" xfId="0" applyFont="1" applyFill="1" applyBorder="1" applyAlignment="1">
      <alignment horizontal="center" vertical="center"/>
      <protection locked="0" hidden="1"/>
    </xf>
    <xf numFmtId="166" fontId="48" fillId="0" borderId="11" xfId="0" applyFont="1" applyFill="1" applyBorder="1" applyAlignment="1">
      <alignment horizontal="center" vertical="center"/>
      <protection locked="0" hidden="1"/>
    </xf>
    <xf numFmtId="166" fontId="48" fillId="0" borderId="5" xfId="0" applyFont="1" applyFill="1" applyBorder="1" applyAlignment="1">
      <alignment horizontal="center" vertical="center"/>
      <protection locked="0" hidden="1"/>
    </xf>
    <xf numFmtId="166" fontId="9" fillId="0" borderId="11" xfId="0" applyFont="1" applyFill="1" applyBorder="1" applyAlignment="1">
      <alignment horizontal="center" wrapText="1" readingOrder="2"/>
      <protection locked="0" hidden="1"/>
    </xf>
    <xf numFmtId="217" fontId="81" fillId="0" borderId="8" xfId="2" applyNumberFormat="1" applyFont="1" applyBorder="1"/>
    <xf numFmtId="165" fontId="8" fillId="0" borderId="25" xfId="1" applyNumberFormat="1" applyFont="1" applyBorder="1" applyAlignment="1">
      <alignment horizontal="right" indent="2"/>
    </xf>
    <xf numFmtId="165" fontId="8" fillId="0" borderId="27" xfId="1" applyNumberFormat="1" applyFont="1" applyBorder="1" applyAlignment="1">
      <alignment horizontal="right" indent="2"/>
    </xf>
    <xf numFmtId="165" fontId="8" fillId="0" borderId="26" xfId="1" applyNumberFormat="1" applyFont="1" applyBorder="1" applyAlignment="1">
      <alignment horizontal="right" indent="2"/>
    </xf>
    <xf numFmtId="0" fontId="23" fillId="0" borderId="0" xfId="0" applyNumberFormat="1" applyFont="1" applyFill="1" applyAlignment="1" applyProtection="1">
      <alignment horizontal="centerContinuous" wrapText="1"/>
    </xf>
    <xf numFmtId="0" fontId="23" fillId="0" borderId="0" xfId="0" applyNumberFormat="1" applyFont="1" applyFill="1" applyAlignment="1" applyProtection="1">
      <alignment wrapText="1"/>
    </xf>
    <xf numFmtId="0" fontId="11" fillId="0" borderId="0" xfId="0" applyNumberFormat="1" applyFont="1" applyFill="1" applyAlignment="1" applyProtection="1">
      <alignment horizontal="centerContinuous"/>
    </xf>
    <xf numFmtId="0" fontId="7" fillId="0" borderId="0" xfId="0" applyNumberFormat="1" applyFont="1" applyFill="1" applyAlignment="1" applyProtection="1"/>
    <xf numFmtId="0" fontId="6" fillId="0" borderId="0" xfId="0" quotePrefix="1" applyNumberFormat="1" applyFont="1" applyFill="1" applyAlignment="1" applyProtection="1">
      <alignment wrapText="1"/>
    </xf>
    <xf numFmtId="0" fontId="8" fillId="0" borderId="3" xfId="0" applyNumberFormat="1" applyFont="1" applyFill="1" applyBorder="1" applyAlignment="1" applyProtection="1"/>
    <xf numFmtId="0" fontId="6" fillId="0" borderId="3" xfId="0" quotePrefix="1" applyNumberFormat="1" applyFont="1" applyFill="1" applyBorder="1" applyAlignment="1" applyProtection="1">
      <alignment wrapText="1"/>
    </xf>
    <xf numFmtId="0" fontId="12" fillId="0" borderId="2" xfId="0" applyNumberFormat="1" applyFont="1" applyFill="1" applyBorder="1" applyAlignment="1" applyProtection="1"/>
    <xf numFmtId="0" fontId="12" fillId="0" borderId="6" xfId="0" applyNumberFormat="1" applyFont="1" applyFill="1" applyBorder="1" applyAlignment="1" applyProtection="1"/>
    <xf numFmtId="0" fontId="14" fillId="0" borderId="6" xfId="0" applyNumberFormat="1" applyFont="1" applyFill="1" applyBorder="1" applyAlignment="1" applyProtection="1">
      <alignment horizontal="center" vertical="center"/>
    </xf>
    <xf numFmtId="0" fontId="12" fillId="0" borderId="0" xfId="0" applyNumberFormat="1" applyFont="1" applyFill="1" applyAlignment="1" applyProtection="1">
      <alignment horizontal="left" vertical="center" indent="2"/>
    </xf>
    <xf numFmtId="0" fontId="5" fillId="0" borderId="0" xfId="0" applyNumberFormat="1" applyFont="1" applyFill="1" applyAlignment="1" applyProtection="1">
      <alignment vertical="center"/>
    </xf>
    <xf numFmtId="0" fontId="14" fillId="0" borderId="3" xfId="0" applyNumberFormat="1" applyFont="1" applyFill="1" applyBorder="1" applyAlignment="1" applyProtection="1">
      <alignment horizontal="right" vertical="center" indent="2" readingOrder="1"/>
    </xf>
    <xf numFmtId="0" fontId="14" fillId="0" borderId="5"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xf>
    <xf numFmtId="173" fontId="12" fillId="0" borderId="11" xfId="0" applyNumberFormat="1" applyFont="1" applyFill="1" applyBorder="1" applyAlignment="1" applyProtection="1">
      <alignment horizontal="center" wrapText="1"/>
    </xf>
    <xf numFmtId="1" fontId="12" fillId="0" borderId="8" xfId="0" applyNumberFormat="1" applyFont="1" applyFill="1" applyBorder="1" applyAlignment="1" applyProtection="1">
      <alignment horizontal="center"/>
    </xf>
    <xf numFmtId="173" fontId="12" fillId="0" borderId="8" xfId="0" applyNumberFormat="1" applyFont="1" applyFill="1" applyBorder="1" applyAlignment="1" applyProtection="1">
      <alignment horizontal="center" wrapText="1"/>
    </xf>
    <xf numFmtId="166" fontId="21" fillId="0" borderId="1" xfId="0" applyFont="1" applyFill="1" applyBorder="1" applyAlignment="1">
      <alignment horizontal="left" wrapText="1"/>
      <protection locked="0" hidden="1"/>
    </xf>
    <xf numFmtId="166" fontId="21" fillId="0" borderId="9" xfId="0" applyFont="1" applyFill="1" applyBorder="1" applyAlignment="1">
      <alignment horizontal="left" wrapText="1"/>
      <protection locked="0" hidden="1"/>
    </xf>
    <xf numFmtId="166" fontId="21" fillId="0" borderId="1" xfId="0" applyFont="1" applyFill="1" applyBorder="1" applyAlignment="1">
      <alignment horizontal="left" vertical="top" wrapText="1"/>
      <protection locked="0" hidden="1"/>
    </xf>
    <xf numFmtId="166" fontId="21" fillId="0" borderId="9" xfId="0" applyFont="1" applyFill="1" applyBorder="1" applyAlignment="1">
      <alignment horizontal="left" vertical="top" wrapText="1"/>
      <protection locked="0" hidden="1"/>
    </xf>
    <xf numFmtId="194" fontId="18" fillId="0" borderId="11" xfId="0" applyNumberFormat="1" applyFont="1" applyFill="1" applyBorder="1" applyAlignment="1">
      <alignment vertical="top"/>
      <protection locked="0" hidden="1"/>
    </xf>
    <xf numFmtId="186" fontId="18" fillId="0" borderId="11" xfId="0" applyNumberFormat="1" applyFont="1" applyFill="1" applyBorder="1" applyAlignment="1">
      <alignment vertical="top"/>
      <protection locked="0" hidden="1"/>
    </xf>
    <xf numFmtId="193" fontId="18" fillId="0" borderId="11" xfId="0" applyNumberFormat="1" applyFont="1" applyFill="1" applyBorder="1" applyAlignment="1">
      <alignment vertical="top"/>
      <protection locked="0" hidden="1"/>
    </xf>
    <xf numFmtId="166" fontId="18" fillId="0" borderId="0" xfId="0" applyFont="1" applyFill="1" applyAlignment="1">
      <alignment vertical="top" wrapText="1"/>
      <protection locked="0" hidden="1"/>
    </xf>
    <xf numFmtId="166" fontId="50" fillId="0" borderId="9" xfId="0" applyFont="1" applyFill="1" applyBorder="1" applyAlignment="1">
      <alignment horizontal="left"/>
      <protection locked="0" hidden="1"/>
    </xf>
    <xf numFmtId="194" fontId="22" fillId="0" borderId="11" xfId="0" applyNumberFormat="1" applyFont="1" applyFill="1" applyBorder="1" applyAlignment="1">
      <protection locked="0" hidden="1"/>
    </xf>
    <xf numFmtId="186" fontId="22" fillId="0" borderId="11" xfId="0" applyNumberFormat="1" applyFont="1" applyFill="1" applyBorder="1" applyAlignment="1">
      <protection locked="0" hidden="1"/>
    </xf>
    <xf numFmtId="193" fontId="22" fillId="0" borderId="11" xfId="0" applyNumberFormat="1" applyFont="1" applyFill="1" applyBorder="1" applyAlignment="1">
      <protection locked="0" hidden="1"/>
    </xf>
    <xf numFmtId="192" fontId="22" fillId="0" borderId="11" xfId="0" applyNumberFormat="1" applyFont="1" applyFill="1" applyBorder="1" applyAlignment="1">
      <protection locked="0" hidden="1"/>
    </xf>
    <xf numFmtId="192" fontId="22" fillId="0" borderId="9" xfId="0" applyNumberFormat="1" applyFont="1" applyFill="1" applyBorder="1" applyAlignment="1">
      <protection locked="0" hidden="1"/>
    </xf>
    <xf numFmtId="166" fontId="22" fillId="0" borderId="1" xfId="0" applyFont="1" applyFill="1" applyBorder="1" applyAlignment="1">
      <protection locked="0" hidden="1"/>
    </xf>
    <xf numFmtId="166" fontId="50" fillId="0" borderId="4" xfId="0" applyFont="1" applyFill="1" applyBorder="1" applyAlignment="1">
      <alignment horizontal="left"/>
      <protection locked="0" hidden="1"/>
    </xf>
    <xf numFmtId="166" fontId="50" fillId="0" borderId="10" xfId="0" applyFont="1" applyFill="1" applyBorder="1" applyAlignment="1">
      <alignment horizontal="left"/>
      <protection locked="0" hidden="1"/>
    </xf>
    <xf numFmtId="194" fontId="22" fillId="0" borderId="8" xfId="0" applyNumberFormat="1" applyFont="1" applyFill="1" applyBorder="1" applyAlignment="1">
      <protection locked="0" hidden="1"/>
    </xf>
    <xf numFmtId="186" fontId="22" fillId="0" borderId="8" xfId="0" applyNumberFormat="1" applyFont="1" applyFill="1" applyBorder="1" applyAlignment="1">
      <protection locked="0" hidden="1"/>
    </xf>
    <xf numFmtId="193" fontId="22" fillId="0" borderId="8" xfId="0" applyNumberFormat="1" applyFont="1" applyFill="1" applyBorder="1" applyAlignment="1">
      <protection locked="0" hidden="1"/>
    </xf>
    <xf numFmtId="192" fontId="22" fillId="0" borderId="8" xfId="0" applyNumberFormat="1" applyFont="1" applyFill="1" applyBorder="1" applyAlignment="1">
      <protection locked="0" hidden="1"/>
    </xf>
    <xf numFmtId="192" fontId="22" fillId="0" borderId="10" xfId="0" applyNumberFormat="1" applyFont="1" applyFill="1" applyBorder="1" applyAlignment="1">
      <protection locked="0" hidden="1"/>
    </xf>
    <xf numFmtId="170" fontId="31" fillId="0" borderId="7" xfId="0" applyNumberFormat="1" applyFont="1" applyFill="1" applyBorder="1" applyAlignment="1" applyProtection="1">
      <alignment horizontal="right"/>
    </xf>
    <xf numFmtId="0" fontId="32" fillId="0" borderId="7" xfId="0" applyNumberFormat="1" applyFont="1" applyFill="1" applyBorder="1" applyAlignment="1" applyProtection="1">
      <alignment horizontal="right" readingOrder="2"/>
    </xf>
    <xf numFmtId="0" fontId="31" fillId="0" borderId="0" xfId="0" applyNumberFormat="1" applyFont="1" applyFill="1" applyAlignment="1" applyProtection="1"/>
    <xf numFmtId="0" fontId="32" fillId="0" borderId="0" xfId="0" applyNumberFormat="1" applyFont="1" applyFill="1" applyAlignment="1" applyProtection="1">
      <alignment horizontal="right" readingOrder="2"/>
    </xf>
    <xf numFmtId="217" fontId="81" fillId="0" borderId="11" xfId="2" applyNumberFormat="1" applyFont="1" applyBorder="1"/>
    <xf numFmtId="0" fontId="45" fillId="0" borderId="0" xfId="26" applyNumberFormat="1" applyFont="1" applyFill="1" applyAlignment="1" applyProtection="1">
      <alignment horizontal="right" readingOrder="2"/>
    </xf>
    <xf numFmtId="166" fontId="45" fillId="0" borderId="0" xfId="26" applyFont="1" applyFill="1" applyAlignment="1">
      <alignment horizontal="right" readingOrder="2"/>
      <protection locked="0" hidden="1"/>
    </xf>
    <xf numFmtId="224" fontId="81" fillId="0" borderId="8" xfId="2" applyNumberFormat="1" applyFont="1" applyBorder="1"/>
    <xf numFmtId="224" fontId="81" fillId="0" borderId="11" xfId="2" applyNumberFormat="1" applyFont="1" applyBorder="1"/>
    <xf numFmtId="166" fontId="84" fillId="0" borderId="4" xfId="26" applyFont="1" applyFill="1" applyBorder="1" applyAlignment="1">
      <alignment horizontal="left"/>
      <protection locked="0" hidden="1"/>
    </xf>
    <xf numFmtId="166" fontId="80" fillId="0" borderId="6" xfId="26" applyFont="1" applyFill="1" applyBorder="1" applyAlignment="1" applyProtection="1">
      <alignment horizontal="center" vertical="center"/>
    </xf>
    <xf numFmtId="166" fontId="80" fillId="0" borderId="12" xfId="26" applyFont="1" applyFill="1" applyBorder="1" applyAlignment="1" applyProtection="1">
      <alignment horizontal="center" vertical="center"/>
    </xf>
    <xf numFmtId="166" fontId="80" fillId="0" borderId="10" xfId="26" applyFont="1" applyFill="1" applyBorder="1" applyAlignment="1" applyProtection="1">
      <alignment horizontal="center" vertical="center"/>
    </xf>
    <xf numFmtId="49" fontId="14" fillId="0" borderId="11" xfId="0" applyNumberFormat="1" applyFont="1" applyFill="1" applyBorder="1" applyAlignment="1" applyProtection="1">
      <alignment horizontal="center" readingOrder="2"/>
    </xf>
    <xf numFmtId="0" fontId="12" fillId="0" borderId="9" xfId="0" quotePrefix="1" applyNumberFormat="1" applyFont="1" applyFill="1" applyBorder="1" applyAlignment="1" applyProtection="1">
      <alignment horizontal="center"/>
    </xf>
    <xf numFmtId="0" fontId="12" fillId="0" borderId="12" xfId="0" applyNumberFormat="1" applyFont="1" applyFill="1" applyBorder="1" applyAlignment="1" applyProtection="1">
      <alignment horizontal="centerContinuous" vertical="center"/>
    </xf>
    <xf numFmtId="166" fontId="48" fillId="0" borderId="12" xfId="26" applyFont="1" applyFill="1" applyBorder="1" applyAlignment="1" applyProtection="1">
      <alignment horizontal="center" vertical="center" wrapText="1"/>
    </xf>
    <xf numFmtId="166" fontId="48" fillId="0" borderId="4" xfId="26" applyFont="1" applyFill="1" applyBorder="1" applyAlignment="1" applyProtection="1">
      <alignment horizontal="center" vertical="center" wrapText="1"/>
    </xf>
    <xf numFmtId="224" fontId="43" fillId="0" borderId="11" xfId="2" applyNumberFormat="1" applyFont="1" applyFill="1" applyBorder="1" applyAlignment="1" applyProtection="1">
      <alignment horizontal="right"/>
    </xf>
    <xf numFmtId="224" fontId="43" fillId="0" borderId="8" xfId="2" applyNumberFormat="1" applyFont="1" applyFill="1" applyBorder="1" applyAlignment="1" applyProtection="1"/>
    <xf numFmtId="224" fontId="43" fillId="0" borderId="8" xfId="2" applyNumberFormat="1" applyFont="1" applyFill="1" applyBorder="1" applyAlignment="1" applyProtection="1">
      <alignment horizontal="right"/>
    </xf>
    <xf numFmtId="1" fontId="35" fillId="0" borderId="2" xfId="0" applyNumberFormat="1" applyFont="1" applyFill="1" applyBorder="1" applyAlignment="1">
      <alignment horizontal="center" vertical="center"/>
      <protection locked="0" hidden="1"/>
    </xf>
    <xf numFmtId="189" fontId="18" fillId="0" borderId="15" xfId="0" applyNumberFormat="1" applyFont="1" applyFill="1" applyBorder="1" applyAlignment="1">
      <alignment horizontal="right"/>
      <protection locked="0" hidden="1"/>
    </xf>
    <xf numFmtId="164" fontId="5" fillId="0" borderId="0" xfId="22" applyNumberFormat="1" applyFont="1"/>
    <xf numFmtId="166" fontId="50" fillId="0" borderId="1" xfId="26" applyFont="1" applyFill="1" applyBorder="1" applyAlignment="1" applyProtection="1">
      <alignment horizontal="left"/>
    </xf>
    <xf numFmtId="166" fontId="48" fillId="0" borderId="6" xfId="0" applyFont="1" applyFill="1" applyBorder="1" applyAlignment="1">
      <alignment horizontal="center" vertical="center"/>
      <protection locked="0" hidden="1"/>
    </xf>
    <xf numFmtId="0" fontId="122" fillId="0" borderId="7" xfId="0" applyNumberFormat="1" applyFont="1" applyFill="1" applyBorder="1" applyAlignment="1" applyProtection="1">
      <alignment horizontal="right" wrapText="1"/>
    </xf>
    <xf numFmtId="165" fontId="18" fillId="0" borderId="11" xfId="0" applyNumberFormat="1" applyFont="1" applyFill="1" applyBorder="1" applyAlignment="1">
      <alignment horizontal="center"/>
      <protection locked="0" hidden="1"/>
    </xf>
    <xf numFmtId="166" fontId="84" fillId="0" borderId="10" xfId="26" applyFont="1" applyFill="1" applyBorder="1" applyAlignment="1" applyProtection="1"/>
    <xf numFmtId="166" fontId="84" fillId="0" borderId="9" xfId="26" applyFont="1" applyFill="1" applyBorder="1" applyAlignment="1" applyProtection="1"/>
    <xf numFmtId="0" fontId="147" fillId="0" borderId="0" xfId="20" applyFont="1" applyAlignment="1">
      <alignment horizontal="right" readingOrder="2"/>
    </xf>
    <xf numFmtId="0" fontId="18" fillId="0" borderId="12" xfId="22" applyFont="1" applyBorder="1" applyAlignment="1">
      <alignment horizontal="center" vertical="top"/>
    </xf>
    <xf numFmtId="0" fontId="18" fillId="0" borderId="12" xfId="22" applyFont="1" applyBorder="1" applyAlignment="1">
      <alignment horizontal="left" vertical="top"/>
    </xf>
    <xf numFmtId="170" fontId="83" fillId="0" borderId="11" xfId="0" applyNumberFormat="1" applyFont="1" applyFill="1" applyBorder="1" applyAlignment="1">
      <protection locked="0" hidden="1"/>
    </xf>
    <xf numFmtId="1" fontId="35" fillId="0" borderId="12" xfId="0" applyNumberFormat="1" applyFont="1" applyFill="1" applyBorder="1" applyAlignment="1">
      <alignment horizontal="center" vertical="center"/>
      <protection locked="0" hidden="1"/>
    </xf>
    <xf numFmtId="206" fontId="127" fillId="0" borderId="0" xfId="0" applyNumberFormat="1" applyFont="1" applyFill="1" applyAlignment="1" applyProtection="1">
      <alignment vertical="center"/>
    </xf>
    <xf numFmtId="0" fontId="6" fillId="0" borderId="4" xfId="22" applyFont="1" applyBorder="1"/>
    <xf numFmtId="165" fontId="16" fillId="0" borderId="11" xfId="0" applyNumberFormat="1" applyFont="1" applyFill="1" applyBorder="1" applyAlignment="1" applyProtection="1">
      <alignment horizontal="right" indent="1"/>
    </xf>
    <xf numFmtId="165" fontId="48" fillId="0" borderId="11" xfId="0" applyNumberFormat="1" applyFont="1" applyFill="1" applyBorder="1" applyAlignment="1" applyProtection="1">
      <alignment horizontal="right" indent="1"/>
    </xf>
    <xf numFmtId="165" fontId="16" fillId="0" borderId="11" xfId="0" applyNumberFormat="1" applyFont="1" applyFill="1" applyBorder="1" applyAlignment="1" applyProtection="1">
      <alignment horizontal="right" indent="2"/>
    </xf>
    <xf numFmtId="165" fontId="48" fillId="0" borderId="11" xfId="0" applyNumberFormat="1" applyFont="1" applyFill="1" applyBorder="1" applyAlignment="1" applyProtection="1">
      <alignment horizontal="right" indent="2"/>
    </xf>
    <xf numFmtId="165" fontId="48" fillId="0" borderId="9" xfId="0" applyNumberFormat="1" applyFont="1" applyFill="1" applyBorder="1" applyAlignment="1" applyProtection="1">
      <alignment horizontal="right" indent="1"/>
    </xf>
    <xf numFmtId="166" fontId="43" fillId="0" borderId="0" xfId="26" applyFont="1" applyFill="1" applyAlignment="1" applyProtection="1">
      <alignment horizontal="right" vertical="center"/>
    </xf>
    <xf numFmtId="166" fontId="43" fillId="0" borderId="0" xfId="26" applyFont="1" applyFill="1" applyAlignment="1" applyProtection="1">
      <alignment horizontal="left" vertical="center"/>
    </xf>
    <xf numFmtId="224" fontId="43" fillId="0" borderId="0" xfId="2" applyNumberFormat="1" applyFont="1" applyFill="1" applyBorder="1" applyAlignment="1" applyProtection="1"/>
    <xf numFmtId="166" fontId="50" fillId="0" borderId="0" xfId="0" applyFont="1" applyFill="1" applyAlignment="1" applyProtection="1">
      <alignment horizontal="left"/>
    </xf>
    <xf numFmtId="166" fontId="5" fillId="0" borderId="0" xfId="26" applyFill="1" applyAlignment="1" applyProtection="1">
      <alignment vertical="center"/>
    </xf>
    <xf numFmtId="166" fontId="5" fillId="0" borderId="7" xfId="26" applyFill="1" applyBorder="1" applyAlignment="1" applyProtection="1">
      <alignment vertical="center"/>
    </xf>
    <xf numFmtId="166" fontId="50" fillId="0" borderId="4" xfId="26" applyFont="1" applyFill="1" applyBorder="1" applyAlignment="1" applyProtection="1">
      <alignment horizontal="left"/>
    </xf>
    <xf numFmtId="166" fontId="50" fillId="0" borderId="10" xfId="26" applyFont="1" applyFill="1" applyBorder="1" applyAlignment="1" applyProtection="1">
      <alignment horizontal="left"/>
    </xf>
    <xf numFmtId="166" fontId="43" fillId="0" borderId="0" xfId="26" applyFont="1" applyFill="1" applyAlignment="1" applyProtection="1">
      <alignment horizontal="center" vertical="center"/>
    </xf>
    <xf numFmtId="166" fontId="48" fillId="0" borderId="8" xfId="26" applyFont="1" applyFill="1" applyBorder="1" applyAlignment="1" applyProtection="1">
      <alignment horizontal="center" vertical="center" wrapText="1"/>
    </xf>
    <xf numFmtId="0" fontId="8" fillId="0" borderId="0" xfId="26" applyNumberFormat="1" applyFont="1" applyFill="1" applyAlignment="1" applyProtection="1">
      <alignment horizontal="left"/>
    </xf>
    <xf numFmtId="0" fontId="48" fillId="0" borderId="0" xfId="26" applyNumberFormat="1" applyFont="1" applyFill="1" applyAlignment="1" applyProtection="1">
      <alignment horizontal="centerContinuous"/>
    </xf>
    <xf numFmtId="0" fontId="70" fillId="0" borderId="0" xfId="22" applyFont="1" applyAlignment="1">
      <alignment horizontal="centerContinuous"/>
    </xf>
    <xf numFmtId="0" fontId="14" fillId="0" borderId="0" xfId="26" applyNumberFormat="1" applyFont="1" applyFill="1" applyAlignment="1" applyProtection="1">
      <alignment horizontal="centerContinuous" readingOrder="2"/>
    </xf>
    <xf numFmtId="0" fontId="12" fillId="0" borderId="0" xfId="26" applyNumberFormat="1" applyFont="1" applyFill="1" applyAlignment="1" applyProtection="1">
      <alignment horizontal="centerContinuous"/>
    </xf>
    <xf numFmtId="0" fontId="107" fillId="0" borderId="10" xfId="0" applyNumberFormat="1" applyFont="1" applyFill="1" applyBorder="1" applyAlignment="1" applyProtection="1">
      <alignment horizontal="centerContinuous" vertical="top"/>
    </xf>
    <xf numFmtId="0" fontId="107" fillId="0" borderId="10" xfId="0" applyNumberFormat="1" applyFont="1" applyFill="1" applyBorder="1" applyAlignment="1" applyProtection="1">
      <alignment horizontal="center" vertical="top"/>
    </xf>
    <xf numFmtId="0" fontId="107" fillId="0" borderId="10" xfId="0" applyNumberFormat="1" applyFont="1" applyFill="1" applyBorder="1" applyAlignment="1" applyProtection="1">
      <alignment horizontal="center" vertical="top" wrapText="1"/>
    </xf>
    <xf numFmtId="0" fontId="2" fillId="0" borderId="0" xfId="29"/>
    <xf numFmtId="225" fontId="0" fillId="0" borderId="0" xfId="30" applyNumberFormat="1" applyFont="1"/>
    <xf numFmtId="0" fontId="148" fillId="0" borderId="23" xfId="29" applyFont="1" applyBorder="1" applyAlignment="1">
      <alignment horizontal="center" vertical="center" wrapText="1" readingOrder="1"/>
    </xf>
    <xf numFmtId="0" fontId="48" fillId="0" borderId="23" xfId="29" applyFont="1" applyBorder="1" applyAlignment="1">
      <alignment horizontal="left" vertical="center" wrapText="1" readingOrder="1"/>
    </xf>
    <xf numFmtId="0" fontId="16" fillId="0" borderId="23" xfId="29" applyFont="1" applyBorder="1" applyAlignment="1">
      <alignment horizontal="left" vertical="center" wrapText="1" indent="1"/>
    </xf>
    <xf numFmtId="0" fontId="16" fillId="0" borderId="23" xfId="29" applyFont="1" applyBorder="1" applyAlignment="1">
      <alignment horizontal="left" vertical="center" wrapText="1" indent="3"/>
    </xf>
    <xf numFmtId="0" fontId="48" fillId="0" borderId="23" xfId="29" applyFont="1" applyBorder="1" applyAlignment="1">
      <alignment horizontal="right" vertical="center" wrapText="1" readingOrder="2"/>
    </xf>
    <xf numFmtId="0" fontId="16" fillId="0" borderId="23" xfId="29" applyFont="1" applyBorder="1" applyAlignment="1">
      <alignment horizontal="right" vertical="center" wrapText="1" indent="1" readingOrder="2"/>
    </xf>
    <xf numFmtId="0" fontId="16" fillId="0" borderId="8" xfId="29" applyFont="1" applyBorder="1" applyAlignment="1">
      <alignment horizontal="right" vertical="center" wrapText="1" indent="3" readingOrder="2"/>
    </xf>
    <xf numFmtId="0" fontId="16" fillId="0" borderId="23" xfId="29" applyFont="1" applyBorder="1" applyAlignment="1">
      <alignment horizontal="right" vertical="center" wrapText="1" indent="3" readingOrder="2"/>
    </xf>
    <xf numFmtId="0" fontId="85" fillId="0" borderId="0" xfId="29" applyFont="1" applyAlignment="1">
      <alignment horizontal="left" vertical="center"/>
    </xf>
    <xf numFmtId="0" fontId="150" fillId="0" borderId="23" xfId="29" applyFont="1" applyBorder="1" applyAlignment="1">
      <alignment horizontal="right" wrapText="1"/>
    </xf>
    <xf numFmtId="0" fontId="149" fillId="0" borderId="23" xfId="29" applyFont="1" applyBorder="1" applyAlignment="1">
      <alignment horizontal="right" wrapText="1"/>
    </xf>
    <xf numFmtId="166" fontId="48" fillId="0" borderId="11" xfId="26" applyFont="1" applyFill="1" applyBorder="1" applyAlignment="1" applyProtection="1">
      <alignment horizontal="center" vertical="center" wrapText="1"/>
    </xf>
    <xf numFmtId="166" fontId="48" fillId="0" borderId="2" xfId="26" applyFont="1" applyFill="1" applyBorder="1" applyAlignment="1" applyProtection="1">
      <alignment horizontal="centerContinuous" vertical="center" wrapText="1"/>
    </xf>
    <xf numFmtId="166" fontId="48" fillId="0" borderId="6" xfId="26" applyFont="1" applyFill="1" applyBorder="1" applyAlignment="1" applyProtection="1">
      <alignment horizontal="centerContinuous" vertical="center" wrapText="1"/>
    </xf>
    <xf numFmtId="1" fontId="35" fillId="0" borderId="6" xfId="0" applyNumberFormat="1" applyFont="1" applyFill="1" applyBorder="1" applyAlignment="1">
      <alignment horizontal="centerContinuous" vertical="center"/>
      <protection locked="0" hidden="1"/>
    </xf>
    <xf numFmtId="0" fontId="80" fillId="0" borderId="0" xfId="26" applyNumberFormat="1" applyFont="1" applyFill="1" applyAlignment="1" applyProtection="1">
      <alignment horizontal="center"/>
    </xf>
    <xf numFmtId="166" fontId="50" fillId="0" borderId="7" xfId="0" applyFont="1" applyFill="1" applyBorder="1" applyAlignment="1" applyProtection="1">
      <alignment horizontal="left"/>
    </xf>
    <xf numFmtId="224" fontId="43" fillId="0" borderId="7" xfId="2" applyNumberFormat="1" applyFont="1" applyFill="1" applyBorder="1" applyAlignment="1" applyProtection="1"/>
    <xf numFmtId="0" fontId="43" fillId="0" borderId="7" xfId="2" applyNumberFormat="1" applyFont="1" applyFill="1" applyBorder="1" applyAlignment="1" applyProtection="1">
      <alignment horizontal="right" readingOrder="2"/>
    </xf>
    <xf numFmtId="165" fontId="82" fillId="0" borderId="11" xfId="0" applyNumberFormat="1" applyFont="1" applyFill="1" applyBorder="1" applyAlignment="1" applyProtection="1">
      <alignment horizontal="right" indent="1"/>
    </xf>
    <xf numFmtId="177" fontId="79" fillId="0" borderId="4" xfId="0" applyNumberFormat="1" applyFont="1" applyFill="1" applyBorder="1" applyAlignment="1">
      <alignment horizontal="right"/>
      <protection locked="0" hidden="1"/>
    </xf>
    <xf numFmtId="171" fontId="79" fillId="0" borderId="4" xfId="0" applyNumberFormat="1" applyFont="1" applyFill="1" applyBorder="1" applyAlignment="1">
      <alignment horizontal="right"/>
      <protection locked="0" hidden="1"/>
    </xf>
    <xf numFmtId="187" fontId="79" fillId="0" borderId="4" xfId="0" applyNumberFormat="1" applyFont="1" applyFill="1" applyBorder="1" applyAlignment="1">
      <alignment horizontal="right"/>
      <protection locked="0" hidden="1"/>
    </xf>
    <xf numFmtId="220" fontId="79" fillId="0" borderId="4" xfId="0" applyNumberFormat="1" applyFont="1" applyFill="1" applyBorder="1" applyAlignment="1">
      <alignment horizontal="right"/>
      <protection locked="0" hidden="1"/>
    </xf>
    <xf numFmtId="221" fontId="79" fillId="0" borderId="4" xfId="0" applyNumberFormat="1" applyFont="1" applyFill="1" applyBorder="1" applyAlignment="1">
      <alignment horizontal="right"/>
      <protection locked="0" hidden="1"/>
    </xf>
    <xf numFmtId="223" fontId="79" fillId="0" borderId="4" xfId="0" applyNumberFormat="1" applyFont="1" applyFill="1" applyBorder="1" applyAlignment="1">
      <alignment horizontal="right"/>
      <protection locked="0" hidden="1"/>
    </xf>
    <xf numFmtId="208" fontId="79" fillId="0" borderId="4" xfId="0" applyNumberFormat="1" applyFont="1" applyFill="1" applyBorder="1" applyAlignment="1">
      <alignment horizontal="right"/>
      <protection locked="0" hidden="1"/>
    </xf>
    <xf numFmtId="222" fontId="79" fillId="0" borderId="8" xfId="0" applyNumberFormat="1" applyFont="1" applyFill="1" applyBorder="1" applyAlignment="1">
      <alignment horizontal="right"/>
      <protection locked="0" hidden="1"/>
    </xf>
    <xf numFmtId="226" fontId="18" fillId="0" borderId="0" xfId="0" applyNumberFormat="1" applyFont="1" applyFill="1" applyAlignment="1">
      <protection locked="0" hidden="1"/>
    </xf>
    <xf numFmtId="171" fontId="79" fillId="0" borderId="1" xfId="0" applyNumberFormat="1" applyFont="1" applyFill="1" applyBorder="1" applyAlignment="1">
      <alignment horizontal="right"/>
      <protection locked="0" hidden="1"/>
    </xf>
    <xf numFmtId="187" fontId="79" fillId="0" borderId="1" xfId="0" applyNumberFormat="1" applyFont="1" applyFill="1" applyBorder="1" applyAlignment="1">
      <alignment horizontal="right"/>
      <protection locked="0" hidden="1"/>
    </xf>
    <xf numFmtId="220" fontId="79" fillId="0" borderId="1" xfId="0" applyNumberFormat="1" applyFont="1" applyFill="1" applyBorder="1" applyAlignment="1">
      <alignment horizontal="right"/>
      <protection locked="0" hidden="1"/>
    </xf>
    <xf numFmtId="223" fontId="79" fillId="0" borderId="1" xfId="0" applyNumberFormat="1" applyFont="1" applyFill="1" applyBorder="1" applyAlignment="1">
      <alignment horizontal="right"/>
      <protection locked="0" hidden="1"/>
    </xf>
    <xf numFmtId="208" fontId="79" fillId="0" borderId="1" xfId="0" applyNumberFormat="1" applyFont="1" applyFill="1" applyBorder="1" applyAlignment="1">
      <alignment horizontal="right"/>
      <protection locked="0" hidden="1"/>
    </xf>
    <xf numFmtId="224" fontId="48" fillId="0" borderId="8" xfId="2" applyNumberFormat="1" applyFont="1" applyFill="1" applyBorder="1" applyAlignment="1" applyProtection="1"/>
    <xf numFmtId="2" fontId="105" fillId="0" borderId="11" xfId="0" applyNumberFormat="1" applyFont="1" applyFill="1" applyBorder="1" applyAlignment="1">
      <alignment horizontal="right" indent="1"/>
      <protection locked="0" hidden="1"/>
    </xf>
    <xf numFmtId="206" fontId="78" fillId="0" borderId="0" xfId="0" applyNumberFormat="1" applyFont="1" applyFill="1" applyAlignment="1">
      <protection locked="0" hidden="1"/>
    </xf>
    <xf numFmtId="206" fontId="90" fillId="0" borderId="0" xfId="0" applyNumberFormat="1" applyFont="1" applyFill="1" applyAlignment="1" applyProtection="1"/>
    <xf numFmtId="212" fontId="40" fillId="0" borderId="9" xfId="0" applyNumberFormat="1" applyFont="1" applyFill="1" applyBorder="1" applyAlignment="1" applyProtection="1">
      <alignment horizontal="right"/>
    </xf>
    <xf numFmtId="165" fontId="116" fillId="0" borderId="11" xfId="0" applyNumberFormat="1" applyFont="1" applyFill="1" applyBorder="1" applyAlignment="1">
      <alignment horizontal="center"/>
      <protection locked="0" hidden="1"/>
    </xf>
    <xf numFmtId="206" fontId="18" fillId="0" borderId="0" xfId="0" applyNumberFormat="1" applyFont="1" applyFill="1" applyAlignment="1">
      <protection locked="0" hidden="1"/>
    </xf>
    <xf numFmtId="166" fontId="80" fillId="0" borderId="11" xfId="26" applyFont="1" applyFill="1" applyBorder="1" applyAlignment="1" applyProtection="1">
      <alignment horizontal="center" vertical="center" wrapText="1"/>
    </xf>
    <xf numFmtId="166" fontId="80" fillId="0" borderId="1" xfId="26" applyFont="1" applyFill="1" applyBorder="1" applyAlignment="1" applyProtection="1">
      <alignment horizontal="center" vertical="center" wrapText="1"/>
    </xf>
    <xf numFmtId="166" fontId="80" fillId="0" borderId="9" xfId="26" applyFont="1" applyFill="1" applyBorder="1" applyAlignment="1" applyProtection="1">
      <alignment horizontal="center" vertical="center" wrapText="1"/>
    </xf>
    <xf numFmtId="166" fontId="50" fillId="0" borderId="3" xfId="0" applyFont="1" applyFill="1" applyBorder="1" applyAlignment="1">
      <protection locked="0" hidden="1"/>
    </xf>
    <xf numFmtId="179" fontId="22" fillId="0" borderId="8" xfId="0" applyNumberFormat="1" applyFont="1" applyFill="1" applyBorder="1" applyAlignment="1">
      <protection locked="0" hidden="1"/>
    </xf>
    <xf numFmtId="168" fontId="22" fillId="0" borderId="8" xfId="0" applyNumberFormat="1" applyFont="1" applyFill="1" applyBorder="1" applyAlignment="1">
      <protection locked="0" hidden="1"/>
    </xf>
    <xf numFmtId="200" fontId="22" fillId="0" borderId="8" xfId="0" applyNumberFormat="1" applyFont="1" applyFill="1" applyBorder="1" applyAlignment="1">
      <protection locked="0" hidden="1"/>
    </xf>
    <xf numFmtId="172" fontId="22" fillId="0" borderId="3" xfId="0" applyNumberFormat="1" applyFont="1" applyFill="1" applyBorder="1" applyAlignment="1">
      <protection locked="0" hidden="1"/>
    </xf>
    <xf numFmtId="191" fontId="22" fillId="0" borderId="18" xfId="0" applyNumberFormat="1" applyFont="1" applyFill="1" applyBorder="1" applyAlignment="1">
      <protection locked="0" hidden="1"/>
    </xf>
    <xf numFmtId="164" fontId="22" fillId="0" borderId="8" xfId="0" applyNumberFormat="1" applyFont="1" applyFill="1" applyBorder="1" applyAlignment="1">
      <alignment horizontal="center"/>
      <protection locked="0" hidden="1"/>
    </xf>
    <xf numFmtId="195" fontId="22" fillId="0" borderId="8" xfId="0" applyNumberFormat="1" applyFont="1" applyFill="1" applyBorder="1" applyAlignment="1">
      <protection locked="0" hidden="1"/>
    </xf>
    <xf numFmtId="207" fontId="22" fillId="0" borderId="8" xfId="0" applyNumberFormat="1" applyFont="1" applyFill="1" applyBorder="1" applyAlignment="1">
      <protection locked="0" hidden="1"/>
    </xf>
    <xf numFmtId="165" fontId="22" fillId="0" borderId="8" xfId="0" applyNumberFormat="1" applyFont="1" applyFill="1" applyBorder="1" applyAlignment="1">
      <alignment horizontal="right" indent="2"/>
      <protection locked="0" hidden="1"/>
    </xf>
    <xf numFmtId="180" fontId="22" fillId="0" borderId="8" xfId="0" applyNumberFormat="1" applyFont="1" applyFill="1" applyBorder="1" applyAlignment="1">
      <protection locked="0" hidden="1"/>
    </xf>
    <xf numFmtId="171" fontId="22" fillId="0" borderId="8" xfId="0" applyNumberFormat="1" applyFont="1" applyFill="1" applyBorder="1" applyAlignment="1">
      <protection locked="0" hidden="1"/>
    </xf>
    <xf numFmtId="0" fontId="5" fillId="0" borderId="1" xfId="22" applyFont="1" applyBorder="1"/>
    <xf numFmtId="166" fontId="133" fillId="0" borderId="4" xfId="0" applyFont="1" applyFill="1" applyBorder="1" applyAlignment="1">
      <alignment horizontal="left"/>
      <protection locked="0" hidden="1"/>
    </xf>
    <xf numFmtId="3" fontId="8" fillId="0" borderId="8" xfId="22" applyNumberFormat="1" applyFont="1" applyBorder="1" applyAlignment="1">
      <alignment horizontal="right" indent="2" readingOrder="1"/>
    </xf>
    <xf numFmtId="166" fontId="50" fillId="0" borderId="10" xfId="26" applyFont="1" applyFill="1" applyBorder="1" applyAlignment="1" applyProtection="1"/>
    <xf numFmtId="224" fontId="43" fillId="0" borderId="8" xfId="2" applyNumberFormat="1" applyFont="1" applyFill="1" applyBorder="1" applyAlignment="1" applyProtection="1">
      <alignment vertical="center"/>
    </xf>
    <xf numFmtId="217" fontId="43" fillId="0" borderId="8" xfId="2" applyNumberFormat="1" applyFont="1" applyFill="1" applyBorder="1" applyAlignment="1" applyProtection="1">
      <alignment vertical="center"/>
    </xf>
    <xf numFmtId="225" fontId="43" fillId="0" borderId="8" xfId="2" applyNumberFormat="1" applyFont="1" applyFill="1" applyBorder="1" applyAlignment="1" applyProtection="1">
      <alignment horizontal="right" indent="1"/>
    </xf>
    <xf numFmtId="217" fontId="43" fillId="0" borderId="8" xfId="2" applyNumberFormat="1" applyFont="1" applyFill="1" applyBorder="1" applyAlignment="1" applyProtection="1"/>
    <xf numFmtId="166" fontId="50" fillId="0" borderId="4" xfId="26" applyFont="1" applyFill="1" applyBorder="1" applyAlignment="1">
      <alignment horizontal="left"/>
      <protection locked="0" hidden="1"/>
    </xf>
    <xf numFmtId="217" fontId="16" fillId="0" borderId="8" xfId="2" applyNumberFormat="1" applyFont="1" applyBorder="1"/>
    <xf numFmtId="224" fontId="16" fillId="0" borderId="8" xfId="2" applyNumberFormat="1" applyFont="1" applyBorder="1"/>
    <xf numFmtId="166" fontId="48" fillId="0" borderId="4" xfId="0" applyFont="1" applyFill="1" applyBorder="1" applyAlignment="1">
      <alignment horizontal="left"/>
      <protection locked="0" hidden="1"/>
    </xf>
    <xf numFmtId="166" fontId="48" fillId="0" borderId="3" xfId="0" applyFont="1" applyFill="1" applyBorder="1" applyAlignment="1">
      <alignment horizontal="left"/>
      <protection locked="0" hidden="1"/>
    </xf>
    <xf numFmtId="165" fontId="16" fillId="0" borderId="4" xfId="0" applyNumberFormat="1" applyFont="1" applyFill="1" applyBorder="1" applyAlignment="1">
      <alignment horizontal="right"/>
      <protection locked="0" hidden="1"/>
    </xf>
    <xf numFmtId="165" fontId="16" fillId="0" borderId="8" xfId="0" applyNumberFormat="1" applyFont="1" applyFill="1" applyBorder="1" applyAlignment="1">
      <alignment horizontal="right"/>
      <protection locked="0" hidden="1"/>
    </xf>
    <xf numFmtId="165" fontId="16" fillId="0" borderId="18" xfId="0" applyNumberFormat="1" applyFont="1" applyFill="1" applyBorder="1" applyAlignment="1">
      <alignment horizontal="right"/>
      <protection locked="0" hidden="1"/>
    </xf>
    <xf numFmtId="166" fontId="16" fillId="0" borderId="0" xfId="0" applyFont="1" applyFill="1" applyAlignment="1">
      <alignment vertical="top"/>
      <protection locked="0" hidden="1"/>
    </xf>
    <xf numFmtId="166" fontId="50" fillId="0" borderId="3" xfId="0" applyFont="1" applyFill="1" applyBorder="1" applyAlignment="1">
      <alignment horizontal="left"/>
      <protection locked="0" hidden="1"/>
    </xf>
    <xf numFmtId="165" fontId="22" fillId="0" borderId="4" xfId="0" applyNumberFormat="1" applyFont="1" applyFill="1" applyBorder="1" applyAlignment="1">
      <alignment horizontal="right" indent="1"/>
      <protection locked="0" hidden="1"/>
    </xf>
    <xf numFmtId="165" fontId="22" fillId="0" borderId="8" xfId="0" applyNumberFormat="1" applyFont="1" applyFill="1" applyBorder="1" applyAlignment="1">
      <alignment horizontal="right" indent="1"/>
      <protection locked="0" hidden="1"/>
    </xf>
    <xf numFmtId="176" fontId="22" fillId="0" borderId="8" xfId="0" applyNumberFormat="1" applyFont="1" applyFill="1" applyBorder="1" applyAlignment="1">
      <protection locked="0" hidden="1"/>
    </xf>
    <xf numFmtId="202" fontId="22" fillId="0" borderId="8" xfId="0" applyNumberFormat="1" applyFont="1" applyFill="1" applyBorder="1" applyAlignment="1">
      <protection locked="0" hidden="1"/>
    </xf>
    <xf numFmtId="172" fontId="22" fillId="0" borderId="8" xfId="0" applyNumberFormat="1" applyFont="1" applyFill="1" applyBorder="1" applyAlignment="1">
      <protection locked="0" hidden="1"/>
    </xf>
    <xf numFmtId="170" fontId="22" fillId="0" borderId="8" xfId="0" applyNumberFormat="1" applyFont="1" applyFill="1" applyBorder="1" applyAlignment="1">
      <protection locked="0" hidden="1"/>
    </xf>
    <xf numFmtId="177" fontId="22" fillId="0" borderId="8" xfId="0" applyNumberFormat="1" applyFont="1" applyFill="1" applyBorder="1" applyAlignment="1">
      <protection locked="0" hidden="1"/>
    </xf>
    <xf numFmtId="178" fontId="22" fillId="0" borderId="8" xfId="0" applyNumberFormat="1" applyFont="1" applyFill="1" applyBorder="1" applyAlignment="1">
      <protection locked="0" hidden="1"/>
    </xf>
    <xf numFmtId="167" fontId="22" fillId="0" borderId="8" xfId="0" applyNumberFormat="1" applyFont="1" applyFill="1" applyBorder="1" applyAlignment="1">
      <protection locked="0" hidden="1"/>
    </xf>
    <xf numFmtId="183" fontId="22" fillId="0" borderId="8" xfId="0" applyNumberFormat="1" applyFont="1" applyFill="1" applyBorder="1" applyAlignment="1">
      <protection locked="0" hidden="1"/>
    </xf>
    <xf numFmtId="178" fontId="22" fillId="0" borderId="14" xfId="0" applyNumberFormat="1" applyFont="1" applyFill="1" applyBorder="1" applyAlignment="1">
      <protection locked="0" hidden="1"/>
    </xf>
    <xf numFmtId="188" fontId="22" fillId="0" borderId="17" xfId="0" applyNumberFormat="1" applyFont="1" applyFill="1" applyBorder="1" applyAlignment="1">
      <protection locked="0" hidden="1"/>
    </xf>
    <xf numFmtId="170" fontId="22" fillId="0" borderId="8" xfId="0" applyNumberFormat="1" applyFont="1" applyFill="1" applyBorder="1" applyAlignment="1">
      <alignment horizontal="right" indent="1"/>
      <protection locked="0" hidden="1"/>
    </xf>
    <xf numFmtId="216" fontId="22" fillId="0" borderId="10" xfId="0" applyNumberFormat="1" applyFont="1" applyFill="1" applyBorder="1" applyAlignment="1">
      <protection locked="0" hidden="1"/>
    </xf>
    <xf numFmtId="165" fontId="22" fillId="0" borderId="10" xfId="0" applyNumberFormat="1" applyFont="1" applyFill="1" applyBorder="1" applyAlignment="1">
      <alignment horizontal="right" indent="1"/>
      <protection locked="0" hidden="1"/>
    </xf>
    <xf numFmtId="170" fontId="22" fillId="0" borderId="14" xfId="0" applyNumberFormat="1" applyFont="1" applyFill="1" applyBorder="1" applyAlignment="1">
      <alignment horizontal="right" indent="1"/>
      <protection locked="0" hidden="1"/>
    </xf>
    <xf numFmtId="167" fontId="22" fillId="0" borderId="17" xfId="0" applyNumberFormat="1" applyFont="1" applyFill="1" applyBorder="1" applyAlignment="1">
      <protection locked="0" hidden="1"/>
    </xf>
    <xf numFmtId="166" fontId="50" fillId="0" borderId="3" xfId="0" applyFont="1" applyFill="1" applyBorder="1" applyAlignment="1">
      <alignment horizontal="left" vertical="top"/>
      <protection locked="0" hidden="1"/>
    </xf>
    <xf numFmtId="177" fontId="22" fillId="0" borderId="4" xfId="0" applyNumberFormat="1" applyFont="1" applyFill="1" applyBorder="1" applyAlignment="1">
      <alignment horizontal="right" vertical="top"/>
      <protection locked="0" hidden="1"/>
    </xf>
    <xf numFmtId="171" fontId="22" fillId="0" borderId="4" xfId="0" applyNumberFormat="1" applyFont="1" applyFill="1" applyBorder="1" applyAlignment="1">
      <alignment horizontal="right" vertical="top"/>
      <protection locked="0" hidden="1"/>
    </xf>
    <xf numFmtId="187" fontId="22" fillId="0" borderId="4" xfId="0" applyNumberFormat="1" applyFont="1" applyFill="1" applyBorder="1" applyAlignment="1">
      <alignment horizontal="right" vertical="top"/>
      <protection locked="0" hidden="1"/>
    </xf>
    <xf numFmtId="172" fontId="22" fillId="0" borderId="4" xfId="0" applyNumberFormat="1" applyFont="1" applyFill="1" applyBorder="1" applyAlignment="1">
      <alignment horizontal="right" vertical="top"/>
      <protection locked="0" hidden="1"/>
    </xf>
    <xf numFmtId="220" fontId="22" fillId="0" borderId="4" xfId="0" applyNumberFormat="1" applyFont="1" applyFill="1" applyBorder="1" applyAlignment="1">
      <alignment horizontal="right" vertical="top"/>
      <protection locked="0" hidden="1"/>
    </xf>
    <xf numFmtId="221" fontId="22" fillId="0" borderId="4" xfId="0" applyNumberFormat="1" applyFont="1" applyFill="1" applyBorder="1" applyAlignment="1">
      <alignment horizontal="right" vertical="top"/>
      <protection locked="0" hidden="1"/>
    </xf>
    <xf numFmtId="223" fontId="22" fillId="0" borderId="4" xfId="0" applyNumberFormat="1" applyFont="1" applyFill="1" applyBorder="1" applyAlignment="1">
      <alignment horizontal="right" vertical="top"/>
      <protection locked="0" hidden="1"/>
    </xf>
    <xf numFmtId="165" fontId="22" fillId="0" borderId="4" xfId="0" applyNumberFormat="1" applyFont="1" applyFill="1" applyBorder="1" applyAlignment="1">
      <alignment horizontal="right" vertical="top" indent="1"/>
      <protection locked="0" hidden="1"/>
    </xf>
    <xf numFmtId="208" fontId="22" fillId="0" borderId="4" xfId="0" applyNumberFormat="1" applyFont="1" applyFill="1" applyBorder="1" applyAlignment="1">
      <alignment horizontal="right" vertical="top"/>
      <protection locked="0" hidden="1"/>
    </xf>
    <xf numFmtId="222" fontId="22" fillId="0" borderId="8" xfId="0" applyNumberFormat="1" applyFont="1" applyFill="1" applyBorder="1" applyAlignment="1">
      <alignment horizontal="right" vertical="top"/>
      <protection locked="0" hidden="1"/>
    </xf>
    <xf numFmtId="206" fontId="22" fillId="0" borderId="8" xfId="0" applyNumberFormat="1" applyFont="1" applyFill="1" applyBorder="1" applyAlignment="1">
      <alignment horizontal="center"/>
      <protection locked="0" hidden="1"/>
    </xf>
    <xf numFmtId="187" fontId="22" fillId="0" borderId="8" xfId="0" applyNumberFormat="1" applyFont="1" applyFill="1" applyBorder="1" applyAlignment="1">
      <protection locked="0" hidden="1"/>
    </xf>
    <xf numFmtId="176" fontId="22" fillId="0" borderId="8" xfId="0" applyNumberFormat="1" applyFont="1" applyFill="1" applyBorder="1" applyAlignment="1">
      <alignment horizontal="right"/>
      <protection locked="0" hidden="1"/>
    </xf>
    <xf numFmtId="189" fontId="22" fillId="0" borderId="8" xfId="0" applyNumberFormat="1" applyFont="1" applyFill="1" applyBorder="1" applyAlignment="1">
      <alignment horizontal="right"/>
      <protection locked="0" hidden="1"/>
    </xf>
    <xf numFmtId="178" fontId="22" fillId="0" borderId="8" xfId="0" applyNumberFormat="1" applyFont="1" applyFill="1" applyBorder="1" applyAlignment="1">
      <alignment horizontal="right"/>
      <protection locked="0" hidden="1"/>
    </xf>
    <xf numFmtId="166" fontId="22" fillId="0" borderId="0" xfId="0" applyFont="1" applyFill="1" applyAlignment="1">
      <alignment vertical="top"/>
      <protection locked="0" hidden="1"/>
    </xf>
    <xf numFmtId="165" fontId="16" fillId="0" borderId="3" xfId="0" applyNumberFormat="1" applyFont="1" applyFill="1" applyBorder="1" applyAlignment="1">
      <alignment horizontal="right"/>
      <protection locked="0" hidden="1"/>
    </xf>
    <xf numFmtId="209" fontId="21" fillId="0" borderId="4" xfId="0" applyNumberFormat="1" applyFont="1" applyFill="1" applyBorder="1" applyAlignment="1">
      <alignment horizontal="left"/>
      <protection locked="0" hidden="1"/>
    </xf>
    <xf numFmtId="165" fontId="22" fillId="0" borderId="8" xfId="0" applyNumberFormat="1" applyFont="1" applyFill="1" applyBorder="1" applyAlignment="1">
      <alignment horizontal="right" indent="1" readingOrder="1"/>
      <protection locked="0" hidden="1"/>
    </xf>
    <xf numFmtId="167" fontId="22" fillId="0" borderId="4" xfId="0" applyNumberFormat="1" applyFont="1" applyFill="1" applyBorder="1" applyAlignment="1">
      <alignment horizontal="right"/>
      <protection locked="0" hidden="1"/>
    </xf>
    <xf numFmtId="167" fontId="22" fillId="0" borderId="8" xfId="0" applyNumberFormat="1" applyFont="1" applyFill="1" applyBorder="1" applyAlignment="1">
      <alignment horizontal="right"/>
      <protection locked="0" hidden="1"/>
    </xf>
    <xf numFmtId="167" fontId="22" fillId="0" borderId="3" xfId="0" applyNumberFormat="1" applyFont="1" applyFill="1" applyBorder="1" applyAlignment="1">
      <alignment horizontal="right"/>
      <protection locked="0" hidden="1"/>
    </xf>
    <xf numFmtId="185" fontId="22" fillId="0" borderId="8" xfId="0" applyNumberFormat="1" applyFont="1" applyFill="1" applyBorder="1" applyAlignment="1">
      <alignment horizontal="right"/>
      <protection locked="0" hidden="1"/>
    </xf>
    <xf numFmtId="179" fontId="22" fillId="0" borderId="8" xfId="0" applyNumberFormat="1" applyFont="1" applyFill="1" applyBorder="1" applyAlignment="1">
      <alignment horizontal="right"/>
      <protection locked="0" hidden="1"/>
    </xf>
    <xf numFmtId="179" fontId="22" fillId="0" borderId="10" xfId="0" applyNumberFormat="1" applyFont="1" applyFill="1" applyBorder="1" applyAlignment="1">
      <alignment horizontal="right"/>
      <protection locked="0" hidden="1"/>
    </xf>
    <xf numFmtId="172" fontId="22" fillId="0" borderId="4" xfId="0" applyNumberFormat="1" applyFont="1" applyFill="1" applyBorder="1" applyAlignment="1">
      <alignment horizontal="right"/>
      <protection locked="0" hidden="1"/>
    </xf>
    <xf numFmtId="188" fontId="22" fillId="0" borderId="8" xfId="0" applyNumberFormat="1" applyFont="1" applyFill="1" applyBorder="1" applyAlignment="1">
      <alignment horizontal="right"/>
      <protection locked="0" hidden="1"/>
    </xf>
    <xf numFmtId="172" fontId="22" fillId="0" borderId="8" xfId="0" applyNumberFormat="1" applyFont="1" applyFill="1" applyBorder="1" applyAlignment="1">
      <alignment horizontal="right"/>
      <protection locked="0" hidden="1"/>
    </xf>
    <xf numFmtId="172" fontId="22" fillId="0" borderId="3" xfId="0" applyNumberFormat="1" applyFont="1" applyFill="1" applyBorder="1" applyAlignment="1">
      <alignment horizontal="right"/>
      <protection locked="0" hidden="1"/>
    </xf>
    <xf numFmtId="187" fontId="22" fillId="0" borderId="3" xfId="0" applyNumberFormat="1" applyFont="1" applyFill="1" applyBorder="1" applyAlignment="1">
      <alignment horizontal="right"/>
      <protection locked="0" hidden="1"/>
    </xf>
    <xf numFmtId="171" fontId="22" fillId="0" borderId="8" xfId="0" applyNumberFormat="1" applyFont="1" applyFill="1" applyBorder="1" applyAlignment="1">
      <alignment horizontal="right"/>
      <protection locked="0" hidden="1"/>
    </xf>
    <xf numFmtId="185" fontId="22" fillId="0" borderId="4" xfId="0" applyNumberFormat="1" applyFont="1" applyFill="1" applyBorder="1" applyAlignment="1">
      <alignment horizontal="right"/>
      <protection locked="0" hidden="1"/>
    </xf>
    <xf numFmtId="184" fontId="22" fillId="0" borderId="8" xfId="0" applyNumberFormat="1" applyFont="1" applyFill="1" applyBorder="1" applyAlignment="1">
      <alignment horizontal="right"/>
      <protection locked="0" hidden="1"/>
    </xf>
    <xf numFmtId="165" fontId="22" fillId="0" borderId="1" xfId="0" applyNumberFormat="1" applyFont="1" applyFill="1" applyBorder="1" applyAlignment="1">
      <protection locked="0" hidden="1"/>
    </xf>
    <xf numFmtId="166" fontId="133" fillId="0" borderId="3" xfId="0" applyFont="1" applyFill="1" applyBorder="1" applyAlignment="1">
      <alignment horizontal="left"/>
      <protection locked="0" hidden="1"/>
    </xf>
    <xf numFmtId="165" fontId="5" fillId="0" borderId="8" xfId="0" applyNumberFormat="1" applyFont="1" applyFill="1" applyBorder="1" applyAlignment="1">
      <alignment horizontal="right" indent="2"/>
      <protection locked="0" hidden="1"/>
    </xf>
    <xf numFmtId="205" fontId="5" fillId="0" borderId="8" xfId="0" applyNumberFormat="1" applyFont="1" applyFill="1" applyBorder="1" applyAlignment="1">
      <alignment horizontal="right" indent="2"/>
      <protection locked="0" hidden="1"/>
    </xf>
    <xf numFmtId="182" fontId="22" fillId="0" borderId="4" xfId="0" applyNumberFormat="1" applyFont="1" applyFill="1" applyBorder="1" applyAlignment="1">
      <protection locked="0" hidden="1"/>
    </xf>
    <xf numFmtId="214" fontId="22" fillId="0" borderId="8" xfId="0" applyNumberFormat="1" applyFont="1" applyFill="1" applyBorder="1" applyAlignment="1">
      <protection locked="0" hidden="1"/>
    </xf>
    <xf numFmtId="169" fontId="22" fillId="0" borderId="3" xfId="0" applyNumberFormat="1" applyFont="1" applyFill="1" applyBorder="1" applyAlignment="1">
      <protection locked="0" hidden="1"/>
    </xf>
    <xf numFmtId="181" fontId="22" fillId="0" borderId="8" xfId="0" applyNumberFormat="1" applyFont="1" applyFill="1" applyBorder="1" applyAlignment="1">
      <protection locked="0" hidden="1"/>
    </xf>
    <xf numFmtId="184" fontId="22" fillId="0" borderId="8" xfId="0" applyNumberFormat="1" applyFont="1" applyFill="1" applyBorder="1" applyAlignment="1">
      <protection locked="0" hidden="1"/>
    </xf>
    <xf numFmtId="187" fontId="22" fillId="0" borderId="42" xfId="0" applyNumberFormat="1" applyFont="1" applyFill="1" applyBorder="1" applyAlignment="1">
      <protection locked="0" hidden="1"/>
    </xf>
    <xf numFmtId="213" fontId="22" fillId="0" borderId="10" xfId="0" applyNumberFormat="1" applyFont="1" applyFill="1" applyBorder="1" applyAlignment="1">
      <protection locked="0" hidden="1"/>
    </xf>
    <xf numFmtId="172" fontId="22" fillId="0" borderId="4" xfId="0" applyNumberFormat="1" applyFont="1" applyFill="1" applyBorder="1" applyAlignment="1">
      <protection locked="0" hidden="1"/>
    </xf>
    <xf numFmtId="204" fontId="22" fillId="0" borderId="8" xfId="0" applyNumberFormat="1" applyFont="1" applyFill="1" applyBorder="1" applyAlignment="1">
      <protection locked="0" hidden="1"/>
    </xf>
    <xf numFmtId="185" fontId="22" fillId="0" borderId="8" xfId="0" applyNumberFormat="1" applyFont="1" applyFill="1" applyBorder="1" applyAlignment="1">
      <protection locked="0" hidden="1"/>
    </xf>
    <xf numFmtId="215" fontId="22" fillId="0" borderId="8" xfId="0" applyNumberFormat="1" applyFont="1" applyFill="1" applyBorder="1" applyAlignment="1">
      <protection locked="0" hidden="1"/>
    </xf>
    <xf numFmtId="167" fontId="22" fillId="0" borderId="42" xfId="0" applyNumberFormat="1" applyFont="1" applyFill="1" applyBorder="1" applyAlignment="1">
      <protection locked="0" hidden="1"/>
    </xf>
    <xf numFmtId="203" fontId="22" fillId="0" borderId="10" xfId="0" applyNumberFormat="1" applyFont="1" applyFill="1" applyBorder="1" applyAlignment="1">
      <protection locked="0" hidden="1"/>
    </xf>
    <xf numFmtId="165" fontId="22" fillId="0" borderId="1" xfId="0" applyNumberFormat="1" applyFont="1" applyFill="1" applyBorder="1" applyAlignment="1">
      <alignment horizontal="right"/>
      <protection locked="0" hidden="1"/>
    </xf>
    <xf numFmtId="189" fontId="22" fillId="0" borderId="4" xfId="0" applyNumberFormat="1" applyFont="1" applyFill="1" applyBorder="1" applyAlignment="1">
      <alignment horizontal="right"/>
      <protection locked="0" hidden="1"/>
    </xf>
    <xf numFmtId="169" fontId="22" fillId="0" borderId="8" xfId="0" applyNumberFormat="1" applyFont="1" applyFill="1" applyBorder="1" applyAlignment="1">
      <alignment horizontal="right"/>
      <protection locked="0" hidden="1"/>
    </xf>
    <xf numFmtId="208" fontId="22" fillId="0" borderId="18" xfId="0" applyNumberFormat="1" applyFont="1" applyFill="1" applyBorder="1" applyAlignment="1">
      <alignment horizontal="right"/>
      <protection locked="0" hidden="1"/>
    </xf>
    <xf numFmtId="208" fontId="22" fillId="0" borderId="10" xfId="0" applyNumberFormat="1" applyFont="1" applyFill="1" applyBorder="1" applyAlignment="1">
      <alignment horizontal="right"/>
      <protection locked="0" hidden="1"/>
    </xf>
    <xf numFmtId="165" fontId="22" fillId="0" borderId="0" xfId="0" applyNumberFormat="1" applyFont="1" applyFill="1" applyAlignment="1">
      <alignment horizontal="right"/>
      <protection locked="0" hidden="1"/>
    </xf>
    <xf numFmtId="166" fontId="12" fillId="0" borderId="4" xfId="0" applyFont="1" applyFill="1" applyBorder="1" applyAlignment="1">
      <alignment horizontal="left"/>
      <protection locked="0" hidden="1"/>
    </xf>
    <xf numFmtId="166" fontId="12" fillId="0" borderId="3" xfId="0" applyFont="1" applyFill="1" applyBorder="1" applyAlignment="1">
      <alignment horizontal="left"/>
      <protection locked="0" hidden="1"/>
    </xf>
    <xf numFmtId="164" fontId="16" fillId="0" borderId="8" xfId="0" applyNumberFormat="1" applyFont="1" applyFill="1" applyBorder="1" applyAlignment="1">
      <alignment horizontal="right" indent="1" readingOrder="1"/>
      <protection locked="0" hidden="1"/>
    </xf>
    <xf numFmtId="165" fontId="16" fillId="0" borderId="8" xfId="0" applyNumberFormat="1" applyFont="1" applyFill="1" applyBorder="1" applyAlignment="1">
      <alignment horizontal="right" indent="1"/>
      <protection locked="0" hidden="1"/>
    </xf>
    <xf numFmtId="165" fontId="16" fillId="0" borderId="8" xfId="0" applyNumberFormat="1" applyFont="1" applyFill="1" applyBorder="1" applyAlignment="1">
      <alignment horizontal="right" indent="1" readingOrder="1"/>
      <protection locked="0" hidden="1"/>
    </xf>
    <xf numFmtId="2" fontId="6" fillId="0" borderId="8" xfId="18" applyNumberFormat="1" applyFont="1" applyFill="1" applyBorder="1" applyAlignment="1">
      <alignment horizontal="center"/>
      <protection locked="0" hidden="1"/>
    </xf>
    <xf numFmtId="2" fontId="6" fillId="0" borderId="8" xfId="18" applyNumberFormat="1" applyFont="1" applyFill="1" applyBorder="1" applyAlignment="1">
      <alignment horizontal="right" indent="1"/>
      <protection locked="0" hidden="1"/>
    </xf>
    <xf numFmtId="2" fontId="6" fillId="0" borderId="8" xfId="18" applyNumberFormat="1" applyFont="1" applyFill="1" applyBorder="1" applyAlignment="1">
      <alignment horizontal="right" indent="3"/>
      <protection locked="0" hidden="1"/>
    </xf>
    <xf numFmtId="2" fontId="6" fillId="0" borderId="8" xfId="18" applyNumberFormat="1" applyFont="1" applyFill="1" applyBorder="1" applyAlignment="1">
      <alignment horizontal="right" indent="2"/>
      <protection locked="0" hidden="1"/>
    </xf>
    <xf numFmtId="218" fontId="22" fillId="0" borderId="8" xfId="0" applyNumberFormat="1" applyFont="1" applyFill="1" applyBorder="1" applyAlignment="1">
      <alignment horizontal="right" indent="2"/>
      <protection locked="0" hidden="1"/>
    </xf>
    <xf numFmtId="210" fontId="22" fillId="0" borderId="8" xfId="0" applyNumberFormat="1" applyFont="1" applyFill="1" applyBorder="1" applyAlignment="1">
      <alignment horizontal="right" indent="2"/>
      <protection locked="0" hidden="1"/>
    </xf>
    <xf numFmtId="196" fontId="22" fillId="0" borderId="8" xfId="0" applyNumberFormat="1" applyFont="1" applyFill="1" applyBorder="1" applyAlignment="1">
      <alignment horizontal="right"/>
      <protection locked="0" hidden="1"/>
    </xf>
    <xf numFmtId="190" fontId="22" fillId="0" borderId="8" xfId="0" applyNumberFormat="1" applyFont="1" applyFill="1" applyBorder="1" applyAlignment="1">
      <protection locked="0" hidden="1"/>
    </xf>
    <xf numFmtId="182" fontId="22" fillId="0" borderId="8" xfId="0" applyNumberFormat="1" applyFont="1" applyFill="1" applyBorder="1" applyAlignment="1">
      <protection locked="0" hidden="1"/>
    </xf>
    <xf numFmtId="175" fontId="22" fillId="0" borderId="8" xfId="0" applyNumberFormat="1" applyFont="1" applyFill="1" applyBorder="1" applyAlignment="1">
      <protection locked="0" hidden="1"/>
    </xf>
    <xf numFmtId="181" fontId="22" fillId="0" borderId="10" xfId="0" applyNumberFormat="1" applyFont="1" applyFill="1" applyBorder="1" applyAlignment="1">
      <protection locked="0" hidden="1"/>
    </xf>
    <xf numFmtId="206" fontId="5" fillId="0" borderId="0" xfId="0" applyNumberFormat="1" applyFont="1" applyFill="1" applyAlignment="1">
      <protection locked="0" hidden="1"/>
    </xf>
    <xf numFmtId="166" fontId="50" fillId="0" borderId="0" xfId="31" applyNumberFormat="1" applyFont="1" applyAlignment="1" applyProtection="1">
      <alignment horizontal="left"/>
      <protection locked="0" hidden="1"/>
    </xf>
    <xf numFmtId="227" fontId="79" fillId="0" borderId="0" xfId="0" applyNumberFormat="1" applyFont="1" applyFill="1" applyAlignment="1">
      <protection locked="0" hidden="1"/>
    </xf>
    <xf numFmtId="227" fontId="79" fillId="0" borderId="11" xfId="0" applyNumberFormat="1" applyFont="1" applyFill="1" applyBorder="1" applyAlignment="1">
      <alignment horizontal="right" indent="2"/>
      <protection locked="0" hidden="1"/>
    </xf>
    <xf numFmtId="227" fontId="18" fillId="0" borderId="11" xfId="0" applyNumberFormat="1" applyFont="1" applyFill="1" applyBorder="1" applyAlignment="1">
      <alignment horizontal="right" indent="2"/>
      <protection locked="0" hidden="1"/>
    </xf>
    <xf numFmtId="227" fontId="18" fillId="0" borderId="11" xfId="0" applyNumberFormat="1" applyFont="1" applyFill="1" applyBorder="1" applyAlignment="1">
      <alignment horizontal="right" vertical="top" indent="2"/>
      <protection locked="0" hidden="1"/>
    </xf>
    <xf numFmtId="0" fontId="16" fillId="0" borderId="8" xfId="29" applyFont="1" applyBorder="1" applyAlignment="1">
      <alignment horizontal="left" vertical="center" wrapText="1" indent="1"/>
    </xf>
    <xf numFmtId="224" fontId="16" fillId="0" borderId="11" xfId="2" applyNumberFormat="1" applyFont="1" applyFill="1" applyBorder="1" applyAlignment="1" applyProtection="1"/>
    <xf numFmtId="0" fontId="107" fillId="0" borderId="4" xfId="0" applyNumberFormat="1" applyFont="1" applyFill="1" applyBorder="1" applyAlignment="1" applyProtection="1">
      <alignment horizontal="centerContinuous" vertical="top"/>
    </xf>
    <xf numFmtId="217" fontId="134" fillId="0" borderId="11" xfId="2" applyNumberFormat="1" applyFont="1" applyFill="1" applyBorder="1" applyAlignment="1" applyProtection="1"/>
    <xf numFmtId="217" fontId="43" fillId="0" borderId="11" xfId="2" applyNumberFormat="1" applyFont="1" applyFill="1" applyBorder="1" applyAlignment="1" applyProtection="1"/>
    <xf numFmtId="224" fontId="105" fillId="0" borderId="11" xfId="2" applyNumberFormat="1" applyFont="1" applyBorder="1"/>
    <xf numFmtId="216" fontId="79" fillId="0" borderId="11" xfId="0" applyNumberFormat="1" applyFont="1" applyFill="1" applyBorder="1" applyAlignment="1">
      <protection locked="0" hidden="1"/>
    </xf>
    <xf numFmtId="164" fontId="85" fillId="0" borderId="1" xfId="22" applyNumberFormat="1" applyFont="1" applyBorder="1"/>
    <xf numFmtId="2" fontId="80" fillId="0" borderId="11" xfId="0" applyNumberFormat="1" applyFont="1" applyFill="1" applyBorder="1" applyAlignment="1">
      <alignment horizontal="right" indent="1"/>
      <protection locked="0" hidden="1"/>
    </xf>
    <xf numFmtId="182" fontId="116" fillId="0" borderId="11" xfId="0" applyNumberFormat="1" applyFont="1" applyFill="1" applyBorder="1" applyAlignment="1">
      <protection locked="0" hidden="1"/>
    </xf>
    <xf numFmtId="219" fontId="85" fillId="0" borderId="7" xfId="0" applyNumberFormat="1" applyFont="1" applyFill="1" applyBorder="1" applyAlignment="1" applyProtection="1"/>
    <xf numFmtId="224" fontId="81" fillId="0" borderId="0" xfId="34" applyNumberFormat="1" applyFont="1" applyFill="1" applyAlignment="1" applyProtection="1">
      <alignment vertical="center"/>
    </xf>
    <xf numFmtId="0" fontId="107" fillId="0" borderId="0" xfId="26" applyNumberFormat="1" applyFont="1" applyFill="1" applyAlignment="1" applyProtection="1">
      <alignment horizontal="center"/>
    </xf>
    <xf numFmtId="166" fontId="105" fillId="0" borderId="0" xfId="26" applyFont="1" applyFill="1" applyAlignment="1" applyProtection="1">
      <alignment vertical="center"/>
    </xf>
    <xf numFmtId="166" fontId="105" fillId="0" borderId="0" xfId="26" applyFont="1" applyFill="1" applyAlignment="1" applyProtection="1">
      <alignment horizontal="center" vertical="center"/>
    </xf>
    <xf numFmtId="166" fontId="107" fillId="0" borderId="0" xfId="26" applyFont="1" applyFill="1" applyAlignment="1" applyProtection="1">
      <alignment vertical="center"/>
    </xf>
    <xf numFmtId="166" fontId="107" fillId="0" borderId="0" xfId="26" applyFont="1" applyFill="1" applyAlignment="1" applyProtection="1"/>
    <xf numFmtId="166" fontId="105" fillId="0" borderId="0" xfId="26" applyFont="1" applyFill="1" applyAlignment="1" applyProtection="1">
      <alignment horizontal="right" vertical="center"/>
    </xf>
    <xf numFmtId="0" fontId="107" fillId="0" borderId="0" xfId="26" applyNumberFormat="1" applyFont="1" applyFill="1" applyAlignment="1" applyProtection="1">
      <alignment horizontal="centerContinuous" readingOrder="2"/>
    </xf>
    <xf numFmtId="166" fontId="107" fillId="0" borderId="12" xfId="26" applyFont="1" applyFill="1" applyBorder="1" applyAlignment="1" applyProtection="1">
      <alignment horizontal="center" vertical="center" wrapText="1"/>
    </xf>
    <xf numFmtId="166" fontId="107" fillId="0" borderId="12" xfId="26" applyFont="1" applyFill="1" applyBorder="1" applyAlignment="1" applyProtection="1">
      <alignment horizontal="centerContinuous" vertical="center" wrapText="1"/>
    </xf>
    <xf numFmtId="166" fontId="107" fillId="0" borderId="8" xfId="26" applyFont="1" applyFill="1" applyBorder="1" applyAlignment="1" applyProtection="1">
      <alignment horizontal="center" vertical="center" wrapText="1"/>
    </xf>
    <xf numFmtId="224" fontId="105" fillId="0" borderId="0" xfId="34" applyNumberFormat="1" applyFont="1" applyFill="1" applyAlignment="1" applyProtection="1">
      <alignment vertical="center"/>
    </xf>
    <xf numFmtId="166" fontId="77" fillId="0" borderId="4" xfId="26" applyFont="1" applyFill="1" applyBorder="1" applyAlignment="1" applyProtection="1">
      <alignment horizontal="left"/>
    </xf>
    <xf numFmtId="166" fontId="107" fillId="0" borderId="8" xfId="26" applyFont="1" applyFill="1" applyBorder="1" applyAlignment="1" applyProtection="1">
      <alignment horizontal="center" wrapText="1"/>
    </xf>
    <xf numFmtId="224" fontId="109" fillId="0" borderId="8" xfId="2" applyNumberFormat="1" applyFont="1" applyFill="1" applyBorder="1" applyAlignment="1" applyProtection="1">
      <alignment horizontal="center"/>
    </xf>
    <xf numFmtId="166" fontId="78" fillId="0" borderId="0" xfId="26" applyFont="1" applyFill="1" applyAlignment="1" applyProtection="1"/>
    <xf numFmtId="166" fontId="105" fillId="0" borderId="0" xfId="26" applyFont="1" applyFill="1" applyAlignment="1" applyProtection="1">
      <alignment wrapText="1"/>
    </xf>
    <xf numFmtId="166" fontId="91" fillId="0" borderId="0" xfId="26" applyFont="1" applyFill="1" applyAlignment="1" applyProtection="1"/>
    <xf numFmtId="166" fontId="96" fillId="0" borderId="0" xfId="26" applyFont="1" applyFill="1" applyAlignment="1" applyProtection="1">
      <alignment horizontal="right"/>
    </xf>
    <xf numFmtId="166" fontId="91" fillId="0" borderId="0" xfId="26" applyFont="1" applyFill="1" applyAlignment="1" applyProtection="1">
      <alignment vertical="center"/>
    </xf>
    <xf numFmtId="206" fontId="105" fillId="0" borderId="0" xfId="26" applyNumberFormat="1" applyFont="1" applyFill="1" applyAlignment="1" applyProtection="1">
      <alignment vertical="center"/>
    </xf>
    <xf numFmtId="166" fontId="105" fillId="0" borderId="0" xfId="26" applyFont="1" applyFill="1" applyAlignment="1" applyProtection="1">
      <alignment horizontal="left" vertical="center"/>
    </xf>
    <xf numFmtId="166" fontId="153" fillId="0" borderId="0" xfId="0" applyFont="1" applyFill="1" applyAlignment="1">
      <alignment horizontal="centerContinuous"/>
      <protection locked="0" hidden="1"/>
    </xf>
    <xf numFmtId="212" fontId="48" fillId="0" borderId="8" xfId="2" applyNumberFormat="1" applyFont="1" applyFill="1" applyBorder="1" applyAlignment="1" applyProtection="1"/>
    <xf numFmtId="166" fontId="14" fillId="0" borderId="3" xfId="0" applyFont="1" applyFill="1" applyBorder="1" applyAlignment="1">
      <alignment horizontal="right" vertical="center" readingOrder="2"/>
      <protection locked="0" hidden="1"/>
    </xf>
    <xf numFmtId="185" fontId="116" fillId="0" borderId="1" xfId="0" applyNumberFormat="1" applyFont="1" applyFill="1" applyBorder="1" applyAlignment="1">
      <alignment horizontal="right"/>
      <protection locked="0" hidden="1"/>
    </xf>
    <xf numFmtId="184" fontId="116" fillId="0" borderId="11" xfId="0" applyNumberFormat="1" applyFont="1" applyFill="1" applyBorder="1" applyAlignment="1">
      <alignment horizontal="right"/>
      <protection locked="0" hidden="1"/>
    </xf>
    <xf numFmtId="172" fontId="116" fillId="0" borderId="0" xfId="0" applyNumberFormat="1" applyFont="1" applyFill="1" applyAlignment="1">
      <alignment horizontal="right"/>
      <protection locked="0" hidden="1"/>
    </xf>
    <xf numFmtId="167" fontId="116" fillId="0" borderId="1" xfId="0" applyNumberFormat="1" applyFont="1" applyFill="1" applyBorder="1" applyAlignment="1">
      <alignment horizontal="right"/>
      <protection locked="0" hidden="1"/>
    </xf>
    <xf numFmtId="165" fontId="79" fillId="0" borderId="8" xfId="0" applyNumberFormat="1" applyFont="1" applyFill="1" applyBorder="1" applyAlignment="1">
      <alignment horizontal="center"/>
      <protection locked="0" hidden="1"/>
    </xf>
    <xf numFmtId="166" fontId="6" fillId="0" borderId="0" xfId="0" applyFont="1" applyFill="1" applyAlignment="1">
      <alignment horizontal="right" readingOrder="2"/>
      <protection locked="0" hidden="1"/>
    </xf>
    <xf numFmtId="166" fontId="77" fillId="0" borderId="1" xfId="26" applyFont="1" applyFill="1" applyBorder="1" applyAlignment="1" applyProtection="1">
      <alignment horizontal="left" vertical="center"/>
    </xf>
    <xf numFmtId="166" fontId="107" fillId="0" borderId="12" xfId="26" applyFont="1" applyFill="1" applyBorder="1" applyAlignment="1" applyProtection="1">
      <alignment vertical="center" wrapText="1"/>
    </xf>
    <xf numFmtId="166" fontId="107" fillId="0" borderId="43" xfId="26" applyFont="1" applyFill="1" applyBorder="1" applyAlignment="1" applyProtection="1">
      <alignment vertical="center" wrapText="1"/>
    </xf>
    <xf numFmtId="224" fontId="119" fillId="0" borderId="11" xfId="2" applyNumberFormat="1" applyFont="1" applyFill="1" applyBorder="1" applyAlignment="1" applyProtection="1">
      <alignment vertical="center" readingOrder="2"/>
    </xf>
    <xf numFmtId="224" fontId="119" fillId="0" borderId="43" xfId="2" applyNumberFormat="1" applyFont="1" applyFill="1" applyBorder="1" applyAlignment="1" applyProtection="1">
      <alignment vertical="center"/>
    </xf>
    <xf numFmtId="224" fontId="119" fillId="0" borderId="43" xfId="2" applyNumberFormat="1" applyFont="1" applyFill="1" applyBorder="1" applyAlignment="1" applyProtection="1">
      <alignment vertical="center" wrapText="1"/>
    </xf>
    <xf numFmtId="212" fontId="16" fillId="0" borderId="11" xfId="2" applyNumberFormat="1" applyFont="1" applyFill="1" applyBorder="1" applyAlignment="1" applyProtection="1">
      <alignment vertical="center"/>
    </xf>
    <xf numFmtId="212" fontId="16" fillId="0" borderId="43" xfId="2" applyNumberFormat="1" applyFont="1" applyFill="1" applyBorder="1" applyAlignment="1" applyProtection="1">
      <alignment vertical="center"/>
    </xf>
    <xf numFmtId="212" fontId="82" fillId="0" borderId="43" xfId="2" applyNumberFormat="1" applyFont="1" applyFill="1" applyBorder="1" applyAlignment="1" applyProtection="1">
      <alignment vertical="center"/>
    </xf>
    <xf numFmtId="166" fontId="105" fillId="0" borderId="0" xfId="26" applyFont="1" applyFill="1" applyAlignment="1" applyProtection="1">
      <alignment horizontal="right" readingOrder="2"/>
    </xf>
    <xf numFmtId="197" fontId="22" fillId="0" borderId="11" xfId="0" applyNumberFormat="1" applyFont="1" applyFill="1" applyBorder="1" applyAlignment="1">
      <protection locked="0" hidden="1"/>
    </xf>
    <xf numFmtId="219" fontId="83" fillId="0" borderId="1" xfId="0" applyNumberFormat="1" applyFont="1" applyFill="1" applyBorder="1" applyAlignment="1">
      <protection locked="0" hidden="1"/>
    </xf>
    <xf numFmtId="166" fontId="92" fillId="0" borderId="36" xfId="0" applyFont="1" applyFill="1" applyBorder="1" applyAlignment="1">
      <alignment wrapText="1"/>
      <protection locked="0" hidden="1"/>
    </xf>
    <xf numFmtId="187" fontId="22" fillId="0" borderId="0" xfId="0" applyNumberFormat="1" applyFont="1" applyFill="1" applyAlignment="1">
      <alignment horizontal="right"/>
      <protection locked="0" hidden="1"/>
    </xf>
    <xf numFmtId="172" fontId="22" fillId="0" borderId="0" xfId="0" applyNumberFormat="1" applyFont="1" applyFill="1" applyAlignment="1">
      <alignment horizontal="right"/>
      <protection locked="0" hidden="1"/>
    </xf>
    <xf numFmtId="166" fontId="50" fillId="0" borderId="0" xfId="0" applyFont="1" applyFill="1" applyAlignment="1">
      <protection locked="0" hidden="1"/>
    </xf>
    <xf numFmtId="191" fontId="22" fillId="0" borderId="15" xfId="0" applyNumberFormat="1" applyFont="1" applyFill="1" applyBorder="1" applyAlignment="1">
      <protection locked="0" hidden="1"/>
    </xf>
    <xf numFmtId="164" fontId="22" fillId="0" borderId="11" xfId="0" applyNumberFormat="1" applyFont="1" applyFill="1" applyBorder="1" applyAlignment="1">
      <alignment horizontal="center"/>
      <protection locked="0" hidden="1"/>
    </xf>
    <xf numFmtId="166" fontId="50" fillId="0" borderId="9" xfId="26" applyFont="1" applyFill="1" applyBorder="1" applyAlignment="1" applyProtection="1"/>
    <xf numFmtId="224" fontId="43" fillId="0" borderId="11" xfId="2" applyNumberFormat="1" applyFont="1" applyFill="1" applyBorder="1" applyAlignment="1" applyProtection="1">
      <alignment vertical="center"/>
    </xf>
    <xf numFmtId="217" fontId="43" fillId="0" borderId="11" xfId="2" applyNumberFormat="1" applyFont="1" applyFill="1" applyBorder="1" applyAlignment="1" applyProtection="1">
      <alignment vertical="center"/>
    </xf>
    <xf numFmtId="225" fontId="43" fillId="0" borderId="11" xfId="2" applyNumberFormat="1" applyFont="1" applyFill="1" applyBorder="1" applyAlignment="1" applyProtection="1">
      <alignment horizontal="right" indent="1"/>
    </xf>
    <xf numFmtId="166" fontId="50" fillId="0" borderId="1" xfId="26" applyFont="1" applyFill="1" applyBorder="1" applyAlignment="1">
      <alignment horizontal="left"/>
      <protection locked="0" hidden="1"/>
    </xf>
    <xf numFmtId="224" fontId="16" fillId="0" borderId="11" xfId="2" applyNumberFormat="1" applyFont="1" applyBorder="1"/>
    <xf numFmtId="217" fontId="16" fillId="0" borderId="11" xfId="2" applyNumberFormat="1" applyFont="1" applyBorder="1"/>
    <xf numFmtId="166" fontId="50" fillId="0" borderId="0" xfId="0" applyFont="1" applyFill="1" applyAlignment="1">
      <alignment horizontal="left" vertical="top"/>
      <protection locked="0" hidden="1"/>
    </xf>
    <xf numFmtId="177" fontId="22" fillId="0" borderId="1" xfId="0" applyNumberFormat="1" applyFont="1" applyFill="1" applyBorder="1" applyAlignment="1">
      <alignment horizontal="right" vertical="top"/>
      <protection locked="0" hidden="1"/>
    </xf>
    <xf numFmtId="187" fontId="22" fillId="0" borderId="1" xfId="0" applyNumberFormat="1" applyFont="1" applyFill="1" applyBorder="1" applyAlignment="1">
      <alignment horizontal="right" vertical="top"/>
      <protection locked="0" hidden="1"/>
    </xf>
    <xf numFmtId="172" fontId="22" fillId="0" borderId="1" xfId="0" applyNumberFormat="1" applyFont="1" applyFill="1" applyBorder="1" applyAlignment="1">
      <alignment horizontal="right" vertical="top"/>
      <protection locked="0" hidden="1"/>
    </xf>
    <xf numFmtId="220" fontId="22" fillId="0" borderId="1" xfId="0" applyNumberFormat="1" applyFont="1" applyFill="1" applyBorder="1" applyAlignment="1">
      <alignment horizontal="right" vertical="top"/>
      <protection locked="0" hidden="1"/>
    </xf>
    <xf numFmtId="221" fontId="22" fillId="0" borderId="1" xfId="0" applyNumberFormat="1" applyFont="1" applyFill="1" applyBorder="1" applyAlignment="1">
      <alignment horizontal="right" vertical="top"/>
      <protection locked="0" hidden="1"/>
    </xf>
    <xf numFmtId="223" fontId="22" fillId="0" borderId="1" xfId="0" applyNumberFormat="1" applyFont="1" applyFill="1" applyBorder="1" applyAlignment="1">
      <alignment horizontal="right" vertical="top"/>
      <protection locked="0" hidden="1"/>
    </xf>
    <xf numFmtId="165" fontId="22" fillId="0" borderId="1" xfId="0" applyNumberFormat="1" applyFont="1" applyFill="1" applyBorder="1" applyAlignment="1">
      <alignment horizontal="right" vertical="top" indent="1"/>
      <protection locked="0" hidden="1"/>
    </xf>
    <xf numFmtId="208" fontId="22" fillId="0" borderId="1" xfId="0" applyNumberFormat="1" applyFont="1" applyFill="1" applyBorder="1" applyAlignment="1">
      <alignment horizontal="right" vertical="top"/>
      <protection locked="0" hidden="1"/>
    </xf>
    <xf numFmtId="222" fontId="22" fillId="0" borderId="11" xfId="0" applyNumberFormat="1" applyFont="1" applyFill="1" applyBorder="1" applyAlignment="1">
      <alignment horizontal="right" vertical="top"/>
      <protection locked="0" hidden="1"/>
    </xf>
    <xf numFmtId="165" fontId="22" fillId="0" borderId="11" xfId="0" applyNumberFormat="1" applyFont="1" applyFill="1" applyBorder="1" applyAlignment="1">
      <alignment horizontal="right" indent="1" readingOrder="1"/>
      <protection locked="0" hidden="1"/>
    </xf>
    <xf numFmtId="167" fontId="22" fillId="0" borderId="1" xfId="0" applyNumberFormat="1" applyFont="1" applyFill="1" applyBorder="1" applyAlignment="1">
      <alignment horizontal="right"/>
      <protection locked="0" hidden="1"/>
    </xf>
    <xf numFmtId="167" fontId="22" fillId="0" borderId="11" xfId="0" applyNumberFormat="1" applyFont="1" applyFill="1" applyBorder="1" applyAlignment="1">
      <alignment horizontal="right"/>
      <protection locked="0" hidden="1"/>
    </xf>
    <xf numFmtId="167" fontId="22" fillId="0" borderId="0" xfId="0" applyNumberFormat="1" applyFont="1" applyFill="1" applyAlignment="1">
      <alignment horizontal="right"/>
      <protection locked="0" hidden="1"/>
    </xf>
    <xf numFmtId="185" fontId="22" fillId="0" borderId="11" xfId="0" applyNumberFormat="1" applyFont="1" applyFill="1" applyBorder="1" applyAlignment="1">
      <alignment horizontal="right"/>
      <protection locked="0" hidden="1"/>
    </xf>
    <xf numFmtId="179" fontId="22" fillId="0" borderId="11" xfId="0" applyNumberFormat="1" applyFont="1" applyFill="1" applyBorder="1" applyAlignment="1">
      <alignment horizontal="right"/>
      <protection locked="0" hidden="1"/>
    </xf>
    <xf numFmtId="179" fontId="22" fillId="0" borderId="9" xfId="0" applyNumberFormat="1" applyFont="1" applyFill="1" applyBorder="1" applyAlignment="1">
      <alignment horizontal="right"/>
      <protection locked="0" hidden="1"/>
    </xf>
    <xf numFmtId="172" fontId="22" fillId="0" borderId="1" xfId="0" applyNumberFormat="1" applyFont="1" applyFill="1" applyBorder="1" applyAlignment="1">
      <alignment horizontal="right"/>
      <protection locked="0" hidden="1"/>
    </xf>
    <xf numFmtId="188" fontId="22" fillId="0" borderId="11" xfId="0" applyNumberFormat="1" applyFont="1" applyFill="1" applyBorder="1" applyAlignment="1">
      <alignment horizontal="right"/>
      <protection locked="0" hidden="1"/>
    </xf>
    <xf numFmtId="171" fontId="22" fillId="0" borderId="11" xfId="0" applyNumberFormat="1" applyFont="1" applyFill="1" applyBorder="1" applyAlignment="1">
      <alignment horizontal="right"/>
      <protection locked="0" hidden="1"/>
    </xf>
    <xf numFmtId="185" fontId="22" fillId="0" borderId="1" xfId="0" applyNumberFormat="1" applyFont="1" applyFill="1" applyBorder="1" applyAlignment="1">
      <alignment horizontal="right"/>
      <protection locked="0" hidden="1"/>
    </xf>
    <xf numFmtId="184" fontId="22" fillId="0" borderId="11" xfId="0" applyNumberFormat="1" applyFont="1" applyFill="1" applyBorder="1" applyAlignment="1">
      <alignment horizontal="right"/>
      <protection locked="0" hidden="1"/>
    </xf>
    <xf numFmtId="182" fontId="22" fillId="0" borderId="1" xfId="0" applyNumberFormat="1" applyFont="1" applyFill="1" applyBorder="1" applyAlignment="1">
      <protection locked="0" hidden="1"/>
    </xf>
    <xf numFmtId="214" fontId="22" fillId="0" borderId="11" xfId="0" applyNumberFormat="1" applyFont="1" applyFill="1" applyBorder="1" applyAlignment="1">
      <protection locked="0" hidden="1"/>
    </xf>
    <xf numFmtId="169" fontId="22" fillId="0" borderId="0" xfId="0" applyNumberFormat="1" applyFont="1" applyFill="1" applyAlignment="1">
      <protection locked="0" hidden="1"/>
    </xf>
    <xf numFmtId="181" fontId="22" fillId="0" borderId="11" xfId="0" applyNumberFormat="1" applyFont="1" applyFill="1" applyBorder="1" applyAlignment="1">
      <protection locked="0" hidden="1"/>
    </xf>
    <xf numFmtId="184" fontId="22" fillId="0" borderId="11" xfId="0" applyNumberFormat="1" applyFont="1" applyFill="1" applyBorder="1" applyAlignment="1">
      <protection locked="0" hidden="1"/>
    </xf>
    <xf numFmtId="187" fontId="22" fillId="0" borderId="16" xfId="0" applyNumberFormat="1" applyFont="1" applyFill="1" applyBorder="1" applyAlignment="1">
      <protection locked="0" hidden="1"/>
    </xf>
    <xf numFmtId="213" fontId="22" fillId="0" borderId="9" xfId="0" applyNumberFormat="1" applyFont="1" applyFill="1" applyBorder="1" applyAlignment="1">
      <protection locked="0" hidden="1"/>
    </xf>
    <xf numFmtId="172" fontId="22" fillId="0" borderId="1" xfId="0" applyNumberFormat="1" applyFont="1" applyFill="1" applyBorder="1" applyAlignment="1">
      <protection locked="0" hidden="1"/>
    </xf>
    <xf numFmtId="204" fontId="22" fillId="0" borderId="11" xfId="0" applyNumberFormat="1" applyFont="1" applyFill="1" applyBorder="1" applyAlignment="1">
      <protection locked="0" hidden="1"/>
    </xf>
    <xf numFmtId="185" fontId="22" fillId="0" borderId="11" xfId="0" applyNumberFormat="1" applyFont="1" applyFill="1" applyBorder="1" applyAlignment="1">
      <protection locked="0" hidden="1"/>
    </xf>
    <xf numFmtId="215" fontId="22" fillId="0" borderId="11" xfId="0" applyNumberFormat="1" applyFont="1" applyFill="1" applyBorder="1" applyAlignment="1">
      <protection locked="0" hidden="1"/>
    </xf>
    <xf numFmtId="167" fontId="22" fillId="0" borderId="16" xfId="0" applyNumberFormat="1" applyFont="1" applyFill="1" applyBorder="1" applyAlignment="1">
      <protection locked="0" hidden="1"/>
    </xf>
    <xf numFmtId="203" fontId="22" fillId="0" borderId="9" xfId="0" applyNumberFormat="1" applyFont="1" applyFill="1" applyBorder="1" applyAlignment="1">
      <protection locked="0" hidden="1"/>
    </xf>
    <xf numFmtId="189" fontId="22" fillId="0" borderId="1" xfId="0" applyNumberFormat="1" applyFont="1" applyFill="1" applyBorder="1" applyAlignment="1">
      <alignment horizontal="right"/>
      <protection locked="0" hidden="1"/>
    </xf>
    <xf numFmtId="169" fontId="22" fillId="0" borderId="11" xfId="0" applyNumberFormat="1" applyFont="1" applyFill="1" applyBorder="1" applyAlignment="1">
      <alignment horizontal="right"/>
      <protection locked="0" hidden="1"/>
    </xf>
    <xf numFmtId="208" fontId="22" fillId="0" borderId="15" xfId="0" applyNumberFormat="1" applyFont="1" applyFill="1" applyBorder="1" applyAlignment="1">
      <alignment horizontal="right"/>
      <protection locked="0" hidden="1"/>
    </xf>
    <xf numFmtId="208" fontId="22" fillId="0" borderId="9" xfId="0" applyNumberFormat="1" applyFont="1" applyFill="1" applyBorder="1" applyAlignment="1">
      <alignment horizontal="right"/>
      <protection locked="0" hidden="1"/>
    </xf>
    <xf numFmtId="164" fontId="16" fillId="0" borderId="11" xfId="0" applyNumberFormat="1" applyFont="1" applyFill="1" applyBorder="1" applyAlignment="1">
      <alignment horizontal="right" indent="1" readingOrder="1"/>
      <protection locked="0" hidden="1"/>
    </xf>
    <xf numFmtId="165" fontId="16" fillId="0" borderId="11" xfId="0" applyNumberFormat="1" applyFont="1" applyFill="1" applyBorder="1" applyAlignment="1">
      <alignment horizontal="right" indent="1"/>
      <protection locked="0" hidden="1"/>
    </xf>
    <xf numFmtId="165" fontId="16" fillId="0" borderId="11" xfId="0" applyNumberFormat="1" applyFont="1" applyFill="1" applyBorder="1" applyAlignment="1">
      <alignment horizontal="right" indent="1" readingOrder="1"/>
      <protection locked="0" hidden="1"/>
    </xf>
    <xf numFmtId="2" fontId="6" fillId="0" borderId="11" xfId="18" applyNumberFormat="1" applyFont="1" applyFill="1" applyBorder="1" applyAlignment="1">
      <alignment horizontal="center"/>
      <protection locked="0" hidden="1"/>
    </xf>
    <xf numFmtId="2" fontId="6" fillId="0" borderId="11" xfId="18" applyNumberFormat="1" applyFont="1" applyFill="1" applyBorder="1" applyAlignment="1">
      <alignment horizontal="right" indent="1"/>
      <protection locked="0" hidden="1"/>
    </xf>
    <xf numFmtId="2" fontId="6" fillId="0" borderId="11" xfId="18" applyNumberFormat="1" applyFont="1" applyFill="1" applyBorder="1" applyAlignment="1">
      <alignment horizontal="right" indent="3"/>
      <protection locked="0" hidden="1"/>
    </xf>
    <xf numFmtId="218" fontId="22" fillId="0" borderId="11" xfId="0" applyNumberFormat="1" applyFont="1" applyFill="1" applyBorder="1" applyAlignment="1">
      <alignment horizontal="right" indent="2"/>
      <protection locked="0" hidden="1"/>
    </xf>
    <xf numFmtId="210" fontId="22" fillId="0" borderId="11" xfId="0" applyNumberFormat="1" applyFont="1" applyFill="1" applyBorder="1" applyAlignment="1">
      <alignment horizontal="right" indent="2"/>
      <protection locked="0" hidden="1"/>
    </xf>
    <xf numFmtId="196" fontId="22" fillId="0" borderId="11" xfId="0" applyNumberFormat="1" applyFont="1" applyFill="1" applyBorder="1" applyAlignment="1">
      <alignment horizontal="right"/>
      <protection locked="0" hidden="1"/>
    </xf>
    <xf numFmtId="190" fontId="22" fillId="0" borderId="11" xfId="0" applyNumberFormat="1" applyFont="1" applyFill="1" applyBorder="1" applyAlignment="1">
      <protection locked="0" hidden="1"/>
    </xf>
    <xf numFmtId="182" fontId="22" fillId="0" borderId="11" xfId="0" applyNumberFormat="1" applyFont="1" applyFill="1" applyBorder="1" applyAlignment="1">
      <protection locked="0" hidden="1"/>
    </xf>
    <xf numFmtId="175" fontId="22" fillId="0" borderId="11" xfId="0" applyNumberFormat="1" applyFont="1" applyFill="1" applyBorder="1" applyAlignment="1">
      <protection locked="0" hidden="1"/>
    </xf>
    <xf numFmtId="181" fontId="22" fillId="0" borderId="9" xfId="0" applyNumberFormat="1" applyFont="1" applyFill="1" applyBorder="1" applyAlignment="1">
      <protection locked="0" hidden="1"/>
    </xf>
    <xf numFmtId="171" fontId="22" fillId="0" borderId="11" xfId="0" applyNumberFormat="1" applyFont="1" applyFill="1" applyBorder="1" applyAlignment="1">
      <alignment horizontal="right" vertical="top"/>
      <protection locked="0" hidden="1"/>
    </xf>
    <xf numFmtId="0" fontId="18" fillId="0" borderId="3" xfId="0" applyNumberFormat="1" applyFont="1" applyFill="1" applyBorder="1" applyAlignment="1" applyProtection="1"/>
    <xf numFmtId="0" fontId="19" fillId="0" borderId="12" xfId="0" applyNumberFormat="1" applyFont="1" applyFill="1" applyBorder="1" applyAlignment="1" applyProtection="1">
      <alignment horizontal="center"/>
    </xf>
    <xf numFmtId="0" fontId="19" fillId="0" borderId="44" xfId="0" applyNumberFormat="1" applyFont="1" applyFill="1" applyBorder="1" applyAlignment="1" applyProtection="1">
      <alignment horizontal="center"/>
    </xf>
    <xf numFmtId="0" fontId="12" fillId="0" borderId="15" xfId="0" applyNumberFormat="1" applyFont="1" applyFill="1" applyBorder="1" applyAlignment="1" applyProtection="1">
      <alignment horizontal="center" vertical="center" wrapText="1"/>
    </xf>
    <xf numFmtId="0" fontId="12" fillId="0" borderId="45" xfId="0" applyNumberFormat="1" applyFont="1" applyFill="1" applyBorder="1" applyAlignment="1" applyProtection="1">
      <alignment horizontal="center" vertical="top"/>
    </xf>
    <xf numFmtId="2" fontId="121" fillId="0" borderId="11" xfId="18" applyNumberFormat="1" applyFont="1" applyFill="1" applyBorder="1" applyAlignment="1">
      <alignment horizontal="right" indent="1"/>
      <protection locked="0" hidden="1"/>
    </xf>
    <xf numFmtId="0" fontId="21" fillId="0" borderId="4" xfId="22" applyFont="1" applyBorder="1" applyAlignment="1">
      <alignment horizontal="center" vertical="center" wrapText="1"/>
    </xf>
    <xf numFmtId="0" fontId="21" fillId="0" borderId="46" xfId="22" applyFont="1" applyBorder="1" applyAlignment="1">
      <alignment horizontal="center" vertical="center" wrapText="1"/>
    </xf>
    <xf numFmtId="0" fontId="21" fillId="0" borderId="46" xfId="22" applyFont="1" applyBorder="1" applyAlignment="1">
      <alignment horizontal="center" vertical="center" wrapText="1" readingOrder="1"/>
    </xf>
    <xf numFmtId="166" fontId="39" fillId="0" borderId="7" xfId="0" applyFont="1" applyFill="1" applyBorder="1" applyAlignment="1">
      <alignment horizontal="left"/>
      <protection locked="0" hidden="1"/>
    </xf>
    <xf numFmtId="167" fontId="116" fillId="0" borderId="16" xfId="0" applyNumberFormat="1" applyFont="1" applyFill="1" applyBorder="1" applyAlignment="1">
      <protection locked="0" hidden="1"/>
    </xf>
    <xf numFmtId="216" fontId="79" fillId="0" borderId="8" xfId="0" applyNumberFormat="1" applyFont="1" applyFill="1" applyBorder="1" applyAlignment="1">
      <protection locked="0" hidden="1"/>
    </xf>
    <xf numFmtId="219" fontId="22" fillId="0" borderId="4" xfId="0" applyNumberFormat="1" applyFont="1" applyFill="1" applyBorder="1" applyAlignment="1">
      <protection locked="0" hidden="1"/>
    </xf>
    <xf numFmtId="178" fontId="79" fillId="0" borderId="4" xfId="0" applyNumberFormat="1" applyFont="1" applyFill="1" applyBorder="1" applyAlignment="1">
      <alignment horizontal="right"/>
      <protection locked="0" hidden="1"/>
    </xf>
    <xf numFmtId="166" fontId="127" fillId="0" borderId="1" xfId="26" applyFont="1" applyFill="1" applyBorder="1" applyAlignment="1" applyProtection="1">
      <alignment vertical="center"/>
    </xf>
    <xf numFmtId="166" fontId="43" fillId="0" borderId="1" xfId="26" applyFont="1" applyFill="1" applyBorder="1" applyAlignment="1" applyProtection="1">
      <alignment vertical="center"/>
    </xf>
    <xf numFmtId="165" fontId="38" fillId="0" borderId="34" xfId="0" applyNumberFormat="1" applyFont="1" applyFill="1" applyBorder="1" applyAlignment="1">
      <protection locked="0" hidden="1"/>
    </xf>
    <xf numFmtId="206" fontId="78" fillId="0" borderId="1" xfId="0" applyNumberFormat="1" applyFont="1" applyFill="1" applyBorder="1" applyAlignment="1">
      <protection locked="0" hidden="1"/>
    </xf>
    <xf numFmtId="164" fontId="18" fillId="0" borderId="1" xfId="0" applyNumberFormat="1" applyFont="1" applyFill="1" applyBorder="1" applyAlignment="1">
      <protection locked="0" hidden="1"/>
    </xf>
    <xf numFmtId="165" fontId="5" fillId="0" borderId="1" xfId="0" applyNumberFormat="1" applyFont="1" applyFill="1" applyBorder="1" applyAlignment="1">
      <alignment horizontal="right"/>
      <protection locked="0" hidden="1"/>
    </xf>
    <xf numFmtId="206" fontId="105" fillId="0" borderId="1" xfId="0" applyNumberFormat="1" applyFont="1" applyFill="1" applyBorder="1" applyAlignment="1">
      <protection locked="0" hidden="1"/>
    </xf>
    <xf numFmtId="177" fontId="116" fillId="0" borderId="41" xfId="0" applyNumberFormat="1" applyFont="1" applyFill="1" applyBorder="1" applyAlignment="1">
      <alignment horizontal="right"/>
      <protection locked="0" hidden="1"/>
    </xf>
    <xf numFmtId="211" fontId="127" fillId="0" borderId="0" xfId="26" applyNumberFormat="1" applyFont="1" applyFill="1" applyAlignment="1" applyProtection="1">
      <alignment vertical="center"/>
    </xf>
    <xf numFmtId="2" fontId="127" fillId="0" borderId="0" xfId="26" applyNumberFormat="1" applyFont="1" applyFill="1" applyAlignment="1" applyProtection="1">
      <alignment vertical="center"/>
    </xf>
    <xf numFmtId="2" fontId="127" fillId="0" borderId="0" xfId="26" applyNumberFormat="1" applyFont="1" applyFill="1" applyAlignment="1" applyProtection="1">
      <alignment horizontal="centerContinuous" vertical="center"/>
    </xf>
    <xf numFmtId="167" fontId="116" fillId="0" borderId="11" xfId="0" applyNumberFormat="1" applyFont="1" applyFill="1" applyBorder="1" applyAlignment="1">
      <protection locked="0" hidden="1"/>
    </xf>
    <xf numFmtId="0" fontId="53" fillId="0" borderId="0" xfId="22" applyFont="1" applyAlignment="1">
      <alignment horizontal="centerContinuous" readingOrder="2"/>
    </xf>
    <xf numFmtId="166" fontId="22" fillId="0" borderId="11" xfId="0" applyFont="1" applyFill="1" applyBorder="1" applyAlignment="1">
      <alignment horizontal="right" indent="3"/>
      <protection locked="0" hidden="1"/>
    </xf>
    <xf numFmtId="3" fontId="22" fillId="0" borderId="11" xfId="0" applyNumberFormat="1" applyFont="1" applyFill="1" applyBorder="1" applyAlignment="1">
      <alignment horizontal="right" indent="3"/>
      <protection locked="0" hidden="1"/>
    </xf>
    <xf numFmtId="4" fontId="22" fillId="0" borderId="11" xfId="0" applyNumberFormat="1" applyFont="1" applyFill="1" applyBorder="1" applyAlignment="1">
      <alignment horizontal="center"/>
      <protection locked="0" hidden="1"/>
    </xf>
    <xf numFmtId="4" fontId="22" fillId="0" borderId="11" xfId="0" applyNumberFormat="1" applyFont="1" applyFill="1" applyBorder="1" applyAlignment="1">
      <alignment horizontal="right" indent="2"/>
      <protection locked="0" hidden="1"/>
    </xf>
    <xf numFmtId="2" fontId="22" fillId="0" borderId="0" xfId="22" applyNumberFormat="1" applyFont="1" applyAlignment="1">
      <alignment horizontal="right" indent="3"/>
    </xf>
    <xf numFmtId="2" fontId="22" fillId="0" borderId="11" xfId="0" applyNumberFormat="1" applyFont="1" applyFill="1" applyBorder="1" applyAlignment="1">
      <alignment horizontal="right" indent="3"/>
      <protection locked="0" hidden="1"/>
    </xf>
    <xf numFmtId="165" fontId="105" fillId="0" borderId="11" xfId="0" applyNumberFormat="1" applyFont="1" applyFill="1" applyBorder="1" applyAlignment="1">
      <alignment horizontal="right" indent="1" readingOrder="1"/>
      <protection locked="0" hidden="1"/>
    </xf>
    <xf numFmtId="224" fontId="82" fillId="0" borderId="11" xfId="2" applyNumberFormat="1" applyFont="1" applyFill="1" applyBorder="1" applyAlignment="1" applyProtection="1"/>
    <xf numFmtId="216" fontId="83" fillId="0" borderId="9" xfId="0" applyNumberFormat="1" applyFont="1" applyFill="1" applyBorder="1" applyAlignment="1">
      <protection locked="0" hidden="1"/>
    </xf>
    <xf numFmtId="168" fontId="116" fillId="0" borderId="11" xfId="0" applyNumberFormat="1" applyFont="1" applyFill="1" applyBorder="1" applyAlignment="1">
      <protection locked="0" hidden="1"/>
    </xf>
    <xf numFmtId="4" fontId="5" fillId="0" borderId="8" xfId="0" applyNumberFormat="1" applyFont="1" applyFill="1" applyBorder="1" applyAlignment="1" applyProtection="1">
      <protection locked="0"/>
    </xf>
    <xf numFmtId="171" fontId="22" fillId="0" borderId="1" xfId="0" applyNumberFormat="1" applyFont="1" applyFill="1" applyBorder="1" applyAlignment="1">
      <alignment horizontal="right" vertical="top"/>
      <protection locked="0" hidden="1"/>
    </xf>
    <xf numFmtId="168" fontId="22" fillId="0" borderId="11" xfId="26" applyNumberFormat="1" applyFont="1" applyFill="1" applyBorder="1" applyAlignment="1">
      <protection locked="0" hidden="1"/>
    </xf>
    <xf numFmtId="224" fontId="134" fillId="0" borderId="11" xfId="2" applyNumberFormat="1" applyFont="1" applyFill="1" applyBorder="1" applyAlignment="1" applyProtection="1">
      <alignment horizontal="right"/>
    </xf>
    <xf numFmtId="4" fontId="5" fillId="0" borderId="0" xfId="22" applyNumberFormat="1" applyFont="1"/>
    <xf numFmtId="166" fontId="50" fillId="0" borderId="1" xfId="0" applyFont="1" applyFill="1" applyBorder="1" applyAlignment="1" applyProtection="1">
      <alignment horizontal="left"/>
    </xf>
    <xf numFmtId="166" fontId="43" fillId="0" borderId="0" xfId="0" applyFont="1" applyFill="1" applyAlignment="1" applyProtection="1">
      <alignment vertical="center"/>
    </xf>
    <xf numFmtId="206" fontId="43" fillId="0" borderId="0" xfId="0" applyNumberFormat="1" applyFont="1" applyFill="1" applyAlignment="1" applyProtection="1">
      <alignment vertical="center"/>
    </xf>
    <xf numFmtId="223" fontId="22" fillId="0" borderId="11" xfId="0" applyNumberFormat="1" applyFont="1" applyFill="1" applyBorder="1" applyAlignment="1">
      <alignment horizontal="right"/>
      <protection locked="0" hidden="1"/>
    </xf>
    <xf numFmtId="203" fontId="18" fillId="0" borderId="9" xfId="0" applyNumberFormat="1" applyFont="1" applyFill="1" applyBorder="1" applyAlignment="1">
      <protection locked="0" hidden="1"/>
    </xf>
    <xf numFmtId="227" fontId="22" fillId="0" borderId="11" xfId="0" applyNumberFormat="1" applyFont="1" applyFill="1" applyBorder="1" applyAlignment="1">
      <alignment horizontal="right" indent="2"/>
      <protection locked="0" hidden="1"/>
    </xf>
    <xf numFmtId="227" fontId="22" fillId="0" borderId="0" xfId="0" applyNumberFormat="1" applyFont="1" applyFill="1" applyAlignment="1">
      <protection locked="0" hidden="1"/>
    </xf>
    <xf numFmtId="228" fontId="22" fillId="0" borderId="11" xfId="0" applyNumberFormat="1" applyFont="1" applyFill="1" applyBorder="1" applyAlignment="1">
      <protection locked="0" hidden="1"/>
    </xf>
    <xf numFmtId="228" fontId="22" fillId="0" borderId="8" xfId="0" applyNumberFormat="1" applyFont="1" applyFill="1" applyBorder="1" applyAlignment="1">
      <protection locked="0" hidden="1"/>
    </xf>
    <xf numFmtId="185" fontId="116" fillId="0" borderId="11" xfId="0" applyNumberFormat="1" applyFont="1" applyFill="1" applyBorder="1" applyAlignment="1">
      <protection locked="0" hidden="1"/>
    </xf>
    <xf numFmtId="172" fontId="116" fillId="0" borderId="11" xfId="0" applyNumberFormat="1" applyFont="1" applyFill="1" applyBorder="1" applyAlignment="1">
      <alignment horizontal="right"/>
      <protection locked="0" hidden="1"/>
    </xf>
    <xf numFmtId="187" fontId="116" fillId="0" borderId="0" xfId="0" applyNumberFormat="1" applyFont="1" applyFill="1" applyAlignment="1">
      <alignment horizontal="right"/>
      <protection locked="0" hidden="1"/>
    </xf>
    <xf numFmtId="185" fontId="83" fillId="0" borderId="11" xfId="0" applyNumberFormat="1" applyFont="1" applyFill="1" applyBorder="1" applyAlignment="1">
      <alignment horizontal="right"/>
      <protection locked="0" hidden="1"/>
    </xf>
    <xf numFmtId="167" fontId="83" fillId="0" borderId="0" xfId="0" applyNumberFormat="1" applyFont="1" applyFill="1" applyAlignment="1">
      <alignment horizontal="right"/>
      <protection locked="0" hidden="1"/>
    </xf>
    <xf numFmtId="167" fontId="83" fillId="0" borderId="11" xfId="0" applyNumberFormat="1" applyFont="1" applyFill="1" applyBorder="1" applyAlignment="1">
      <alignment horizontal="right"/>
      <protection locked="0" hidden="1"/>
    </xf>
    <xf numFmtId="167" fontId="83" fillId="0" borderId="1" xfId="0" applyNumberFormat="1" applyFont="1" applyFill="1" applyBorder="1" applyAlignment="1">
      <alignment horizontal="right"/>
      <protection locked="0" hidden="1"/>
    </xf>
    <xf numFmtId="189" fontId="116" fillId="0" borderId="11" xfId="0" applyNumberFormat="1" applyFont="1" applyFill="1" applyBorder="1" applyAlignment="1">
      <alignment horizontal="right" vertical="top"/>
      <protection locked="0" hidden="1"/>
    </xf>
    <xf numFmtId="185" fontId="116" fillId="0" borderId="11" xfId="0" applyNumberFormat="1" applyFont="1" applyFill="1" applyBorder="1" applyAlignment="1">
      <alignment horizontal="right" vertical="top"/>
      <protection locked="0" hidden="1"/>
    </xf>
    <xf numFmtId="179" fontId="116" fillId="0" borderId="9" xfId="0" applyNumberFormat="1" applyFont="1" applyFill="1" applyBorder="1" applyAlignment="1">
      <alignment horizontal="right"/>
      <protection locked="0" hidden="1"/>
    </xf>
    <xf numFmtId="186" fontId="83" fillId="0" borderId="11" xfId="0" applyNumberFormat="1" applyFont="1" applyFill="1" applyBorder="1" applyAlignment="1">
      <protection locked="0" hidden="1"/>
    </xf>
    <xf numFmtId="193" fontId="83" fillId="0" borderId="11" xfId="0" applyNumberFormat="1" applyFont="1" applyFill="1" applyBorder="1" applyAlignment="1">
      <protection locked="0" hidden="1"/>
    </xf>
    <xf numFmtId="223" fontId="83" fillId="0" borderId="11" xfId="0" applyNumberFormat="1" applyFont="1" applyFill="1" applyBorder="1" applyAlignment="1">
      <alignment horizontal="right"/>
      <protection locked="0" hidden="1"/>
    </xf>
    <xf numFmtId="229" fontId="22" fillId="0" borderId="11" xfId="0" applyNumberFormat="1" applyFont="1" applyFill="1" applyBorder="1" applyAlignment="1">
      <protection locked="0" hidden="1"/>
    </xf>
    <xf numFmtId="164" fontId="22" fillId="0" borderId="9" xfId="0" applyNumberFormat="1" applyFont="1" applyFill="1" applyBorder="1" applyAlignment="1">
      <alignment horizontal="center"/>
      <protection locked="0" hidden="1"/>
    </xf>
    <xf numFmtId="208" fontId="83" fillId="0" borderId="11" xfId="0" applyNumberFormat="1" applyFont="1" applyFill="1" applyBorder="1" applyAlignment="1">
      <alignment horizontal="right"/>
      <protection locked="0" hidden="1"/>
    </xf>
    <xf numFmtId="0" fontId="93" fillId="0" borderId="0" xfId="22" applyFont="1" applyAlignment="1">
      <alignment horizontal="centerContinuous" wrapText="1"/>
    </xf>
    <xf numFmtId="221" fontId="83" fillId="0" borderId="1" xfId="0" applyNumberFormat="1" applyFont="1" applyFill="1" applyBorder="1" applyAlignment="1">
      <alignment horizontal="right"/>
      <protection locked="0" hidden="1"/>
    </xf>
    <xf numFmtId="195" fontId="83" fillId="0" borderId="11" xfId="0" applyNumberFormat="1" applyFont="1" applyFill="1" applyBorder="1" applyAlignment="1">
      <protection locked="0" hidden="1"/>
    </xf>
    <xf numFmtId="183" fontId="83" fillId="0" borderId="11" xfId="0" applyNumberFormat="1" applyFont="1" applyFill="1" applyBorder="1" applyAlignment="1">
      <protection locked="0" hidden="1"/>
    </xf>
    <xf numFmtId="217" fontId="82" fillId="0" borderId="11" xfId="2" applyNumberFormat="1" applyFont="1" applyBorder="1"/>
    <xf numFmtId="175" fontId="83" fillId="0" borderId="11" xfId="0" applyNumberFormat="1" applyFont="1" applyFill="1" applyBorder="1" applyAlignment="1">
      <protection locked="0" hidden="1"/>
    </xf>
    <xf numFmtId="214" fontId="116" fillId="0" borderId="11" xfId="0" applyNumberFormat="1" applyFont="1" applyFill="1" applyBorder="1" applyAlignment="1">
      <protection locked="0" hidden="1"/>
    </xf>
    <xf numFmtId="187" fontId="83" fillId="0" borderId="11" xfId="0" applyNumberFormat="1" applyFont="1" applyFill="1" applyBorder="1" applyAlignment="1">
      <alignment horizontal="right"/>
      <protection locked="0" hidden="1"/>
    </xf>
    <xf numFmtId="170" fontId="83" fillId="0" borderId="9" xfId="0" applyNumberFormat="1" applyFont="1" applyFill="1" applyBorder="1" applyAlignment="1">
      <alignment horizontal="right" indent="1"/>
      <protection locked="0" hidden="1"/>
    </xf>
    <xf numFmtId="3" fontId="85" fillId="0" borderId="11" xfId="0" applyNumberFormat="1" applyFont="1" applyFill="1" applyBorder="1" applyAlignment="1">
      <alignment horizontal="right"/>
      <protection locked="0" hidden="1"/>
    </xf>
    <xf numFmtId="212" fontId="154" fillId="0" borderId="8" xfId="2" applyNumberFormat="1" applyFont="1" applyFill="1" applyBorder="1" applyAlignment="1" applyProtection="1"/>
    <xf numFmtId="206" fontId="86" fillId="0" borderId="0" xfId="0" applyNumberFormat="1" applyFont="1" applyFill="1" applyAlignment="1" applyProtection="1"/>
    <xf numFmtId="164" fontId="18" fillId="0" borderId="11" xfId="22" applyNumberFormat="1" applyFont="1" applyBorder="1" applyAlignment="1">
      <alignment horizontal="right" indent="3"/>
    </xf>
    <xf numFmtId="166" fontId="50" fillId="0" borderId="9" xfId="31" applyNumberFormat="1" applyFont="1" applyBorder="1" applyAlignment="1" applyProtection="1">
      <alignment horizontal="left"/>
      <protection locked="0" hidden="1"/>
    </xf>
    <xf numFmtId="166" fontId="50" fillId="0" borderId="9" xfId="27" applyNumberFormat="1" applyFont="1" applyBorder="1" applyAlignment="1" applyProtection="1">
      <alignment horizontal="left"/>
      <protection locked="0" hidden="1"/>
    </xf>
    <xf numFmtId="166" fontId="21" fillId="0" borderId="10" xfId="27" applyNumberFormat="1" applyFont="1" applyBorder="1" applyAlignment="1" applyProtection="1">
      <alignment horizontal="left"/>
      <protection locked="0" hidden="1"/>
    </xf>
    <xf numFmtId="189" fontId="116" fillId="0" borderId="11" xfId="0" applyNumberFormat="1" applyFont="1" applyFill="1" applyBorder="1" applyAlignment="1">
      <alignment horizontal="center"/>
      <protection locked="0" hidden="1"/>
    </xf>
    <xf numFmtId="169" fontId="116" fillId="0" borderId="0" xfId="0" applyNumberFormat="1" applyFont="1" applyFill="1" applyAlignment="1">
      <protection locked="0" hidden="1"/>
    </xf>
    <xf numFmtId="4" fontId="116" fillId="0" borderId="11" xfId="0" applyNumberFormat="1" applyFont="1" applyFill="1" applyBorder="1" applyAlignment="1">
      <alignment horizontal="right" indent="2"/>
      <protection locked="0" hidden="1"/>
    </xf>
    <xf numFmtId="212" fontId="35" fillId="0" borderId="8" xfId="0" applyNumberFormat="1" applyFont="1" applyFill="1" applyBorder="1" applyAlignment="1" applyProtection="1">
      <alignment horizontal="right"/>
    </xf>
    <xf numFmtId="170" fontId="50" fillId="0" borderId="12" xfId="0" applyNumberFormat="1" applyFont="1" applyFill="1" applyBorder="1" applyAlignment="1">
      <alignment horizontal="right"/>
      <protection locked="0" hidden="1"/>
    </xf>
    <xf numFmtId="166" fontId="118" fillId="0" borderId="11" xfId="0" applyFont="1" applyFill="1" applyBorder="1" applyAlignment="1">
      <alignment horizontal="right" readingOrder="2"/>
      <protection locked="0" hidden="1"/>
    </xf>
    <xf numFmtId="189" fontId="18" fillId="0" borderId="11" xfId="0" applyNumberFormat="1" applyFont="1" applyFill="1" applyBorder="1" applyAlignment="1">
      <alignment horizontal="center"/>
      <protection locked="0" hidden="1"/>
    </xf>
    <xf numFmtId="182" fontId="83" fillId="0" borderId="11" xfId="0" applyNumberFormat="1" applyFont="1" applyFill="1" applyBorder="1" applyAlignment="1">
      <protection locked="0" hidden="1"/>
    </xf>
    <xf numFmtId="0" fontId="8" fillId="0" borderId="0" xfId="22" applyFont="1" applyAlignment="1">
      <alignment horizontal="center" vertical="center" textRotation="90"/>
    </xf>
    <xf numFmtId="225" fontId="0" fillId="0" borderId="0" xfId="23" applyNumberFormat="1" applyFont="1"/>
    <xf numFmtId="165" fontId="80" fillId="0" borderId="9" xfId="0" applyNumberFormat="1" applyFont="1" applyFill="1" applyBorder="1" applyAlignment="1" applyProtection="1">
      <alignment horizontal="right" indent="2"/>
    </xf>
    <xf numFmtId="165" fontId="80" fillId="0" borderId="9" xfId="0" applyNumberFormat="1" applyFont="1" applyFill="1" applyBorder="1" applyAlignment="1" applyProtection="1">
      <alignment horizontal="right" vertical="top" indent="2"/>
    </xf>
    <xf numFmtId="165" fontId="48" fillId="0" borderId="9" xfId="0" applyNumberFormat="1" applyFont="1" applyFill="1" applyBorder="1" applyAlignment="1" applyProtection="1">
      <alignment horizontal="right" indent="2"/>
    </xf>
    <xf numFmtId="166" fontId="38" fillId="0" borderId="0" xfId="0" applyFont="1" applyFill="1" applyAlignment="1">
      <alignment horizontal="right" readingOrder="2"/>
      <protection locked="0" hidden="1"/>
    </xf>
    <xf numFmtId="166" fontId="0" fillId="0" borderId="0" xfId="0" applyFill="1" applyAlignment="1">
      <alignment readingOrder="2"/>
      <protection locked="0" hidden="1"/>
    </xf>
    <xf numFmtId="206" fontId="79" fillId="0" borderId="3" xfId="0" applyNumberFormat="1" applyFont="1" applyFill="1" applyBorder="1" applyAlignment="1">
      <protection locked="0" hidden="1"/>
    </xf>
    <xf numFmtId="206" fontId="105" fillId="0" borderId="4" xfId="0" applyNumberFormat="1" applyFont="1" applyFill="1" applyBorder="1" applyAlignment="1">
      <protection locked="0" hidden="1"/>
    </xf>
    <xf numFmtId="206" fontId="6" fillId="0" borderId="3" xfId="0" applyNumberFormat="1" applyFont="1" applyFill="1" applyBorder="1" applyAlignment="1">
      <protection locked="0" hidden="1"/>
    </xf>
    <xf numFmtId="166" fontId="105" fillId="0" borderId="3" xfId="0" applyFont="1" applyFill="1" applyBorder="1" applyAlignment="1">
      <protection locked="0" hidden="1"/>
    </xf>
    <xf numFmtId="165" fontId="18" fillId="0" borderId="1" xfId="0" applyNumberFormat="1" applyFont="1" applyFill="1" applyBorder="1" applyAlignment="1">
      <alignment horizontal="right"/>
      <protection locked="0" hidden="1"/>
    </xf>
    <xf numFmtId="166" fontId="107" fillId="0" borderId="5" xfId="26" applyFont="1" applyFill="1" applyBorder="1" applyAlignment="1" applyProtection="1">
      <alignment horizontal="centerContinuous" vertical="center" wrapText="1"/>
    </xf>
    <xf numFmtId="166" fontId="107" fillId="0" borderId="22" xfId="26" applyFont="1" applyFill="1" applyBorder="1" applyAlignment="1" applyProtection="1">
      <alignment horizontal="centerContinuous" vertical="center" wrapText="1"/>
    </xf>
    <xf numFmtId="166" fontId="107" fillId="0" borderId="21" xfId="26" applyFont="1" applyFill="1" applyBorder="1" applyAlignment="1" applyProtection="1">
      <alignment horizontal="centerContinuous" vertical="center" wrapText="1"/>
    </xf>
    <xf numFmtId="170" fontId="83" fillId="0" borderId="19" xfId="0" applyNumberFormat="1" applyFont="1" applyFill="1" applyBorder="1" applyAlignment="1">
      <alignment horizontal="right" indent="1"/>
      <protection locked="0" hidden="1"/>
    </xf>
    <xf numFmtId="206" fontId="127" fillId="0" borderId="1" xfId="0" applyNumberFormat="1" applyFont="1" applyFill="1" applyBorder="1" applyAlignment="1" applyProtection="1">
      <alignment vertical="center"/>
    </xf>
    <xf numFmtId="165" fontId="83" fillId="0" borderId="11" xfId="0" applyNumberFormat="1" applyFont="1" applyFill="1" applyBorder="1" applyAlignment="1">
      <alignment horizontal="right" indent="2"/>
      <protection locked="0" hidden="1"/>
    </xf>
    <xf numFmtId="172" fontId="83" fillId="0" borderId="11" xfId="0" applyNumberFormat="1" applyFont="1" applyFill="1" applyBorder="1" applyAlignment="1">
      <protection locked="0" hidden="1"/>
    </xf>
    <xf numFmtId="172" fontId="83" fillId="0" borderId="1" xfId="0" applyNumberFormat="1" applyFont="1" applyFill="1" applyBorder="1" applyAlignment="1">
      <protection locked="0" hidden="1"/>
    </xf>
    <xf numFmtId="217" fontId="134" fillId="0" borderId="8" xfId="2" applyNumberFormat="1" applyFont="1" applyFill="1" applyBorder="1" applyAlignment="1" applyProtection="1"/>
    <xf numFmtId="181" fontId="83" fillId="0" borderId="11" xfId="0" applyNumberFormat="1" applyFont="1" applyFill="1" applyBorder="1" applyAlignment="1">
      <protection locked="0" hidden="1"/>
    </xf>
    <xf numFmtId="206" fontId="18" fillId="0" borderId="1" xfId="0" applyNumberFormat="1" applyFont="1" applyFill="1" applyBorder="1" applyAlignment="1">
      <protection locked="0" hidden="1"/>
    </xf>
    <xf numFmtId="172" fontId="116" fillId="0" borderId="1" xfId="0" applyNumberFormat="1" applyFont="1" applyFill="1" applyBorder="1" applyAlignment="1">
      <alignment horizontal="right"/>
      <protection locked="0" hidden="1"/>
    </xf>
    <xf numFmtId="206" fontId="79" fillId="0" borderId="8" xfId="0" applyNumberFormat="1" applyFont="1" applyFill="1" applyBorder="1" applyAlignment="1">
      <alignment horizontal="center"/>
      <protection locked="0" hidden="1"/>
    </xf>
    <xf numFmtId="0" fontId="107" fillId="0" borderId="0" xfId="26" applyNumberFormat="1" applyFont="1" applyFill="1" applyAlignment="1" applyProtection="1">
      <alignment horizontal="center" readingOrder="2"/>
    </xf>
    <xf numFmtId="166" fontId="22" fillId="0" borderId="1" xfId="26" applyFont="1" applyFill="1" applyBorder="1" applyAlignment="1">
      <alignment horizontal="right" indent="3"/>
      <protection locked="0" hidden="1"/>
    </xf>
    <xf numFmtId="3" fontId="22" fillId="0" borderId="11" xfId="26" applyNumberFormat="1" applyFont="1" applyFill="1" applyBorder="1" applyAlignment="1">
      <alignment horizontal="right" indent="2"/>
      <protection locked="0" hidden="1"/>
    </xf>
    <xf numFmtId="3" fontId="22" fillId="0" borderId="11" xfId="26" applyNumberFormat="1" applyFont="1" applyFill="1" applyBorder="1" applyAlignment="1">
      <alignment horizontal="right" indent="3"/>
      <protection locked="0" hidden="1"/>
    </xf>
    <xf numFmtId="4" fontId="22" fillId="0" borderId="11" xfId="26" applyNumberFormat="1" applyFont="1" applyFill="1" applyBorder="1" applyAlignment="1">
      <alignment horizontal="center"/>
      <protection locked="0" hidden="1"/>
    </xf>
    <xf numFmtId="4" fontId="22" fillId="0" borderId="11" xfId="26" applyNumberFormat="1" applyFont="1" applyFill="1" applyBorder="1" applyAlignment="1">
      <alignment horizontal="right" indent="2"/>
      <protection locked="0" hidden="1"/>
    </xf>
    <xf numFmtId="2" fontId="22" fillId="0" borderId="11" xfId="22" applyNumberFormat="1" applyFont="1" applyBorder="1" applyAlignment="1">
      <alignment horizontal="right" indent="3"/>
    </xf>
    <xf numFmtId="2" fontId="22" fillId="0" borderId="11" xfId="26" applyNumberFormat="1" applyFont="1" applyFill="1" applyBorder="1" applyAlignment="1">
      <alignment horizontal="right" indent="3"/>
      <protection locked="0" hidden="1"/>
    </xf>
    <xf numFmtId="3" fontId="8" fillId="0" borderId="11" xfId="22" applyNumberFormat="1" applyFont="1" applyBorder="1" applyAlignment="1">
      <alignment horizontal="center" readingOrder="1"/>
    </xf>
    <xf numFmtId="197" fontId="18" fillId="0" borderId="0" xfId="0" applyNumberFormat="1" applyFont="1" applyFill="1" applyAlignment="1">
      <protection locked="0" hidden="1"/>
    </xf>
    <xf numFmtId="197" fontId="18" fillId="0" borderId="3" xfId="0" applyNumberFormat="1" applyFont="1" applyFill="1" applyBorder="1" applyAlignment="1">
      <protection locked="0" hidden="1"/>
    </xf>
    <xf numFmtId="197" fontId="18" fillId="0" borderId="8" xfId="0" applyNumberFormat="1" applyFont="1" applyFill="1" applyBorder="1" applyAlignment="1">
      <protection locked="0" hidden="1"/>
    </xf>
    <xf numFmtId="197" fontId="18" fillId="0" borderId="10" xfId="0" applyNumberFormat="1" applyFont="1" applyFill="1" applyBorder="1" applyAlignment="1">
      <protection locked="0" hidden="1"/>
    </xf>
    <xf numFmtId="166" fontId="126" fillId="0" borderId="10" xfId="0" applyFont="1" applyFill="1" applyBorder="1" applyAlignment="1">
      <alignment horizontal="left" readingOrder="1"/>
      <protection locked="0" hidden="1"/>
    </xf>
    <xf numFmtId="165" fontId="6" fillId="0" borderId="11" xfId="0" applyNumberFormat="1" applyFont="1" applyFill="1" applyBorder="1" applyAlignment="1" applyProtection="1">
      <alignment horizontal="right" indent="1"/>
    </xf>
    <xf numFmtId="165" fontId="6" fillId="0" borderId="8" xfId="26" applyNumberFormat="1" applyFont="1" applyFill="1" applyBorder="1" applyAlignment="1" applyProtection="1">
      <alignment horizontal="right" indent="1"/>
    </xf>
    <xf numFmtId="165" fontId="12" fillId="0" borderId="8" xfId="26" applyNumberFormat="1" applyFont="1" applyFill="1" applyBorder="1" applyAlignment="1" applyProtection="1">
      <alignment horizontal="right" indent="1"/>
    </xf>
    <xf numFmtId="165" fontId="6" fillId="0" borderId="8" xfId="26" applyNumberFormat="1" applyFont="1" applyFill="1" applyBorder="1" applyAlignment="1" applyProtection="1">
      <alignment horizontal="right" indent="2"/>
    </xf>
    <xf numFmtId="165" fontId="12" fillId="0" borderId="8" xfId="26" applyNumberFormat="1" applyFont="1" applyFill="1" applyBorder="1" applyAlignment="1" applyProtection="1">
      <alignment horizontal="right" indent="2"/>
    </xf>
    <xf numFmtId="165" fontId="12" fillId="0" borderId="11" xfId="26" applyNumberFormat="1" applyFont="1" applyFill="1" applyBorder="1" applyAlignment="1" applyProtection="1">
      <alignment horizontal="right" indent="2"/>
    </xf>
    <xf numFmtId="165" fontId="12" fillId="0" borderId="11" xfId="26" applyNumberFormat="1" applyFont="1" applyFill="1" applyBorder="1" applyAlignment="1" applyProtection="1">
      <alignment horizontal="right" indent="1"/>
    </xf>
    <xf numFmtId="0" fontId="8" fillId="0" borderId="7" xfId="22" applyFont="1" applyBorder="1" applyAlignment="1">
      <alignment horizontal="center" vertical="center" textRotation="90"/>
    </xf>
    <xf numFmtId="171" fontId="83" fillId="0" borderId="1" xfId="0" applyNumberFormat="1" applyFont="1" applyFill="1" applyBorder="1" applyAlignment="1">
      <alignment horizontal="right"/>
      <protection locked="0" hidden="1"/>
    </xf>
    <xf numFmtId="170" fontId="83" fillId="0" borderId="11" xfId="0" applyNumberFormat="1" applyFont="1" applyFill="1" applyBorder="1" applyAlignment="1">
      <alignment horizontal="right" indent="1"/>
      <protection locked="0" hidden="1"/>
    </xf>
    <xf numFmtId="166" fontId="126" fillId="0" borderId="4" xfId="0" applyFont="1" applyFill="1" applyBorder="1" applyAlignment="1">
      <alignment horizontal="left" readingOrder="1"/>
      <protection locked="0" hidden="1"/>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4" xfId="22" applyFont="1" applyBorder="1" applyAlignment="1">
      <alignment horizontal="center" vertical="center"/>
    </xf>
    <xf numFmtId="0" fontId="19" fillId="0" borderId="10" xfId="22" applyFont="1" applyBorder="1" applyAlignment="1">
      <alignment horizontal="center" vertical="center"/>
    </xf>
    <xf numFmtId="0" fontId="19" fillId="0" borderId="4" xfId="22" applyFont="1" applyBorder="1" applyAlignment="1">
      <alignment horizontal="center" vertical="center" readingOrder="2"/>
    </xf>
    <xf numFmtId="0" fontId="19" fillId="0" borderId="10" xfId="22" applyFont="1" applyBorder="1" applyAlignment="1">
      <alignment horizontal="center" vertical="center" readingOrder="2"/>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7" fillId="0" borderId="0" xfId="22" applyFont="1" applyAlignment="1">
      <alignment horizontal="center" vertical="top"/>
    </xf>
    <xf numFmtId="0" fontId="12" fillId="0" borderId="0" xfId="22" applyFont="1" applyAlignment="1">
      <alignment horizontal="center" vertical="top"/>
    </xf>
    <xf numFmtId="0" fontId="6" fillId="0" borderId="0" xfId="27" applyFont="1" applyAlignment="1" applyProtection="1">
      <alignment horizontal="left"/>
      <protection locked="0" hidden="1"/>
    </xf>
    <xf numFmtId="0" fontId="19" fillId="0" borderId="2" xfId="22" applyFont="1" applyBorder="1" applyAlignment="1">
      <alignment horizontal="center"/>
    </xf>
    <xf numFmtId="0" fontId="19" fillId="0" borderId="6" xfId="22" applyFont="1" applyBorder="1" applyAlignment="1">
      <alignment horizontal="center"/>
    </xf>
    <xf numFmtId="0" fontId="16" fillId="8" borderId="23" xfId="28" applyFont="1" applyFill="1" applyBorder="1" applyAlignment="1">
      <alignment horizontal="left" vertical="top" wrapText="1"/>
    </xf>
    <xf numFmtId="0" fontId="81" fillId="7" borderId="23" xfId="28" applyFont="1" applyFill="1" applyBorder="1" applyAlignment="1">
      <alignment horizontal="left" vertical="top" wrapText="1"/>
    </xf>
    <xf numFmtId="0" fontId="81" fillId="7" borderId="23" xfId="28" applyFont="1" applyFill="1" applyBorder="1" applyAlignment="1">
      <alignment horizontal="left" vertical="center" wrapText="1"/>
    </xf>
    <xf numFmtId="0" fontId="80" fillId="9" borderId="23" xfId="28" applyFont="1" applyFill="1" applyBorder="1" applyAlignment="1">
      <alignment horizontal="center" vertical="center"/>
    </xf>
    <xf numFmtId="0" fontId="80" fillId="7" borderId="23" xfId="28" applyFont="1" applyFill="1" applyBorder="1" applyAlignment="1">
      <alignment horizontal="left" vertical="center"/>
    </xf>
    <xf numFmtId="0" fontId="16" fillId="5" borderId="23" xfId="28" applyFont="1" applyFill="1" applyBorder="1" applyAlignment="1">
      <alignment horizontal="left" vertical="center" wrapText="1"/>
    </xf>
    <xf numFmtId="0" fontId="80" fillId="8" borderId="12" xfId="28" applyFont="1" applyFill="1" applyBorder="1" applyAlignment="1">
      <alignment horizontal="left" vertical="center"/>
    </xf>
    <xf numFmtId="0" fontId="80" fillId="8" borderId="8" xfId="28" applyFont="1" applyFill="1" applyBorder="1" applyAlignment="1">
      <alignment horizontal="left" vertical="center"/>
    </xf>
    <xf numFmtId="0" fontId="81" fillId="8" borderId="23" xfId="28" applyFont="1" applyFill="1" applyBorder="1" applyAlignment="1">
      <alignment horizontal="left" vertical="top" wrapText="1"/>
    </xf>
    <xf numFmtId="0" fontId="138" fillId="5" borderId="23" xfId="28" applyFont="1" applyFill="1" applyBorder="1" applyAlignment="1">
      <alignment horizontal="left" vertical="top" wrapText="1"/>
    </xf>
    <xf numFmtId="0" fontId="140" fillId="5" borderId="23" xfId="28" applyFont="1" applyFill="1" applyBorder="1" applyAlignment="1">
      <alignment horizontal="left" vertical="top" wrapText="1"/>
    </xf>
    <xf numFmtId="0" fontId="81" fillId="5" borderId="23" xfId="28" applyFont="1" applyFill="1" applyBorder="1" applyAlignment="1">
      <alignment horizontal="left" vertical="top" wrapText="1"/>
    </xf>
    <xf numFmtId="0" fontId="80" fillId="5" borderId="23" xfId="28" applyFont="1" applyFill="1" applyBorder="1" applyAlignment="1">
      <alignment horizontal="center" vertical="center" wrapText="1"/>
    </xf>
    <xf numFmtId="0" fontId="81" fillId="0" borderId="21" xfId="28" applyFont="1" applyBorder="1" applyAlignment="1">
      <alignment horizontal="left" vertical="top" wrapText="1"/>
    </xf>
    <xf numFmtId="0" fontId="81" fillId="0" borderId="5" xfId="28" applyFont="1" applyBorder="1" applyAlignment="1">
      <alignment horizontal="left" vertical="top" wrapText="1"/>
    </xf>
    <xf numFmtId="0" fontId="81" fillId="0" borderId="22" xfId="28" applyFont="1" applyBorder="1" applyAlignment="1">
      <alignment horizontal="left" vertical="top" wrapText="1"/>
    </xf>
    <xf numFmtId="0" fontId="80" fillId="5" borderId="23" xfId="28" applyFont="1" applyFill="1" applyBorder="1" applyAlignment="1">
      <alignment horizontal="center" vertical="center"/>
    </xf>
    <xf numFmtId="49" fontId="81" fillId="5" borderId="23" xfId="28" applyNumberFormat="1" applyFont="1" applyFill="1" applyBorder="1" applyAlignment="1">
      <alignment horizontal="left" vertical="top" wrapText="1"/>
    </xf>
    <xf numFmtId="0" fontId="81" fillId="5" borderId="23" xfId="28" applyFont="1" applyFill="1" applyBorder="1" applyAlignment="1">
      <alignment horizontal="left" vertical="center" wrapText="1"/>
    </xf>
    <xf numFmtId="0" fontId="81" fillId="8" borderId="21" xfId="28" applyFont="1" applyFill="1" applyBorder="1" applyAlignment="1">
      <alignment horizontal="left" vertical="top" wrapText="1"/>
    </xf>
    <xf numFmtId="0" fontId="81" fillId="8" borderId="5" xfId="28" applyFont="1" applyFill="1" applyBorder="1" applyAlignment="1">
      <alignment horizontal="left" vertical="top" wrapText="1"/>
    </xf>
    <xf numFmtId="0" fontId="81" fillId="8" borderId="22" xfId="28" applyFont="1" applyFill="1" applyBorder="1" applyAlignment="1">
      <alignment horizontal="left" vertical="top" wrapText="1"/>
    </xf>
    <xf numFmtId="0" fontId="80" fillId="8" borderId="23" xfId="28" applyFont="1" applyFill="1" applyBorder="1" applyAlignment="1">
      <alignment horizontal="left" vertical="center"/>
    </xf>
    <xf numFmtId="0" fontId="88" fillId="0" borderId="3" xfId="28" applyFont="1" applyBorder="1" applyAlignment="1">
      <alignment horizontal="center"/>
    </xf>
    <xf numFmtId="0" fontId="88" fillId="6" borderId="21" xfId="28" applyFont="1" applyFill="1" applyBorder="1" applyAlignment="1">
      <alignment horizontal="center" vertical="center"/>
    </xf>
    <xf numFmtId="0" fontId="88" fillId="6" borderId="5" xfId="28" applyFont="1" applyFill="1" applyBorder="1" applyAlignment="1">
      <alignment horizontal="center" vertical="center"/>
    </xf>
    <xf numFmtId="0" fontId="88" fillId="6" borderId="22" xfId="28" applyFont="1" applyFill="1" applyBorder="1" applyAlignment="1">
      <alignment horizontal="center" vertical="center"/>
    </xf>
    <xf numFmtId="0" fontId="80" fillId="0" borderId="12" xfId="21" applyFont="1" applyBorder="1" applyAlignment="1">
      <alignment horizontal="center" vertical="center"/>
    </xf>
    <xf numFmtId="0" fontId="80" fillId="0" borderId="11" xfId="21" applyFont="1" applyBorder="1" applyAlignment="1">
      <alignment horizontal="center" vertical="center"/>
    </xf>
    <xf numFmtId="0" fontId="80" fillId="0" borderId="8" xfId="21" applyFont="1" applyBorder="1" applyAlignment="1">
      <alignment horizontal="center" vertical="center"/>
    </xf>
    <xf numFmtId="0" fontId="88" fillId="0" borderId="12" xfId="21" applyFont="1" applyBorder="1" applyAlignment="1">
      <alignment horizontal="center" vertical="center"/>
    </xf>
    <xf numFmtId="0" fontId="88" fillId="0" borderId="11" xfId="21" applyFont="1" applyBorder="1" applyAlignment="1">
      <alignment horizontal="center" vertical="center"/>
    </xf>
    <xf numFmtId="0" fontId="88" fillId="0" borderId="8" xfId="21" applyFont="1" applyBorder="1" applyAlignment="1">
      <alignment horizontal="center" vertical="center"/>
    </xf>
    <xf numFmtId="0" fontId="14" fillId="0" borderId="2" xfId="0" applyNumberFormat="1" applyFont="1" applyFill="1" applyBorder="1" applyAlignment="1" applyProtection="1">
      <alignment horizontal="center"/>
    </xf>
    <xf numFmtId="0" fontId="14" fillId="0" borderId="6"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xf>
    <xf numFmtId="0" fontId="12" fillId="0" borderId="10" xfId="0" applyNumberFormat="1" applyFont="1" applyFill="1" applyBorder="1" applyAlignment="1" applyProtection="1">
      <alignment horizontal="center"/>
    </xf>
    <xf numFmtId="166" fontId="14" fillId="0" borderId="2" xfId="0" applyFont="1" applyFill="1" applyBorder="1" applyAlignment="1">
      <alignment horizontal="center" readingOrder="2"/>
      <protection locked="0" hidden="1"/>
    </xf>
    <xf numFmtId="166" fontId="14" fillId="0" borderId="6" xfId="0" applyFont="1" applyFill="1" applyBorder="1" applyAlignment="1">
      <alignment horizontal="center" readingOrder="2"/>
      <protection locked="0" hidden="1"/>
    </xf>
    <xf numFmtId="166" fontId="14" fillId="0" borderId="1" xfId="0" applyFont="1" applyFill="1" applyBorder="1" applyAlignment="1">
      <alignment horizontal="center" readingOrder="2"/>
      <protection locked="0" hidden="1"/>
    </xf>
    <xf numFmtId="166" fontId="14" fillId="0" borderId="9" xfId="0" applyFont="1" applyFill="1" applyBorder="1" applyAlignment="1">
      <alignment horizontal="center" readingOrder="2"/>
      <protection locked="0" hidden="1"/>
    </xf>
    <xf numFmtId="166" fontId="108" fillId="0" borderId="12" xfId="0" applyFont="1" applyFill="1" applyBorder="1" applyAlignment="1">
      <alignment horizontal="center" vertical="center" readingOrder="2"/>
      <protection locked="0" hidden="1"/>
    </xf>
    <xf numFmtId="166" fontId="108" fillId="0" borderId="11" xfId="0" applyFont="1" applyFill="1" applyBorder="1" applyAlignment="1">
      <alignment horizontal="center" vertical="center" readingOrder="2"/>
      <protection locked="0" hidden="1"/>
    </xf>
    <xf numFmtId="166" fontId="108" fillId="0" borderId="8" xfId="0" applyFont="1" applyFill="1" applyBorder="1" applyAlignment="1">
      <alignment horizontal="center" vertical="center" readingOrder="2"/>
      <protection locked="0" hidden="1"/>
    </xf>
    <xf numFmtId="166" fontId="112" fillId="0" borderId="12" xfId="0" applyFont="1" applyFill="1" applyBorder="1" applyAlignment="1">
      <alignment horizontal="center" vertical="center" wrapText="1"/>
      <protection locked="0" hidden="1"/>
    </xf>
    <xf numFmtId="166" fontId="112" fillId="0" borderId="11" xfId="0" applyFont="1" applyFill="1" applyBorder="1" applyAlignment="1">
      <alignment horizontal="center" vertical="center" wrapText="1"/>
      <protection locked="0" hidden="1"/>
    </xf>
    <xf numFmtId="166" fontId="112" fillId="0" borderId="8" xfId="0" applyFont="1" applyFill="1" applyBorder="1" applyAlignment="1">
      <alignment horizontal="center" vertical="center" wrapText="1"/>
      <protection locked="0" hidden="1"/>
    </xf>
    <xf numFmtId="0" fontId="8" fillId="0" borderId="0" xfId="22" applyFont="1" applyAlignment="1">
      <alignment horizontal="center" vertical="center" textRotation="90"/>
    </xf>
    <xf numFmtId="0" fontId="25" fillId="0" borderId="1" xfId="0" applyNumberFormat="1" applyFont="1" applyFill="1" applyBorder="1" applyAlignment="1" applyProtection="1">
      <alignment horizontal="center" vertical="top" wrapText="1"/>
    </xf>
    <xf numFmtId="0" fontId="25" fillId="0" borderId="9" xfId="0" applyNumberFormat="1" applyFont="1" applyFill="1" applyBorder="1" applyAlignment="1" applyProtection="1">
      <alignment horizontal="center" vertical="top" wrapText="1"/>
    </xf>
    <xf numFmtId="0" fontId="25" fillId="0" borderId="4" xfId="0" applyNumberFormat="1" applyFont="1" applyFill="1" applyBorder="1" applyAlignment="1" applyProtection="1">
      <alignment horizontal="center" vertical="top" wrapText="1"/>
    </xf>
    <xf numFmtId="0" fontId="25" fillId="0" borderId="10" xfId="0" applyNumberFormat="1" applyFont="1" applyFill="1" applyBorder="1" applyAlignment="1" applyProtection="1">
      <alignment horizontal="center" vertical="top" wrapText="1"/>
    </xf>
    <xf numFmtId="0" fontId="26" fillId="0" borderId="2" xfId="0" applyNumberFormat="1" applyFont="1" applyFill="1" applyBorder="1" applyAlignment="1" applyProtection="1">
      <alignment horizontal="center"/>
    </xf>
    <xf numFmtId="0" fontId="26" fillId="0" borderId="6" xfId="0" applyNumberFormat="1" applyFont="1" applyFill="1" applyBorder="1" applyAlignment="1" applyProtection="1">
      <alignment horizontal="center"/>
    </xf>
    <xf numFmtId="0" fontId="26" fillId="0" borderId="1" xfId="0" applyNumberFormat="1" applyFont="1" applyFill="1" applyBorder="1" applyAlignment="1" applyProtection="1">
      <alignment horizontal="center"/>
    </xf>
    <xf numFmtId="0" fontId="26" fillId="0" borderId="9"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 wrapText="1"/>
    </xf>
    <xf numFmtId="0" fontId="0" fillId="0" borderId="8" xfId="0" applyNumberFormat="1" applyFill="1" applyBorder="1" applyAlignment="1" applyProtection="1">
      <alignment wrapText="1"/>
    </xf>
    <xf numFmtId="0" fontId="14" fillId="0" borderId="2" xfId="0" applyNumberFormat="1" applyFont="1" applyFill="1" applyBorder="1" applyAlignment="1" applyProtection="1">
      <alignment horizontal="center" vertical="center" wrapText="1" readingOrder="2"/>
    </xf>
    <xf numFmtId="0" fontId="14" fillId="0" borderId="6" xfId="0" applyNumberFormat="1" applyFont="1" applyFill="1" applyBorder="1" applyAlignment="1" applyProtection="1">
      <alignment horizontal="center" vertical="center" wrapText="1" readingOrder="2"/>
    </xf>
    <xf numFmtId="0" fontId="14" fillId="0" borderId="1" xfId="0" applyNumberFormat="1" applyFont="1" applyFill="1" applyBorder="1" applyAlignment="1" applyProtection="1">
      <alignment horizontal="center" vertical="center" wrapText="1" readingOrder="2"/>
    </xf>
    <xf numFmtId="0" fontId="14" fillId="0" borderId="9" xfId="0" applyNumberFormat="1" applyFont="1" applyFill="1" applyBorder="1" applyAlignment="1" applyProtection="1">
      <alignment horizontal="center" vertical="center" wrapText="1" readingOrder="2"/>
    </xf>
    <xf numFmtId="0" fontId="14" fillId="0" borderId="4" xfId="0" applyNumberFormat="1" applyFont="1" applyFill="1" applyBorder="1" applyAlignment="1" applyProtection="1">
      <alignment horizontal="center" vertical="center" wrapText="1" readingOrder="2"/>
    </xf>
    <xf numFmtId="0" fontId="14" fillId="0" borderId="10" xfId="0" applyNumberFormat="1" applyFont="1" applyFill="1" applyBorder="1" applyAlignment="1" applyProtection="1">
      <alignment horizontal="center" vertical="center" wrapText="1" readingOrder="2"/>
    </xf>
    <xf numFmtId="166" fontId="12" fillId="0" borderId="11" xfId="0" applyFont="1" applyFill="1" applyBorder="1" applyAlignment="1">
      <alignment horizontal="center" vertical="center" wrapText="1"/>
      <protection locked="0" hidden="1"/>
    </xf>
    <xf numFmtId="166" fontId="12" fillId="0" borderId="8" xfId="0" applyFont="1" applyFill="1" applyBorder="1" applyAlignment="1">
      <alignment horizontal="center" vertical="center" wrapText="1"/>
      <protection locked="0" hidden="1"/>
    </xf>
    <xf numFmtId="166" fontId="12" fillId="0" borderId="11" xfId="0" applyFont="1" applyFill="1" applyBorder="1" applyAlignment="1">
      <alignment horizontal="center" vertical="center" wrapText="1" readingOrder="1"/>
      <protection locked="0" hidden="1"/>
    </xf>
    <xf numFmtId="166" fontId="12" fillId="0" borderId="8" xfId="0" applyFont="1" applyFill="1" applyBorder="1" applyAlignment="1">
      <alignment horizontal="center" vertical="center" wrapText="1" readingOrder="1"/>
      <protection locked="0" hidden="1"/>
    </xf>
    <xf numFmtId="49" fontId="91" fillId="0" borderId="0" xfId="26" applyNumberFormat="1" applyFont="1" applyFill="1" applyAlignment="1" applyProtection="1">
      <alignment horizontal="center"/>
    </xf>
    <xf numFmtId="166" fontId="107" fillId="0" borderId="12" xfId="26" applyFont="1" applyFill="1" applyBorder="1" applyAlignment="1" applyProtection="1">
      <alignment horizontal="center" vertical="center" wrapText="1"/>
    </xf>
    <xf numFmtId="166" fontId="107" fillId="0" borderId="11" xfId="26" applyFont="1" applyFill="1" applyBorder="1" applyAlignment="1" applyProtection="1">
      <alignment horizontal="center" vertical="center" wrapText="1"/>
    </xf>
    <xf numFmtId="166" fontId="107" fillId="0" borderId="8" xfId="26" applyFont="1" applyFill="1" applyBorder="1" applyAlignment="1" applyProtection="1">
      <alignment horizontal="center" vertical="center" wrapText="1"/>
    </xf>
    <xf numFmtId="166" fontId="107" fillId="0" borderId="21" xfId="26" applyFont="1" applyFill="1" applyBorder="1" applyAlignment="1" applyProtection="1">
      <alignment horizontal="center" vertical="center" wrapText="1"/>
    </xf>
    <xf numFmtId="166" fontId="107" fillId="0" borderId="22" xfId="26" applyFont="1" applyFill="1" applyBorder="1" applyAlignment="1" applyProtection="1">
      <alignment horizontal="center" vertical="center" wrapText="1"/>
    </xf>
    <xf numFmtId="166" fontId="6" fillId="0" borderId="0" xfId="0" applyFont="1" applyFill="1" applyAlignment="1">
      <alignment horizontal="left"/>
      <protection locked="0" hidden="1"/>
    </xf>
    <xf numFmtId="2" fontId="88" fillId="0" borderId="12" xfId="0" applyNumberFormat="1" applyFont="1" applyFill="1" applyBorder="1" applyAlignment="1" applyProtection="1">
      <alignment horizontal="center" vertical="center" wrapText="1"/>
    </xf>
    <xf numFmtId="2" fontId="88" fillId="0" borderId="11" xfId="0" applyNumberFormat="1" applyFont="1" applyFill="1" applyBorder="1" applyAlignment="1" applyProtection="1">
      <alignment horizontal="center" vertical="center" wrapText="1"/>
    </xf>
    <xf numFmtId="2" fontId="88" fillId="0" borderId="8" xfId="0" applyNumberFormat="1" applyFont="1" applyFill="1" applyBorder="1" applyAlignment="1" applyProtection="1">
      <alignment horizontal="center" vertical="center" wrapText="1"/>
    </xf>
    <xf numFmtId="166" fontId="80" fillId="0" borderId="12" xfId="0" applyFont="1" applyFill="1" applyBorder="1" applyAlignment="1" applyProtection="1">
      <alignment horizontal="center" wrapText="1"/>
    </xf>
    <xf numFmtId="0" fontId="81" fillId="0" borderId="11" xfId="0" applyNumberFormat="1" applyFont="1" applyFill="1" applyBorder="1" applyAlignment="1" applyProtection="1"/>
    <xf numFmtId="166" fontId="80" fillId="0" borderId="4" xfId="0" applyFont="1" applyFill="1" applyBorder="1" applyAlignment="1" applyProtection="1">
      <alignment horizontal="center" vertical="center"/>
    </xf>
    <xf numFmtId="166" fontId="80" fillId="0" borderId="3" xfId="0" applyFont="1" applyFill="1" applyBorder="1" applyAlignment="1" applyProtection="1">
      <alignment horizontal="center" vertical="center"/>
    </xf>
    <xf numFmtId="166" fontId="80" fillId="0" borderId="10" xfId="0" applyFont="1" applyFill="1" applyBorder="1" applyAlignment="1" applyProtection="1">
      <alignment horizontal="center" vertical="center"/>
    </xf>
    <xf numFmtId="166" fontId="80" fillId="0" borderId="1" xfId="0" applyFont="1" applyFill="1" applyBorder="1" applyAlignment="1" applyProtection="1">
      <alignment horizontal="center" vertical="center"/>
    </xf>
    <xf numFmtId="166" fontId="80" fillId="0" borderId="0" xfId="0" applyFont="1" applyFill="1" applyAlignment="1" applyProtection="1">
      <alignment horizontal="center" vertical="center"/>
    </xf>
    <xf numFmtId="166" fontId="80" fillId="0" borderId="9" xfId="0" applyFont="1" applyFill="1" applyBorder="1" applyAlignment="1" applyProtection="1">
      <alignment horizontal="center" vertical="center"/>
    </xf>
    <xf numFmtId="166" fontId="80" fillId="0" borderId="12" xfId="0" applyFont="1" applyFill="1" applyBorder="1" applyAlignment="1" applyProtection="1">
      <alignment horizontal="center"/>
    </xf>
    <xf numFmtId="166" fontId="80" fillId="0" borderId="11" xfId="0" applyFont="1" applyFill="1" applyBorder="1" applyAlignment="1" applyProtection="1">
      <alignment horizontal="center"/>
    </xf>
    <xf numFmtId="166" fontId="80" fillId="0" borderId="11" xfId="0" applyFont="1" applyFill="1" applyBorder="1" applyAlignment="1" applyProtection="1">
      <alignment horizontal="center" vertical="top" wrapText="1"/>
    </xf>
    <xf numFmtId="0" fontId="81" fillId="0" borderId="8" xfId="0" applyNumberFormat="1" applyFont="1" applyFill="1" applyBorder="1" applyAlignment="1" applyProtection="1"/>
    <xf numFmtId="166" fontId="80" fillId="0" borderId="11" xfId="0" applyFont="1" applyFill="1" applyBorder="1" applyAlignment="1" applyProtection="1">
      <alignment horizontal="center" vertical="top"/>
    </xf>
    <xf numFmtId="166" fontId="80" fillId="0" borderId="8" xfId="0" applyFont="1" applyFill="1" applyBorder="1" applyAlignment="1" applyProtection="1">
      <alignment horizontal="center" vertical="top"/>
    </xf>
    <xf numFmtId="0" fontId="7" fillId="0" borderId="0" xfId="22" applyFont="1" applyAlignment="1">
      <alignment horizontal="center"/>
    </xf>
    <xf numFmtId="0" fontId="12" fillId="0" borderId="0" xfId="22" applyFont="1" applyAlignment="1">
      <alignment horizontal="center"/>
    </xf>
    <xf numFmtId="0" fontId="19" fillId="0" borderId="7" xfId="22" applyFont="1" applyBorder="1" applyAlignment="1">
      <alignment horizontal="center"/>
    </xf>
    <xf numFmtId="0" fontId="19" fillId="0" borderId="3" xfId="22" applyFont="1" applyBorder="1" applyAlignment="1">
      <alignment horizontal="center" vertical="center"/>
    </xf>
    <xf numFmtId="0" fontId="21" fillId="0" borderId="2" xfId="22" applyFont="1" applyBorder="1" applyAlignment="1">
      <alignment horizontal="center" vertical="center" wrapText="1"/>
    </xf>
    <xf numFmtId="0" fontId="21" fillId="0" borderId="6" xfId="22" applyFont="1" applyBorder="1" applyAlignment="1">
      <alignment horizontal="center" vertical="center" wrapText="1"/>
    </xf>
    <xf numFmtId="0" fontId="21" fillId="0" borderId="4" xfId="22" applyFont="1" applyBorder="1" applyAlignment="1">
      <alignment horizontal="center" vertical="center" wrapText="1"/>
    </xf>
    <xf numFmtId="0" fontId="21" fillId="0" borderId="10" xfId="22" applyFont="1" applyBorder="1" applyAlignment="1">
      <alignment horizontal="center" vertical="center" wrapText="1"/>
    </xf>
    <xf numFmtId="0" fontId="21" fillId="0" borderId="4" xfId="22" applyFont="1" applyBorder="1" applyAlignment="1">
      <alignment horizontal="center" vertical="center" wrapText="1" readingOrder="1"/>
    </xf>
    <xf numFmtId="0" fontId="21" fillId="0" borderId="10" xfId="22" applyFont="1" applyBorder="1" applyAlignment="1">
      <alignment horizontal="center" vertical="center" wrapText="1" readingOrder="1"/>
    </xf>
    <xf numFmtId="0" fontId="123" fillId="0" borderId="4" xfId="0" applyNumberFormat="1" applyFont="1" applyFill="1" applyBorder="1" applyAlignment="1" applyProtection="1">
      <alignment horizontal="center" vertical="top" wrapText="1" readingOrder="1"/>
    </xf>
    <xf numFmtId="166" fontId="0" fillId="0" borderId="3" xfId="0" applyFill="1" applyBorder="1" applyAlignment="1">
      <alignment wrapText="1" readingOrder="1"/>
      <protection locked="0" hidden="1"/>
    </xf>
    <xf numFmtId="166" fontId="0" fillId="0" borderId="10" xfId="0" applyFill="1" applyBorder="1" applyAlignment="1">
      <alignment wrapText="1" readingOrder="1"/>
      <protection locked="0" hidden="1"/>
    </xf>
    <xf numFmtId="0" fontId="123" fillId="0" borderId="11" xfId="0" applyNumberFormat="1" applyFont="1" applyFill="1" applyBorder="1" applyAlignment="1" applyProtection="1">
      <alignment horizontal="center" vertical="center" wrapText="1" readingOrder="1"/>
    </xf>
    <xf numFmtId="166" fontId="0" fillId="0" borderId="8" xfId="0" applyFill="1" applyBorder="1" applyAlignment="1">
      <alignment horizontal="center" vertical="center" wrapText="1" readingOrder="1"/>
      <protection locked="0" hidden="1"/>
    </xf>
    <xf numFmtId="0" fontId="123" fillId="0" borderId="8" xfId="0" applyNumberFormat="1" applyFont="1" applyFill="1" applyBorder="1" applyAlignment="1" applyProtection="1">
      <alignment horizontal="center" vertical="center" wrapText="1" readingOrder="1"/>
    </xf>
    <xf numFmtId="0" fontId="123" fillId="0" borderId="12" xfId="0" applyNumberFormat="1" applyFont="1" applyFill="1" applyBorder="1" applyAlignment="1" applyProtection="1">
      <alignment horizontal="center" vertical="center" wrapText="1" readingOrder="1"/>
    </xf>
    <xf numFmtId="0" fontId="123" fillId="0" borderId="2" xfId="0" applyNumberFormat="1" applyFont="1" applyFill="1" applyBorder="1" applyAlignment="1" applyProtection="1">
      <alignment horizontal="center" readingOrder="1"/>
    </xf>
    <xf numFmtId="166" fontId="0" fillId="0" borderId="7" xfId="0" applyFill="1" applyBorder="1" applyAlignment="1">
      <alignment readingOrder="1"/>
      <protection locked="0" hidden="1"/>
    </xf>
    <xf numFmtId="166" fontId="0" fillId="0" borderId="6" xfId="0" applyFill="1" applyBorder="1" applyAlignment="1">
      <alignment readingOrder="1"/>
      <protection locked="0" hidden="1"/>
    </xf>
    <xf numFmtId="0" fontId="123" fillId="0" borderId="4" xfId="0" applyNumberFormat="1" applyFont="1" applyFill="1" applyBorder="1" applyAlignment="1" applyProtection="1">
      <alignment horizontal="center" vertical="top" readingOrder="1"/>
    </xf>
    <xf numFmtId="166" fontId="0" fillId="0" borderId="3" xfId="0" applyFill="1" applyBorder="1" applyAlignment="1">
      <alignment vertical="top" readingOrder="1"/>
      <protection locked="0" hidden="1"/>
    </xf>
    <xf numFmtId="166" fontId="0" fillId="0" borderId="10" xfId="0" applyFill="1" applyBorder="1" applyAlignment="1">
      <alignment vertical="top" readingOrder="1"/>
      <protection locked="0" hidden="1"/>
    </xf>
    <xf numFmtId="0" fontId="123" fillId="0" borderId="2" xfId="0" applyNumberFormat="1" applyFont="1" applyFill="1" applyBorder="1" applyAlignment="1" applyProtection="1">
      <alignment horizontal="center" vertical="center" wrapText="1" readingOrder="1"/>
    </xf>
    <xf numFmtId="166" fontId="0" fillId="0" borderId="6" xfId="0" applyFill="1" applyBorder="1" applyAlignment="1">
      <alignment horizontal="center" vertical="center" wrapText="1" readingOrder="1"/>
      <protection locked="0" hidden="1"/>
    </xf>
    <xf numFmtId="166" fontId="124" fillId="0" borderId="1" xfId="0" applyFont="1" applyFill="1" applyBorder="1" applyAlignment="1" applyProtection="1">
      <alignment horizontal="center" vertical="top" wrapText="1" readingOrder="1"/>
    </xf>
    <xf numFmtId="166" fontId="124" fillId="0" borderId="9" xfId="0" applyFont="1" applyFill="1" applyBorder="1" applyAlignment="1" applyProtection="1">
      <alignment horizontal="center" vertical="top" wrapText="1" readingOrder="1"/>
    </xf>
    <xf numFmtId="166" fontId="124" fillId="0" borderId="4" xfId="0" applyFont="1" applyFill="1" applyBorder="1" applyAlignment="1" applyProtection="1">
      <alignment horizontal="center" vertical="top" wrapText="1" readingOrder="1"/>
    </xf>
    <xf numFmtId="166" fontId="124" fillId="0" borderId="10" xfId="0" applyFont="1" applyFill="1" applyBorder="1" applyAlignment="1" applyProtection="1">
      <alignment horizontal="center" vertical="top" wrapText="1" readingOrder="1"/>
    </xf>
    <xf numFmtId="0" fontId="123" fillId="0" borderId="2" xfId="0" applyNumberFormat="1" applyFont="1" applyFill="1" applyBorder="1" applyAlignment="1" applyProtection="1">
      <alignment horizontal="center" wrapText="1" readingOrder="1"/>
    </xf>
    <xf numFmtId="0" fontId="123" fillId="0" borderId="6" xfId="0" applyNumberFormat="1" applyFont="1" applyFill="1" applyBorder="1" applyAlignment="1" applyProtection="1">
      <alignment horizontal="center" wrapText="1" readingOrder="1"/>
    </xf>
    <xf numFmtId="0" fontId="123" fillId="0" borderId="1" xfId="0" applyNumberFormat="1" applyFont="1" applyFill="1" applyBorder="1" applyAlignment="1" applyProtection="1">
      <alignment horizontal="center" wrapText="1" readingOrder="1"/>
    </xf>
    <xf numFmtId="0" fontId="123" fillId="0" borderId="9" xfId="0" applyNumberFormat="1" applyFont="1" applyFill="1" applyBorder="1" applyAlignment="1" applyProtection="1">
      <alignment horizontal="center" wrapText="1" readingOrder="1"/>
    </xf>
    <xf numFmtId="0" fontId="25" fillId="0" borderId="0" xfId="0" applyNumberFormat="1" applyFont="1" applyFill="1" applyAlignment="1" applyProtection="1">
      <alignment horizontal="center" wrapText="1"/>
    </xf>
    <xf numFmtId="166" fontId="84" fillId="0" borderId="1" xfId="26" applyFont="1" applyFill="1" applyBorder="1" applyAlignment="1" applyProtection="1">
      <alignment horizontal="left"/>
    </xf>
    <xf numFmtId="166" fontId="84" fillId="0" borderId="9" xfId="26" applyFont="1" applyFill="1" applyBorder="1" applyAlignment="1" applyProtection="1">
      <alignment horizontal="left"/>
    </xf>
    <xf numFmtId="166" fontId="80" fillId="0" borderId="2" xfId="26" applyFont="1" applyFill="1" applyBorder="1" applyAlignment="1" applyProtection="1">
      <alignment horizontal="center" vertical="center" wrapText="1"/>
    </xf>
    <xf numFmtId="166" fontId="80" fillId="0" borderId="6" xfId="26" applyFont="1" applyFill="1" applyBorder="1" applyAlignment="1" applyProtection="1">
      <alignment horizontal="center" vertical="center" wrapText="1"/>
    </xf>
    <xf numFmtId="166" fontId="80" fillId="0" borderId="4" xfId="26" applyFont="1" applyFill="1" applyBorder="1" applyAlignment="1" applyProtection="1">
      <alignment horizontal="center" vertical="center" wrapText="1"/>
    </xf>
    <xf numFmtId="166" fontId="80" fillId="0" borderId="10" xfId="26" applyFont="1" applyFill="1" applyBorder="1" applyAlignment="1" applyProtection="1">
      <alignment horizontal="center" vertical="center" wrapText="1"/>
    </xf>
    <xf numFmtId="166" fontId="80" fillId="0" borderId="12" xfId="26" applyFont="1" applyFill="1" applyBorder="1" applyAlignment="1" applyProtection="1">
      <alignment horizontal="center" vertical="center" wrapText="1"/>
    </xf>
    <xf numFmtId="166" fontId="80" fillId="0" borderId="4" xfId="26" applyFont="1" applyFill="1" applyBorder="1" applyAlignment="1" applyProtection="1">
      <alignment horizontal="center" vertical="center"/>
    </xf>
    <xf numFmtId="166" fontId="80" fillId="0" borderId="10" xfId="26" applyFont="1" applyFill="1" applyBorder="1" applyAlignment="1" applyProtection="1">
      <alignment horizontal="center" vertical="center"/>
    </xf>
    <xf numFmtId="166" fontId="80" fillId="0" borderId="1" xfId="26" applyFont="1" applyFill="1" applyBorder="1" applyAlignment="1" applyProtection="1">
      <alignment horizontal="center" vertical="center" wrapText="1"/>
    </xf>
    <xf numFmtId="166" fontId="80" fillId="0" borderId="9" xfId="26" applyFont="1" applyFill="1" applyBorder="1" applyAlignment="1" applyProtection="1">
      <alignment horizontal="center" vertical="center" wrapText="1"/>
    </xf>
    <xf numFmtId="166" fontId="80" fillId="0" borderId="7" xfId="26" applyFont="1" applyFill="1" applyBorder="1" applyAlignment="1" applyProtection="1">
      <alignment horizontal="center" vertical="center" wrapText="1"/>
    </xf>
    <xf numFmtId="166" fontId="141" fillId="0" borderId="4" xfId="26" applyFont="1" applyFill="1" applyBorder="1" applyAlignment="1" applyProtection="1">
      <alignment horizontal="center" vertical="center" wrapText="1"/>
    </xf>
    <xf numFmtId="166" fontId="141" fillId="0" borderId="3" xfId="26" applyFont="1" applyFill="1" applyBorder="1" applyAlignment="1" applyProtection="1">
      <alignment horizontal="center" vertical="center" wrapText="1"/>
    </xf>
    <xf numFmtId="166" fontId="141" fillId="0" borderId="10" xfId="26" applyFont="1" applyFill="1" applyBorder="1" applyAlignment="1" applyProtection="1">
      <alignment horizontal="center" vertical="center" wrapText="1"/>
    </xf>
    <xf numFmtId="166" fontId="80" fillId="0" borderId="8" xfId="26" applyFont="1" applyFill="1" applyBorder="1" applyAlignment="1" applyProtection="1">
      <alignment horizontal="center" vertical="center" wrapText="1"/>
    </xf>
    <xf numFmtId="0" fontId="107" fillId="0" borderId="0" xfId="26" applyNumberFormat="1" applyFont="1" applyFill="1" applyAlignment="1" applyProtection="1">
      <alignment horizontal="center"/>
    </xf>
    <xf numFmtId="0" fontId="108" fillId="0" borderId="0" xfId="26" applyNumberFormat="1" applyFont="1" applyFill="1" applyAlignment="1" applyProtection="1">
      <alignment horizontal="center" readingOrder="2"/>
    </xf>
    <xf numFmtId="0" fontId="80" fillId="0" borderId="0" xfId="26" applyNumberFormat="1" applyFont="1" applyFill="1" applyAlignment="1" applyProtection="1">
      <alignment horizontal="center"/>
    </xf>
    <xf numFmtId="166" fontId="80" fillId="0" borderId="23" xfId="26" applyFont="1" applyFill="1" applyBorder="1" applyAlignment="1" applyProtection="1">
      <alignment horizontal="center" vertical="center" wrapText="1"/>
    </xf>
    <xf numFmtId="166" fontId="80" fillId="0" borderId="3" xfId="26" applyFont="1" applyFill="1" applyBorder="1" applyAlignment="1" applyProtection="1">
      <alignment horizontal="center" vertical="center" wrapText="1"/>
    </xf>
    <xf numFmtId="166" fontId="84" fillId="0" borderId="4" xfId="26" applyFont="1" applyFill="1" applyBorder="1" applyAlignment="1" applyProtection="1">
      <alignment horizontal="left"/>
    </xf>
    <xf numFmtId="166" fontId="84" fillId="0" borderId="10" xfId="26" applyFont="1" applyFill="1" applyBorder="1" applyAlignment="1" applyProtection="1">
      <alignment horizontal="left"/>
    </xf>
    <xf numFmtId="49" fontId="85" fillId="0" borderId="0" xfId="26" applyNumberFormat="1" applyFont="1" applyFill="1" applyAlignment="1" applyProtection="1">
      <alignment horizontal="center"/>
    </xf>
    <xf numFmtId="166" fontId="80" fillId="0" borderId="11" xfId="26" applyFont="1" applyFill="1" applyBorder="1" applyAlignment="1" applyProtection="1">
      <alignment horizontal="center" vertical="center" wrapText="1"/>
    </xf>
    <xf numFmtId="166" fontId="48" fillId="0" borderId="2" xfId="26" applyFont="1" applyFill="1" applyBorder="1" applyAlignment="1" applyProtection="1">
      <alignment horizontal="center" vertical="center" wrapText="1"/>
    </xf>
    <xf numFmtId="166" fontId="48" fillId="0" borderId="7" xfId="26" applyFont="1" applyFill="1" applyBorder="1" applyAlignment="1" applyProtection="1">
      <alignment horizontal="center" vertical="center" wrapText="1"/>
    </xf>
    <xf numFmtId="166" fontId="48" fillId="0" borderId="6" xfId="26" applyFont="1" applyFill="1" applyBorder="1" applyAlignment="1" applyProtection="1">
      <alignment horizontal="center" vertical="center" wrapText="1"/>
    </xf>
    <xf numFmtId="166" fontId="48" fillId="0" borderId="4" xfId="26" applyFont="1" applyFill="1" applyBorder="1" applyAlignment="1" applyProtection="1">
      <alignment horizontal="center" vertical="center" wrapText="1"/>
    </xf>
    <xf numFmtId="166" fontId="48" fillId="0" borderId="3" xfId="26" applyFont="1" applyFill="1" applyBorder="1" applyAlignment="1" applyProtection="1">
      <alignment horizontal="center" vertical="center" wrapText="1"/>
    </xf>
    <xf numFmtId="166" fontId="48" fillId="0" borderId="10" xfId="26" applyFont="1" applyFill="1" applyBorder="1" applyAlignment="1" applyProtection="1">
      <alignment horizontal="center" vertical="center" wrapText="1"/>
    </xf>
    <xf numFmtId="166" fontId="80" fillId="0" borderId="21" xfId="26" applyFont="1" applyFill="1" applyBorder="1" applyAlignment="1" applyProtection="1">
      <alignment horizontal="center" vertical="center" wrapText="1"/>
    </xf>
    <xf numFmtId="166" fontId="80" fillId="0" borderId="22" xfId="26" applyFont="1" applyFill="1" applyBorder="1" applyAlignment="1" applyProtection="1">
      <alignment horizontal="center" vertical="center" wrapText="1"/>
    </xf>
    <xf numFmtId="49" fontId="5" fillId="0" borderId="0" xfId="26" applyNumberFormat="1" applyFill="1" applyAlignment="1" applyProtection="1">
      <alignment horizontal="center"/>
    </xf>
    <xf numFmtId="0" fontId="85" fillId="0" borderId="0" xfId="29" applyFont="1" applyAlignment="1">
      <alignment horizontal="left" vertical="center"/>
    </xf>
    <xf numFmtId="0" fontId="85" fillId="0" borderId="7" xfId="29" applyFont="1" applyBorder="1" applyAlignment="1">
      <alignment horizontal="right" wrapText="1" readingOrder="2"/>
    </xf>
    <xf numFmtId="0" fontId="85" fillId="0" borderId="0" xfId="29" applyFont="1" applyAlignment="1">
      <alignment horizontal="right" vertical="center" wrapText="1" readingOrder="2"/>
    </xf>
    <xf numFmtId="0" fontId="85" fillId="0" borderId="0" xfId="29" applyFont="1" applyAlignment="1">
      <alignment horizontal="right" vertical="center" readingOrder="2"/>
    </xf>
    <xf numFmtId="0" fontId="148" fillId="0" borderId="12" xfId="29" applyFont="1" applyBorder="1" applyAlignment="1">
      <alignment horizontal="center" vertical="center" wrapText="1" readingOrder="1"/>
    </xf>
    <xf numFmtId="0" fontId="148" fillId="0" borderId="8" xfId="29" applyFont="1" applyBorder="1" applyAlignment="1">
      <alignment horizontal="center" vertical="center" wrapText="1" readingOrder="1"/>
    </xf>
    <xf numFmtId="0" fontId="148" fillId="0" borderId="23" xfId="29" applyFont="1" applyBorder="1" applyAlignment="1">
      <alignment horizontal="center" vertical="center" wrapText="1" readingOrder="1"/>
    </xf>
    <xf numFmtId="0" fontId="85" fillId="0" borderId="7" xfId="29" applyFont="1" applyBorder="1" applyAlignment="1">
      <alignment horizontal="left" wrapText="1"/>
    </xf>
    <xf numFmtId="0" fontId="85" fillId="0" borderId="0" xfId="29" applyFont="1" applyAlignment="1">
      <alignment horizontal="left" vertical="center" wrapText="1"/>
    </xf>
    <xf numFmtId="0" fontId="148" fillId="0" borderId="21" xfId="29" applyFont="1" applyBorder="1" applyAlignment="1">
      <alignment horizontal="left" vertical="center" wrapText="1" readingOrder="1"/>
    </xf>
    <xf numFmtId="0" fontId="148" fillId="0" borderId="5" xfId="29" applyFont="1" applyBorder="1" applyAlignment="1">
      <alignment horizontal="left" vertical="center" wrapText="1" readingOrder="1"/>
    </xf>
    <xf numFmtId="0" fontId="148" fillId="0" borderId="5" xfId="29" applyFont="1" applyBorder="1" applyAlignment="1">
      <alignment horizontal="right" vertical="center" wrapText="1" readingOrder="1"/>
    </xf>
    <xf numFmtId="0" fontId="148" fillId="0" borderId="22" xfId="29" applyFont="1" applyBorder="1" applyAlignment="1">
      <alignment horizontal="right" vertical="center" wrapText="1" readingOrder="1"/>
    </xf>
    <xf numFmtId="0" fontId="148" fillId="0" borderId="21" xfId="29" applyFont="1" applyBorder="1" applyAlignment="1">
      <alignment horizontal="center" vertical="center" wrapText="1" readingOrder="1"/>
    </xf>
    <xf numFmtId="0" fontId="148" fillId="0" borderId="22" xfId="29" applyFont="1" applyBorder="1" applyAlignment="1">
      <alignment horizontal="center" vertical="center" wrapText="1" readingOrder="1"/>
    </xf>
    <xf numFmtId="3" fontId="34" fillId="0" borderId="12" xfId="0" applyNumberFormat="1" applyFont="1" applyFill="1" applyBorder="1" applyAlignment="1">
      <alignment horizontal="center" vertical="center" wrapText="1"/>
      <protection locked="0" hidden="1"/>
    </xf>
    <xf numFmtId="3" fontId="34" fillId="0" borderId="11" xfId="0" applyNumberFormat="1" applyFont="1" applyFill="1" applyBorder="1" applyAlignment="1">
      <alignment horizontal="center" vertical="center" wrapText="1"/>
      <protection locked="0" hidden="1"/>
    </xf>
    <xf numFmtId="3" fontId="34" fillId="0" borderId="8" xfId="0" applyNumberFormat="1" applyFont="1" applyFill="1" applyBorder="1" applyAlignment="1">
      <alignment horizontal="center" vertical="center" wrapText="1"/>
      <protection locked="0" hidden="1"/>
    </xf>
    <xf numFmtId="1" fontId="35" fillId="0" borderId="12" xfId="0" applyNumberFormat="1" applyFont="1" applyFill="1" applyBorder="1" applyAlignment="1">
      <alignment horizontal="center" vertical="center"/>
      <protection locked="0" hidden="1"/>
    </xf>
    <xf numFmtId="1" fontId="35" fillId="0" borderId="11" xfId="0" applyNumberFormat="1" applyFont="1" applyFill="1" applyBorder="1" applyAlignment="1">
      <alignment horizontal="center" vertical="center"/>
      <protection locked="0" hidden="1"/>
    </xf>
    <xf numFmtId="1" fontId="35" fillId="0" borderId="8" xfId="0" applyNumberFormat="1" applyFont="1" applyFill="1" applyBorder="1" applyAlignment="1">
      <alignment horizontal="center" vertical="center"/>
      <protection locked="0" hidden="1"/>
    </xf>
    <xf numFmtId="166" fontId="26" fillId="0" borderId="12" xfId="0" applyFont="1" applyFill="1" applyBorder="1" applyAlignment="1">
      <alignment horizontal="center" vertical="center" readingOrder="2"/>
      <protection locked="0" hidden="1"/>
    </xf>
    <xf numFmtId="166" fontId="26" fillId="0" borderId="11" xfId="0" applyFont="1" applyFill="1" applyBorder="1" applyAlignment="1">
      <alignment horizontal="center" vertical="center" readingOrder="2"/>
      <protection locked="0" hidden="1"/>
    </xf>
    <xf numFmtId="166" fontId="26" fillId="0" borderId="8" xfId="0" applyFont="1" applyFill="1" applyBorder="1" applyAlignment="1">
      <alignment horizontal="center" vertical="center" readingOrder="2"/>
      <protection locked="0" hidden="1"/>
    </xf>
    <xf numFmtId="1" fontId="35" fillId="0" borderId="21" xfId="0" applyNumberFormat="1" applyFont="1" applyFill="1" applyBorder="1" applyAlignment="1">
      <alignment horizontal="center" vertical="center"/>
      <protection locked="0" hidden="1"/>
    </xf>
    <xf numFmtId="1" fontId="35" fillId="0" borderId="5" xfId="0" applyNumberFormat="1" applyFont="1" applyFill="1" applyBorder="1" applyAlignment="1">
      <alignment horizontal="center" vertical="center"/>
      <protection locked="0" hidden="1"/>
    </xf>
    <xf numFmtId="1" fontId="35" fillId="0" borderId="22" xfId="0" applyNumberFormat="1" applyFont="1" applyFill="1" applyBorder="1" applyAlignment="1">
      <alignment horizontal="center" vertical="center"/>
      <protection locked="0" hidden="1"/>
    </xf>
    <xf numFmtId="1" fontId="35" fillId="0" borderId="2" xfId="0" applyNumberFormat="1" applyFont="1" applyFill="1" applyBorder="1" applyAlignment="1">
      <alignment horizontal="center" vertical="center"/>
      <protection locked="0" hidden="1"/>
    </xf>
    <xf numFmtId="1" fontId="35" fillId="0" borderId="7" xfId="0" applyNumberFormat="1" applyFont="1" applyFill="1" applyBorder="1" applyAlignment="1">
      <alignment horizontal="center" vertical="center"/>
      <protection locked="0" hidden="1"/>
    </xf>
    <xf numFmtId="1" fontId="35" fillId="0" borderId="6" xfId="0" applyNumberFormat="1" applyFont="1" applyFill="1" applyBorder="1" applyAlignment="1">
      <alignment horizontal="center" vertical="center"/>
      <protection locked="0" hidden="1"/>
    </xf>
    <xf numFmtId="166" fontId="62" fillId="0" borderId="12" xfId="0" applyFont="1" applyFill="1" applyBorder="1" applyAlignment="1">
      <alignment horizontal="center" vertical="center"/>
      <protection locked="0" hidden="1"/>
    </xf>
    <xf numFmtId="166" fontId="62" fillId="0" borderId="11" xfId="0" applyFont="1" applyFill="1" applyBorder="1" applyAlignment="1">
      <alignment horizontal="center" vertical="center"/>
      <protection locked="0" hidden="1"/>
    </xf>
    <xf numFmtId="166" fontId="62" fillId="0" borderId="8" xfId="0" applyFont="1" applyFill="1" applyBorder="1" applyAlignment="1">
      <alignment horizontal="center" vertical="center"/>
      <protection locked="0" hidden="1"/>
    </xf>
    <xf numFmtId="166" fontId="48" fillId="0" borderId="12" xfId="0" applyFont="1" applyFill="1" applyBorder="1" applyAlignment="1">
      <alignment horizontal="center" vertical="center" wrapText="1"/>
      <protection locked="0" hidden="1"/>
    </xf>
    <xf numFmtId="166" fontId="48" fillId="0" borderId="11" xfId="0" applyFont="1" applyFill="1" applyBorder="1" applyAlignment="1">
      <alignment horizontal="center" vertical="center" wrapText="1"/>
      <protection locked="0" hidden="1"/>
    </xf>
    <xf numFmtId="166" fontId="48" fillId="0" borderId="8" xfId="0" applyFont="1" applyFill="1" applyBorder="1" applyAlignment="1">
      <alignment horizontal="center" vertical="center" wrapText="1"/>
      <protection locked="0" hidden="1"/>
    </xf>
    <xf numFmtId="166" fontId="48" fillId="0" borderId="12" xfId="0" applyFont="1" applyFill="1" applyBorder="1" applyAlignment="1">
      <alignment horizontal="center" vertical="center"/>
      <protection locked="0" hidden="1"/>
    </xf>
    <xf numFmtId="166" fontId="48" fillId="0" borderId="11" xfId="0" applyFont="1" applyFill="1" applyBorder="1" applyAlignment="1">
      <alignment horizontal="center" vertical="center"/>
      <protection locked="0" hidden="1"/>
    </xf>
    <xf numFmtId="166" fontId="0" fillId="2" borderId="8" xfId="0" applyBorder="1" applyAlignment="1" applyProtection="1">
      <alignment horizontal="center" vertical="center"/>
    </xf>
    <xf numFmtId="166" fontId="48" fillId="0" borderId="21" xfId="0" applyFont="1" applyFill="1" applyBorder="1" applyAlignment="1">
      <alignment horizontal="center" vertical="center"/>
      <protection locked="0" hidden="1"/>
    </xf>
    <xf numFmtId="166" fontId="48" fillId="0" borderId="5" xfId="0" applyFont="1" applyFill="1" applyBorder="1" applyAlignment="1">
      <alignment horizontal="center" vertical="center"/>
      <protection locked="0" hidden="1"/>
    </xf>
    <xf numFmtId="166" fontId="48" fillId="0" borderId="22" xfId="0" applyFont="1" applyFill="1" applyBorder="1" applyAlignment="1">
      <alignment horizontal="center" vertical="center"/>
      <protection locked="0" hidden="1"/>
    </xf>
    <xf numFmtId="166" fontId="48" fillId="0" borderId="8" xfId="0" applyFont="1" applyFill="1" applyBorder="1" applyAlignment="1">
      <alignment horizontal="center" vertical="center"/>
      <protection locked="0" hidden="1"/>
    </xf>
    <xf numFmtId="0" fontId="8" fillId="0" borderId="0" xfId="20" applyFont="1" applyAlignment="1">
      <alignment horizontal="left" wrapText="1"/>
    </xf>
    <xf numFmtId="0" fontId="10" fillId="0" borderId="0" xfId="20" applyFont="1" applyAlignment="1">
      <alignment horizontal="right" wrapText="1" readingOrder="2"/>
    </xf>
    <xf numFmtId="0" fontId="12" fillId="0" borderId="11" xfId="22" applyFont="1" applyBorder="1" applyAlignment="1">
      <alignment horizontal="center" vertical="center"/>
    </xf>
    <xf numFmtId="0" fontId="12" fillId="0" borderId="8" xfId="22" applyFont="1" applyBorder="1" applyAlignment="1">
      <alignment horizontal="center" vertical="center"/>
    </xf>
    <xf numFmtId="166" fontId="9" fillId="0" borderId="12" xfId="0" applyFont="1" applyFill="1" applyBorder="1" applyAlignment="1">
      <alignment horizontal="center" wrapText="1" readingOrder="2"/>
      <protection locked="0" hidden="1"/>
    </xf>
    <xf numFmtId="166" fontId="9" fillId="0" borderId="11" xfId="0" applyFont="1" applyFill="1" applyBorder="1" applyAlignment="1">
      <alignment horizontal="center" wrapText="1" readingOrder="2"/>
      <protection locked="0" hidden="1"/>
    </xf>
    <xf numFmtId="166" fontId="8" fillId="0" borderId="0" xfId="0" applyFont="1" applyFill="1" applyAlignment="1">
      <alignment horizontal="center" vertical="center" textRotation="90"/>
      <protection locked="0" hidden="1"/>
    </xf>
  </cellXfs>
  <cellStyles count="35">
    <cellStyle name="%" xfId="1" xr:uid="{00000000-0005-0000-0000-000000000000}"/>
    <cellStyle name="Comma" xfId="34" builtinId="3"/>
    <cellStyle name="Comma 2" xfId="2" xr:uid="{00000000-0005-0000-0000-000002000000}"/>
    <cellStyle name="Comma 3" xfId="3" xr:uid="{00000000-0005-0000-0000-000003000000}"/>
    <cellStyle name="Comma 4" xfId="4" xr:uid="{00000000-0005-0000-0000-000004000000}"/>
    <cellStyle name="Currency 2" xfId="5" xr:uid="{00000000-0005-0000-0000-000005000000}"/>
    <cellStyle name="Microsoft Excel found an error in the formula you entered. Do you want to accept the correction proposed below?_x000a__x000a_|_x000a__x000a_• To accept the correction, click Yes._x000a_• To close this message and correct the formula yourself, click No." xfId="6" xr:uid="{00000000-0005-0000-0000-000006000000}"/>
    <cellStyle name="MS_Arabic" xfId="7" xr:uid="{00000000-0005-0000-0000-000007000000}"/>
    <cellStyle name="MS_Latin" xfId="8" xr:uid="{00000000-0005-0000-0000-000008000000}"/>
    <cellStyle name="Normal" xfId="0" builtinId="0"/>
    <cellStyle name="Normal 2" xfId="9" xr:uid="{00000000-0005-0000-0000-00000A000000}"/>
    <cellStyle name="Normal 2 2" xfId="10" xr:uid="{00000000-0005-0000-0000-00000B000000}"/>
    <cellStyle name="Normal 2 2 2" xfId="11" xr:uid="{00000000-0005-0000-0000-00000C000000}"/>
    <cellStyle name="Normal 2 3" xfId="12" xr:uid="{00000000-0005-0000-0000-00000D000000}"/>
    <cellStyle name="Normal 2 4" xfId="13" xr:uid="{00000000-0005-0000-0000-00000E000000}"/>
    <cellStyle name="Normal 3" xfId="14" xr:uid="{00000000-0005-0000-0000-00000F000000}"/>
    <cellStyle name="Normal 3 2" xfId="15" xr:uid="{00000000-0005-0000-0000-000010000000}"/>
    <cellStyle name="Normal 4" xfId="16" xr:uid="{00000000-0005-0000-0000-000011000000}"/>
    <cellStyle name="Normal 5" xfId="17" xr:uid="{00000000-0005-0000-0000-000012000000}"/>
    <cellStyle name="Normal 6" xfId="26" xr:uid="{00000000-0005-0000-0000-000013000000}"/>
    <cellStyle name="Normal 7" xfId="27" xr:uid="{00000000-0005-0000-0000-000014000000}"/>
    <cellStyle name="Normal 7 2" xfId="31" xr:uid="{00000000-0005-0000-0000-000015000000}"/>
    <cellStyle name="Normal 8" xfId="28" xr:uid="{00000000-0005-0000-0000-000016000000}"/>
    <cellStyle name="Normal 9" xfId="29" xr:uid="{00000000-0005-0000-0000-000017000000}"/>
    <cellStyle name="Normal 9 2" xfId="32" xr:uid="{00000000-0005-0000-0000-000018000000}"/>
    <cellStyle name="Normal_Sheet1" xfId="18" xr:uid="{00000000-0005-0000-0000-000019000000}"/>
    <cellStyle name="Normal_TABLE21 (2)" xfId="19" xr:uid="{00000000-0005-0000-0000-00001A000000}"/>
    <cellStyle name="Normal_TABLE22 (2)" xfId="20" xr:uid="{00000000-0005-0000-0000-00001B000000}"/>
    <cellStyle name="Normal_TABLE27" xfId="21" xr:uid="{00000000-0005-0000-0000-00001C000000}"/>
    <cellStyle name="Normal_TABLE8 (2)" xfId="22" xr:uid="{00000000-0005-0000-0000-00001D000000}"/>
    <cellStyle name="Percent 2" xfId="23" xr:uid="{00000000-0005-0000-0000-00001E000000}"/>
    <cellStyle name="Percent 3" xfId="24" xr:uid="{00000000-0005-0000-0000-00001F000000}"/>
    <cellStyle name="Percent 4" xfId="30" xr:uid="{00000000-0005-0000-0000-000020000000}"/>
    <cellStyle name="Percent 4 2" xfId="33" xr:uid="{00000000-0005-0000-0000-000021000000}"/>
    <cellStyle name="Style 1" xfId="25" xr:uid="{00000000-0005-0000-0000-00002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55.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externalLink" Target="externalLinks/externalLink1.xml"/><Relationship Id="rId84" Type="http://schemas.openxmlformats.org/officeDocument/2006/relationships/externalLink" Target="externalLinks/externalLink22.xml"/><Relationship Id="rId138" Type="http://schemas.openxmlformats.org/officeDocument/2006/relationships/externalLink" Target="externalLinks/externalLink76.xml"/><Relationship Id="rId159" Type="http://schemas.openxmlformats.org/officeDocument/2006/relationships/styles" Target="styles.xml"/><Relationship Id="rId107" Type="http://schemas.openxmlformats.org/officeDocument/2006/relationships/externalLink" Target="externalLinks/externalLink45.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externalLink" Target="externalLinks/externalLink12.xml"/><Relationship Id="rId128" Type="http://schemas.openxmlformats.org/officeDocument/2006/relationships/externalLink" Target="externalLinks/externalLink66.xml"/><Relationship Id="rId149" Type="http://schemas.openxmlformats.org/officeDocument/2006/relationships/externalLink" Target="externalLinks/externalLink87.xml"/><Relationship Id="rId5" Type="http://schemas.openxmlformats.org/officeDocument/2006/relationships/worksheet" Target="worksheets/sheet5.xml"/><Relationship Id="rId95" Type="http://schemas.openxmlformats.org/officeDocument/2006/relationships/externalLink" Target="externalLinks/externalLink33.xml"/><Relationship Id="rId160" Type="http://schemas.openxmlformats.org/officeDocument/2006/relationships/sharedStrings" Target="sharedStrings.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externalLink" Target="externalLinks/externalLink2.xml"/><Relationship Id="rId118" Type="http://schemas.openxmlformats.org/officeDocument/2006/relationships/externalLink" Target="externalLinks/externalLink56.xml"/><Relationship Id="rId139" Type="http://schemas.openxmlformats.org/officeDocument/2006/relationships/externalLink" Target="externalLinks/externalLink77.xml"/><Relationship Id="rId85" Type="http://schemas.openxmlformats.org/officeDocument/2006/relationships/externalLink" Target="externalLinks/externalLink23.xml"/><Relationship Id="rId150" Type="http://schemas.openxmlformats.org/officeDocument/2006/relationships/externalLink" Target="externalLinks/externalLink88.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41.xml"/><Relationship Id="rId108" Type="http://schemas.openxmlformats.org/officeDocument/2006/relationships/externalLink" Target="externalLinks/externalLink46.xml"/><Relationship Id="rId124" Type="http://schemas.openxmlformats.org/officeDocument/2006/relationships/externalLink" Target="externalLinks/externalLink62.xml"/><Relationship Id="rId129" Type="http://schemas.openxmlformats.org/officeDocument/2006/relationships/externalLink" Target="externalLinks/externalLink67.xml"/><Relationship Id="rId54" Type="http://schemas.openxmlformats.org/officeDocument/2006/relationships/worksheet" Target="worksheets/sheet54.xml"/><Relationship Id="rId70" Type="http://schemas.openxmlformats.org/officeDocument/2006/relationships/externalLink" Target="externalLinks/externalLink8.xml"/><Relationship Id="rId75" Type="http://schemas.openxmlformats.org/officeDocument/2006/relationships/externalLink" Target="externalLinks/externalLink13.xml"/><Relationship Id="rId91" Type="http://schemas.openxmlformats.org/officeDocument/2006/relationships/externalLink" Target="externalLinks/externalLink29.xml"/><Relationship Id="rId96" Type="http://schemas.openxmlformats.org/officeDocument/2006/relationships/externalLink" Target="externalLinks/externalLink34.xml"/><Relationship Id="rId140" Type="http://schemas.openxmlformats.org/officeDocument/2006/relationships/externalLink" Target="externalLinks/externalLink78.xml"/><Relationship Id="rId145" Type="http://schemas.openxmlformats.org/officeDocument/2006/relationships/externalLink" Target="externalLinks/externalLink83.xml"/><Relationship Id="rId16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externalLink" Target="externalLinks/externalLink52.xml"/><Relationship Id="rId119" Type="http://schemas.openxmlformats.org/officeDocument/2006/relationships/externalLink" Target="externalLinks/externalLink57.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externalLink" Target="externalLinks/externalLink3.xml"/><Relationship Id="rId81" Type="http://schemas.openxmlformats.org/officeDocument/2006/relationships/externalLink" Target="externalLinks/externalLink19.xml"/><Relationship Id="rId86" Type="http://schemas.openxmlformats.org/officeDocument/2006/relationships/externalLink" Target="externalLinks/externalLink24.xml"/><Relationship Id="rId130" Type="http://schemas.openxmlformats.org/officeDocument/2006/relationships/externalLink" Target="externalLinks/externalLink68.xml"/><Relationship Id="rId135" Type="http://schemas.openxmlformats.org/officeDocument/2006/relationships/externalLink" Target="externalLinks/externalLink73.xml"/><Relationship Id="rId151" Type="http://schemas.openxmlformats.org/officeDocument/2006/relationships/externalLink" Target="externalLinks/externalLink89.xml"/><Relationship Id="rId156" Type="http://schemas.openxmlformats.org/officeDocument/2006/relationships/externalLink" Target="externalLinks/externalLink94.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47.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4.xml"/><Relationship Id="rId97" Type="http://schemas.openxmlformats.org/officeDocument/2006/relationships/externalLink" Target="externalLinks/externalLink35.xml"/><Relationship Id="rId104" Type="http://schemas.openxmlformats.org/officeDocument/2006/relationships/externalLink" Target="externalLinks/externalLink42.xml"/><Relationship Id="rId120" Type="http://schemas.openxmlformats.org/officeDocument/2006/relationships/externalLink" Target="externalLinks/externalLink58.xml"/><Relationship Id="rId125" Type="http://schemas.openxmlformats.org/officeDocument/2006/relationships/externalLink" Target="externalLinks/externalLink63.xml"/><Relationship Id="rId141" Type="http://schemas.openxmlformats.org/officeDocument/2006/relationships/externalLink" Target="externalLinks/externalLink79.xml"/><Relationship Id="rId146" Type="http://schemas.openxmlformats.org/officeDocument/2006/relationships/externalLink" Target="externalLinks/externalLink84.xml"/><Relationship Id="rId7" Type="http://schemas.openxmlformats.org/officeDocument/2006/relationships/worksheet" Target="worksheets/sheet7.xml"/><Relationship Id="rId71" Type="http://schemas.openxmlformats.org/officeDocument/2006/relationships/externalLink" Target="externalLinks/externalLink9.xml"/><Relationship Id="rId92" Type="http://schemas.openxmlformats.org/officeDocument/2006/relationships/externalLink" Target="externalLinks/externalLink30.xml"/><Relationship Id="rId162" Type="http://schemas.openxmlformats.org/officeDocument/2006/relationships/customXml" Target="../customXml/item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4.xml"/><Relationship Id="rId87" Type="http://schemas.openxmlformats.org/officeDocument/2006/relationships/externalLink" Target="externalLinks/externalLink25.xml"/><Relationship Id="rId110" Type="http://schemas.openxmlformats.org/officeDocument/2006/relationships/externalLink" Target="externalLinks/externalLink48.xml"/><Relationship Id="rId115" Type="http://schemas.openxmlformats.org/officeDocument/2006/relationships/externalLink" Target="externalLinks/externalLink53.xml"/><Relationship Id="rId131" Type="http://schemas.openxmlformats.org/officeDocument/2006/relationships/externalLink" Target="externalLinks/externalLink69.xml"/><Relationship Id="rId136" Type="http://schemas.openxmlformats.org/officeDocument/2006/relationships/externalLink" Target="externalLinks/externalLink74.xml"/><Relationship Id="rId157" Type="http://schemas.openxmlformats.org/officeDocument/2006/relationships/externalLink" Target="externalLinks/externalLink95.xml"/><Relationship Id="rId61" Type="http://schemas.openxmlformats.org/officeDocument/2006/relationships/worksheet" Target="worksheets/sheet61.xml"/><Relationship Id="rId82" Type="http://schemas.openxmlformats.org/officeDocument/2006/relationships/externalLink" Target="externalLinks/externalLink20.xml"/><Relationship Id="rId152" Type="http://schemas.openxmlformats.org/officeDocument/2006/relationships/externalLink" Target="externalLinks/externalLink90.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externalLink" Target="externalLinks/externalLink15.xml"/><Relationship Id="rId100" Type="http://schemas.openxmlformats.org/officeDocument/2006/relationships/externalLink" Target="externalLinks/externalLink38.xml"/><Relationship Id="rId105" Type="http://schemas.openxmlformats.org/officeDocument/2006/relationships/externalLink" Target="externalLinks/externalLink43.xml"/><Relationship Id="rId126" Type="http://schemas.openxmlformats.org/officeDocument/2006/relationships/externalLink" Target="externalLinks/externalLink64.xml"/><Relationship Id="rId147" Type="http://schemas.openxmlformats.org/officeDocument/2006/relationships/externalLink" Target="externalLinks/externalLink8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0.xml"/><Relationship Id="rId93" Type="http://schemas.openxmlformats.org/officeDocument/2006/relationships/externalLink" Target="externalLinks/externalLink31.xml"/><Relationship Id="rId98" Type="http://schemas.openxmlformats.org/officeDocument/2006/relationships/externalLink" Target="externalLinks/externalLink36.xml"/><Relationship Id="rId121" Type="http://schemas.openxmlformats.org/officeDocument/2006/relationships/externalLink" Target="externalLinks/externalLink59.xml"/><Relationship Id="rId142" Type="http://schemas.openxmlformats.org/officeDocument/2006/relationships/externalLink" Target="externalLinks/externalLink80.xml"/><Relationship Id="rId163" Type="http://schemas.openxmlformats.org/officeDocument/2006/relationships/customXml" Target="../customXml/item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externalLink" Target="externalLinks/externalLink5.xml"/><Relationship Id="rId116" Type="http://schemas.openxmlformats.org/officeDocument/2006/relationships/externalLink" Target="externalLinks/externalLink54.xml"/><Relationship Id="rId137" Type="http://schemas.openxmlformats.org/officeDocument/2006/relationships/externalLink" Target="externalLinks/externalLink75.xml"/><Relationship Id="rId158"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externalLink" Target="externalLinks/externalLink21.xml"/><Relationship Id="rId88" Type="http://schemas.openxmlformats.org/officeDocument/2006/relationships/externalLink" Target="externalLinks/externalLink26.xml"/><Relationship Id="rId111" Type="http://schemas.openxmlformats.org/officeDocument/2006/relationships/externalLink" Target="externalLinks/externalLink49.xml"/><Relationship Id="rId132" Type="http://schemas.openxmlformats.org/officeDocument/2006/relationships/externalLink" Target="externalLinks/externalLink70.xml"/><Relationship Id="rId153" Type="http://schemas.openxmlformats.org/officeDocument/2006/relationships/externalLink" Target="externalLinks/externalLink9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externalLink" Target="externalLinks/externalLink44.xml"/><Relationship Id="rId127" Type="http://schemas.openxmlformats.org/officeDocument/2006/relationships/externalLink" Target="externalLinks/externalLink65.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externalLink" Target="externalLinks/externalLink11.xml"/><Relationship Id="rId78" Type="http://schemas.openxmlformats.org/officeDocument/2006/relationships/externalLink" Target="externalLinks/externalLink16.xml"/><Relationship Id="rId94" Type="http://schemas.openxmlformats.org/officeDocument/2006/relationships/externalLink" Target="externalLinks/externalLink32.xml"/><Relationship Id="rId99" Type="http://schemas.openxmlformats.org/officeDocument/2006/relationships/externalLink" Target="externalLinks/externalLink37.xml"/><Relationship Id="rId101" Type="http://schemas.openxmlformats.org/officeDocument/2006/relationships/externalLink" Target="externalLinks/externalLink39.xml"/><Relationship Id="rId122" Type="http://schemas.openxmlformats.org/officeDocument/2006/relationships/externalLink" Target="externalLinks/externalLink60.xml"/><Relationship Id="rId143" Type="http://schemas.openxmlformats.org/officeDocument/2006/relationships/externalLink" Target="externalLinks/externalLink81.xml"/><Relationship Id="rId148" Type="http://schemas.openxmlformats.org/officeDocument/2006/relationships/externalLink" Target="externalLinks/externalLink86.xml"/><Relationship Id="rId16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externalLink" Target="externalLinks/externalLink6.xml"/><Relationship Id="rId89" Type="http://schemas.openxmlformats.org/officeDocument/2006/relationships/externalLink" Target="externalLinks/externalLink27.xml"/><Relationship Id="rId112" Type="http://schemas.openxmlformats.org/officeDocument/2006/relationships/externalLink" Target="externalLinks/externalLink50.xml"/><Relationship Id="rId133" Type="http://schemas.openxmlformats.org/officeDocument/2006/relationships/externalLink" Target="externalLinks/externalLink71.xml"/><Relationship Id="rId154" Type="http://schemas.openxmlformats.org/officeDocument/2006/relationships/externalLink" Target="externalLinks/externalLink92.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externalLink" Target="externalLinks/externalLink17.xml"/><Relationship Id="rId102" Type="http://schemas.openxmlformats.org/officeDocument/2006/relationships/externalLink" Target="externalLinks/externalLink40.xml"/><Relationship Id="rId123" Type="http://schemas.openxmlformats.org/officeDocument/2006/relationships/externalLink" Target="externalLinks/externalLink61.xml"/><Relationship Id="rId144" Type="http://schemas.openxmlformats.org/officeDocument/2006/relationships/externalLink" Target="externalLinks/externalLink82.xml"/><Relationship Id="rId90" Type="http://schemas.openxmlformats.org/officeDocument/2006/relationships/externalLink" Target="externalLinks/externalLink28.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externalLink" Target="externalLinks/externalLink7.xml"/><Relationship Id="rId113" Type="http://schemas.openxmlformats.org/officeDocument/2006/relationships/externalLink" Target="externalLinks/externalLink51.xml"/><Relationship Id="rId134" Type="http://schemas.openxmlformats.org/officeDocument/2006/relationships/externalLink" Target="externalLinks/externalLink72.xml"/><Relationship Id="rId80" Type="http://schemas.openxmlformats.org/officeDocument/2006/relationships/externalLink" Target="externalLinks/externalLink18.xml"/><Relationship Id="rId155" Type="http://schemas.openxmlformats.org/officeDocument/2006/relationships/externalLink" Target="externalLinks/externalLink93.xml"/></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152400</xdr:rowOff>
    </xdr:from>
    <xdr:to>
      <xdr:col>11</xdr:col>
      <xdr:colOff>0</xdr:colOff>
      <xdr:row>10</xdr:row>
      <xdr:rowOff>152400</xdr:rowOff>
    </xdr:to>
    <xdr:sp macro="" textlink="">
      <xdr:nvSpPr>
        <xdr:cNvPr id="54733" name="Line 1">
          <a:extLst>
            <a:ext uri="{FF2B5EF4-FFF2-40B4-BE49-F238E27FC236}">
              <a16:creationId xmlns:a16="http://schemas.microsoft.com/office/drawing/2014/main" id="{00000000-0008-0000-1900-0000CDD50000}"/>
            </a:ext>
          </a:extLst>
        </xdr:cNvPr>
        <xdr:cNvSpPr>
          <a:spLocks noChangeShapeType="1"/>
        </xdr:cNvSpPr>
      </xdr:nvSpPr>
      <xdr:spPr bwMode="auto">
        <a:xfrm flipH="1">
          <a:off x="12268200" y="14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consAll/Jun2025.xlsx" TargetMode="External"/><Relationship Id="rId1" Type="http://schemas.openxmlformats.org/officeDocument/2006/relationships/externalLinkPath" Target="/sites/StatisticalUnit/Shared%20Documents/General/Statistical%20Returns/consAll/Jun2025.xlsx" TargetMode="External"/></Relationships>
</file>

<file path=xl/externalLinks/_rels/externalLink10.xml.rels><?xml version="1.0" encoding="UTF-8" standalone="yes"?>
<Relationships xmlns="http://schemas.openxmlformats.org/package/2006/relationships"><Relationship Id="rId3" Type="http://schemas.openxmlformats.org/officeDocument/2006/relationships/externalLinkPath" Target="../Retail/NOV2025/ConsRE.xlsx" TargetMode="External"/><Relationship Id="rId2" Type="http://schemas.openxmlformats.org/officeDocument/2006/relationships/externalLinkPath" Target="https://cbbbah.sharepoint.com/sites/StatisticalUnit/Shared%20Documents/General/Statistical%20Returns/Retail/NOV2025/ConsRE.xlsx" TargetMode="External"/><Relationship Id="rId1" Type="http://schemas.openxmlformats.org/officeDocument/2006/relationships/externalLinkPath" Target="/sites/StatisticalUnit/Shared%20Documents/General/Statistical%20Returns/Retail/NOV2025/ConsRE.xlsx" TargetMode="External"/></Relationships>
</file>

<file path=xl/externalLinks/_rels/externalLink11.xml.rels><?xml version="1.0" encoding="UTF-8" standalone="yes"?>
<Relationships xmlns="http://schemas.openxmlformats.org/package/2006/relationships"><Relationship Id="rId3" Type="http://schemas.openxmlformats.org/officeDocument/2006/relationships/externalLinkPath" Target="../Retail/DEC2025/ConsRE.xlsx" TargetMode="External"/><Relationship Id="rId2" Type="http://schemas.openxmlformats.org/officeDocument/2006/relationships/externalLinkPath" Target="https://cbbbah.sharepoint.com/sites/StatisticalUnit/Shared%20Documents/General/Statistical%20Returns/Retail/DEC2025/ConsRE.xlsx" TargetMode="External"/><Relationship Id="rId1" Type="http://schemas.openxmlformats.org/officeDocument/2006/relationships/externalLinkPath" Target="/sites/StatisticalUnit/Shared%20Documents/General/Statistical%20Returns/Retail/DEC2025/ConsRE.xlsx" TargetMode="External"/></Relationships>
</file>

<file path=xl/externalLinks/_rels/externalLink12.xml.rels><?xml version="1.0" encoding="UTF-8" standalone="yes"?>
<Relationships xmlns="http://schemas.openxmlformats.org/package/2006/relationships"><Relationship Id="rId3" Type="http://schemas.openxmlformats.org/officeDocument/2006/relationships/externalLinkPath" Target="../Retail/JAN2026/ConsRE.xlsx" TargetMode="External"/><Relationship Id="rId2" Type="http://schemas.openxmlformats.org/officeDocument/2006/relationships/externalLinkPath" Target="https://cbbbah.sharepoint.com/sites/StatisticalUnit/Shared%20Documents/General/Statistical%20Returns/Retail/JAN2026/ConsRE.xlsx" TargetMode="External"/><Relationship Id="rId1" Type="http://schemas.openxmlformats.org/officeDocument/2006/relationships/externalLinkPath" Target="/sites/StatisticalUnit/Shared%20Documents/General/Statistical%20Returns/Retail/JAN2026/ConsRE.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Retail/FEB2026/ConsRE.xlsx" TargetMode="External"/><Relationship Id="rId1" Type="http://schemas.openxmlformats.org/officeDocument/2006/relationships/externalLinkPath" Target="/sites/StatisticalUnit/Shared%20Documents/General/Statistical%20Returns/Retail/FEB2026/ConsRE.xlsx" TargetMode="External"/></Relationships>
</file>

<file path=xl/externalLinks/_rels/externalLink14.xml.rels><?xml version="1.0" encoding="UTF-8" standalone="yes"?>
<Relationships xmlns="http://schemas.openxmlformats.org/package/2006/relationships"><Relationship Id="rId3" Type="http://schemas.openxmlformats.org/officeDocument/2006/relationships/externalLinkPath" Target="../Retail/MAR2026/ConsRE.xlsx" TargetMode="External"/><Relationship Id="rId2" Type="http://schemas.openxmlformats.org/officeDocument/2006/relationships/externalLinkPath" Target="https://cbbbah.sharepoint.com/sites/StatisticalUnit/Shared%20Documents/General/Statistical%20Returns/Retail/MAR2026/ConsRE.xlsx" TargetMode="External"/><Relationship Id="rId1" Type="http://schemas.openxmlformats.org/officeDocument/2006/relationships/externalLinkPath" Target="/sites/StatisticalUnit/Shared%20Documents/General/Statistical%20Returns/Retail/MAR2026/ConsRE.xlsx" TargetMode="External"/></Relationships>
</file>

<file path=xl/externalLinks/_rels/externalLink15.xml.rels><?xml version="1.0" encoding="UTF-8" standalone="yes"?>
<Relationships xmlns="http://schemas.openxmlformats.org/package/2006/relationships"><Relationship Id="rId3" Type="http://schemas.openxmlformats.org/officeDocument/2006/relationships/externalLinkPath" Target="../Retail/APR2026/ConsRE.xlsx" TargetMode="External"/><Relationship Id="rId2" Type="http://schemas.openxmlformats.org/officeDocument/2006/relationships/externalLinkPath" Target="https://cbbbah.sharepoint.com/sites/StatisticalUnit/Shared%20Documents/General/Statistical%20Returns/Retail/APR2026/ConsRE.xlsx" TargetMode="External"/><Relationship Id="rId1" Type="http://schemas.openxmlformats.org/officeDocument/2006/relationships/externalLinkPath" Target="/sites/StatisticalUnit/Shared%20Documents/General/Statistical%20Returns/Retail/APR2026/ConsRE.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Retail/May2026/ConsRE.xlsx" TargetMode="External"/><Relationship Id="rId1" Type="http://schemas.openxmlformats.org/officeDocument/2006/relationships/externalLinkPath" Target="/sites/StatisticalUnit/Shared%20Documents/General/Statistical%20Returns/Retail/May2026/ConsRE.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Interest%20Rates/INTEREST%20RATES%20Jun2025.xlsx" TargetMode="External"/><Relationship Id="rId1" Type="http://schemas.openxmlformats.org/officeDocument/2006/relationships/externalLinkPath" Target="/sites/StatisticalUnit/Shared%20Documents/General/Statistical%20Returns/Interest%20Rates/INTEREST%20RATES%20Jun2025.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Interest%20Rates/INTEREST%20RATES%20Jul2025.xlsx" TargetMode="External"/><Relationship Id="rId1" Type="http://schemas.openxmlformats.org/officeDocument/2006/relationships/externalLinkPath" Target="/sites/StatisticalUnit/Shared%20Documents/General/Statistical%20Returns/Interest%20Rates/INTEREST%20RATES%20Jul2025.xlsx"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Interest%20Rates/INTEREST%20RATES%20Aug2025.xlsx" TargetMode="External"/><Relationship Id="rId1" Type="http://schemas.openxmlformats.org/officeDocument/2006/relationships/externalLinkPath" Target="/sites/StatisticalUnit/Shared%20Documents/General/Statistical%20Returns/Interest%20Rates/INTEREST%20RATES%20Aug20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consAll/Sep2025.xlsx" TargetMode="External"/><Relationship Id="rId1" Type="http://schemas.openxmlformats.org/officeDocument/2006/relationships/externalLinkPath" Target="/sites/StatisticalUnit/Shared%20Documents/General/Statistical%20Returns/consAll/Sep2025.xlsx"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Interest%20Rates/INTEREST%20RATES%20Sep2025.xlsx" TargetMode="External"/><Relationship Id="rId1" Type="http://schemas.openxmlformats.org/officeDocument/2006/relationships/externalLinkPath" Target="/sites/StatisticalUnit/Shared%20Documents/General/Statistical%20Returns/Interest%20Rates/INTEREST%20RATES%20Sep2025.xlsx"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Interest%20Rates/INTEREST%20RATES%20Oct2025.xlsx" TargetMode="External"/><Relationship Id="rId1" Type="http://schemas.openxmlformats.org/officeDocument/2006/relationships/externalLinkPath" Target="/sites/StatisticalUnit/Shared%20Documents/General/Statistical%20Returns/Interest%20Rates/INTEREST%20RATES%20Oct2025.xlsx" TargetMode="External"/></Relationships>
</file>

<file path=xl/externalLinks/_rels/externalLink22.xml.rels><?xml version="1.0" encoding="UTF-8" standalone="yes"?>
<Relationships xmlns="http://schemas.openxmlformats.org/package/2006/relationships"><Relationship Id="rId3" Type="http://schemas.openxmlformats.org/officeDocument/2006/relationships/externalLinkPath" Target="../Interest%20Rates/INTEREST%20RATES%20Nov2025.xlsx" TargetMode="External"/><Relationship Id="rId2" Type="http://schemas.openxmlformats.org/officeDocument/2006/relationships/externalLinkPath" Target="https://cbbbah.sharepoint.com/sites/StatisticalUnit/Shared%20Documents/General/Statistical%20Returns/Interest%20Rates/INTEREST%20RATES%20Nov2025.xlsx" TargetMode="External"/><Relationship Id="rId1" Type="http://schemas.openxmlformats.org/officeDocument/2006/relationships/externalLinkPath" Target="/sites/StatisticalUnit/Shared%20Documents/General/Statistical%20Returns/Interest%20Rates/INTEREST%20RATES%20Nov2025.xlsx" TargetMode="External"/></Relationships>
</file>

<file path=xl/externalLinks/_rels/externalLink23.xml.rels><?xml version="1.0" encoding="UTF-8" standalone="yes"?>
<Relationships xmlns="http://schemas.openxmlformats.org/package/2006/relationships"><Relationship Id="rId3" Type="http://schemas.openxmlformats.org/officeDocument/2006/relationships/externalLinkPath" Target="../Interest%20Rates/INTEREST%20RATES%20DEC2025.xlsx" TargetMode="External"/><Relationship Id="rId2" Type="http://schemas.openxmlformats.org/officeDocument/2006/relationships/externalLinkPath" Target="https://cbbbah.sharepoint.com/sites/StatisticalUnit/Shared%20Documents/General/Statistical%20Returns/Interest%20Rates/INTEREST%20RATES%20DEC2025.xlsx" TargetMode="External"/><Relationship Id="rId1" Type="http://schemas.openxmlformats.org/officeDocument/2006/relationships/externalLinkPath" Target="/sites/StatisticalUnit/Shared%20Documents/General/Statistical%20Returns/Interest%20Rates/INTEREST%20RATES%20DEC2025.xlsx" TargetMode="External"/></Relationships>
</file>

<file path=xl/externalLinks/_rels/externalLink24.xml.rels><?xml version="1.0" encoding="UTF-8" standalone="yes"?>
<Relationships xmlns="http://schemas.openxmlformats.org/package/2006/relationships"><Relationship Id="rId3" Type="http://schemas.openxmlformats.org/officeDocument/2006/relationships/externalLinkPath" Target="../Interest%20Rates/INTEREST%20RATES%20Jan2026.xlsx" TargetMode="External"/><Relationship Id="rId2" Type="http://schemas.openxmlformats.org/officeDocument/2006/relationships/externalLinkPath" Target="https://cbbbah.sharepoint.com/sites/StatisticalUnit/Shared%20Documents/General/Statistical%20Returns/Interest%20Rates/INTEREST%20RATES%20Jan2026.xlsx" TargetMode="External"/><Relationship Id="rId1" Type="http://schemas.openxmlformats.org/officeDocument/2006/relationships/externalLinkPath" Target="/sites/StatisticalUnit/Shared%20Documents/General/Statistical%20Returns/Interest%20Rates/INTEREST%20RATES%20Jan2026.xlsx" TargetMode="External"/></Relationships>
</file>

<file path=xl/externalLinks/_rels/externalLink25.xml.rels><?xml version="1.0" encoding="UTF-8" standalone="yes"?>
<Relationships xmlns="http://schemas.openxmlformats.org/package/2006/relationships"><Relationship Id="rId2" Type="http://schemas.openxmlformats.org/officeDocument/2006/relationships/externalLinkPath" Target="../Interest%20Rates/INTEREST%20RATES%20feb2026.xlsx" TargetMode="External"/><Relationship Id="rId1" Type="http://schemas.openxmlformats.org/officeDocument/2006/relationships/externalLinkPath" Target="/sites/StatisticalUnit/Shared%20Documents/General/Statistical%20Returns/Interest%20Rates/INTEREST%20RATES%20feb2026.xlsx" TargetMode="External"/></Relationships>
</file>

<file path=xl/externalLinks/_rels/externalLink26.xml.rels><?xml version="1.0" encoding="UTF-8" standalone="yes"?>
<Relationships xmlns="http://schemas.openxmlformats.org/package/2006/relationships"><Relationship Id="rId2" Type="http://schemas.openxmlformats.org/officeDocument/2006/relationships/externalLinkPath" Target="../Interest%20Rates/INTEREST%20RATES%20Mar2026.xlsx" TargetMode="External"/><Relationship Id="rId1" Type="http://schemas.openxmlformats.org/officeDocument/2006/relationships/externalLinkPath" Target="/sites/StatisticalUnit/Shared%20Documents/General/Statistical%20Returns/Interest%20Rates/INTEREST%20RATES%20Mar2026.xlsx" TargetMode="External"/></Relationships>
</file>

<file path=xl/externalLinks/_rels/externalLink27.xml.rels><?xml version="1.0" encoding="UTF-8" standalone="yes"?>
<Relationships xmlns="http://schemas.openxmlformats.org/package/2006/relationships"><Relationship Id="rId3" Type="http://schemas.openxmlformats.org/officeDocument/2006/relationships/externalLinkPath" Target="../Interest%20Rates/INTEREST%20RATES%20Apr2026.xlsx" TargetMode="External"/><Relationship Id="rId2" Type="http://schemas.openxmlformats.org/officeDocument/2006/relationships/externalLinkPath" Target="https://cbbbah.sharepoint.com/sites/StatisticalUnit/Shared%20Documents/General/Statistical%20Returns/Interest%20Rates/INTEREST%20RATES%20Apr2026.xlsx" TargetMode="External"/><Relationship Id="rId1" Type="http://schemas.openxmlformats.org/officeDocument/2006/relationships/externalLinkPath" Target="/sites/StatisticalUnit/Shared%20Documents/General/Statistical%20Returns/Interest%20Rates/INTEREST%20RATES%20Apr2026.xlsx" TargetMode="External"/></Relationships>
</file>

<file path=xl/externalLinks/_rels/externalLink28.xml.rels><?xml version="1.0" encoding="UTF-8" standalone="yes"?>
<Relationships xmlns="http://schemas.openxmlformats.org/package/2006/relationships"><Relationship Id="rId2" Type="http://schemas.openxmlformats.org/officeDocument/2006/relationships/externalLinkPath" Target="../Interest%20Rates/INTEREST%20RATES%20May2026.xlsx" TargetMode="External"/><Relationship Id="rId1" Type="http://schemas.openxmlformats.org/officeDocument/2006/relationships/externalLinkPath" Target="/sites/StatisticalUnit/Shared%20Documents/General/Statistical%20Returns/Interest%20Rates/INTEREST%20RATES%20May2026.xlsx" TargetMode="External"/></Relationships>
</file>

<file path=xl/externalLinks/_rels/externalLink29.xml.rels><?xml version="1.0" encoding="UTF-8" standalone="yes"?>
<Relationships xmlns="http://schemas.openxmlformats.org/package/2006/relationships"><Relationship Id="rId2" Type="http://schemas.openxmlformats.org/officeDocument/2006/relationships/externalLinkPath" Target="../../erd_ras%20(cbbdfs1)/Final%20srRE/Dec2016/CONSF.xls" TargetMode="External"/><Relationship Id="rId1" Type="http://schemas.openxmlformats.org/officeDocument/2006/relationships/externalLinkPath" Target="/sites/StatisticalUnit/Shared%20Documents/General/erd_ras%20(cbbdfs1)/Final%20srRE/Dec2016/CONSF.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consAll/Dec2025.xlsx" TargetMode="External"/><Relationship Id="rId1" Type="http://schemas.openxmlformats.org/officeDocument/2006/relationships/externalLinkPath" Target="/sites/StatisticalUnit/Shared%20Documents/General/Statistical%20Returns/consAll/Dec2025.xlsx" TargetMode="External"/></Relationships>
</file>

<file path=xl/externalLinks/_rels/externalLink30.xml.rels><?xml version="1.0" encoding="UTF-8" standalone="yes"?>
<Relationships xmlns="http://schemas.openxmlformats.org/package/2006/relationships"><Relationship Id="rId2" Type="http://schemas.openxmlformats.org/officeDocument/2006/relationships/externalLinkPath" Target="../../erd_ras%20(cbbdfs1)/Final%20srRE/Dec2017/CONSF.xls" TargetMode="External"/><Relationship Id="rId1" Type="http://schemas.openxmlformats.org/officeDocument/2006/relationships/externalLinkPath" Target="/sites/StatisticalUnit/Shared%20Documents/General/erd_ras%20(cbbdfs1)/Final%20srRE/Dec2017/CONSF.xls" TargetMode="External"/></Relationships>
</file>

<file path=xl/externalLinks/_rels/externalLink31.xml.rels><?xml version="1.0" encoding="UTF-8" standalone="yes"?>
<Relationships xmlns="http://schemas.openxmlformats.org/package/2006/relationships"><Relationship Id="rId2" Type="http://schemas.openxmlformats.org/officeDocument/2006/relationships/externalLinkPath" Target="../../erd_ras%20(cbbdfs1)/Final%20srRE/Dec2018/CONSF.xls" TargetMode="External"/><Relationship Id="rId1" Type="http://schemas.openxmlformats.org/officeDocument/2006/relationships/externalLinkPath" Target="/sites/StatisticalUnit/Shared%20Documents/General/erd_ras%20(cbbdfs1)/Final%20srRE/Dec2018/CONSF.xls" TargetMode="External"/></Relationships>
</file>

<file path=xl/externalLinks/_rels/externalLink32.xml.rels><?xml version="1.0" encoding="UTF-8" standalone="yes"?>
<Relationships xmlns="http://schemas.openxmlformats.org/package/2006/relationships"><Relationship Id="rId2" Type="http://schemas.openxmlformats.org/officeDocument/2006/relationships/externalLinkPath" Target="../../erd_ras%20(cbbdfs1)/Final%20srRE/Dec2019/CONSF.xls" TargetMode="External"/><Relationship Id="rId1" Type="http://schemas.openxmlformats.org/officeDocument/2006/relationships/externalLinkPath" Target="/sites/StatisticalUnit/Shared%20Documents/General/erd_ras%20(cbbdfs1)/Final%20srRE/Dec2019/CONSF.xls" TargetMode="External"/></Relationships>
</file>

<file path=xl/externalLinks/_rels/externalLink33.xml.rels><?xml version="1.0" encoding="UTF-8" standalone="yes"?>
<Relationships xmlns="http://schemas.openxmlformats.org/package/2006/relationships"><Relationship Id="rId2" Type="http://schemas.openxmlformats.org/officeDocument/2006/relationships/externalLinkPath" Target="../../erd_ras%20(cbbdfs1)/Final%20srRE/Dec2020/CONSF.xls" TargetMode="External"/><Relationship Id="rId1" Type="http://schemas.openxmlformats.org/officeDocument/2006/relationships/externalLinkPath" Target="/sites/StatisticalUnit/Shared%20Documents/General/erd_ras%20(cbbdfs1)/Final%20srRE/Dec2020/CONSF.xls" TargetMode="External"/></Relationships>
</file>

<file path=xl/externalLinks/_rels/externalLink34.xml.rels><?xml version="1.0" encoding="UTF-8" standalone="yes"?>
<Relationships xmlns="http://schemas.openxmlformats.org/package/2006/relationships"><Relationship Id="rId2" Type="http://schemas.openxmlformats.org/officeDocument/2006/relationships/externalLinkPath" Target="../../erd_ras%20(cbbdfs1)/Final%20srRE/Dec2021/CONSF.xls" TargetMode="External"/><Relationship Id="rId1" Type="http://schemas.openxmlformats.org/officeDocument/2006/relationships/externalLinkPath" Target="/sites/StatisticalUnit/Shared%20Documents/General/erd_ras%20(cbbdfs1)/Final%20srRE/Dec2021/CONSF.xls" TargetMode="External"/></Relationships>
</file>

<file path=xl/externalLinks/_rels/externalLink35.xml.rels><?xml version="1.0" encoding="UTF-8" standalone="yes"?>
<Relationships xmlns="http://schemas.openxmlformats.org/package/2006/relationships"><Relationship Id="rId2" Type="http://schemas.openxmlformats.org/officeDocument/2006/relationships/externalLinkPath" Target="../../erd_ras%20(cbbdfs1)/Final%20srRE/Dec2022/CONSF.xlsx" TargetMode="External"/><Relationship Id="rId1" Type="http://schemas.openxmlformats.org/officeDocument/2006/relationships/externalLinkPath" Target="/sites/StatisticalUnit/Shared%20Documents/General/erd_ras%20(cbbdfs1)/Final%20srRE/Dec2022/CONSF.xlsx" TargetMode="External"/></Relationships>
</file>

<file path=xl/externalLinks/_rels/externalLink36.xml.rels><?xml version="1.0" encoding="UTF-8" standalone="yes"?>
<Relationships xmlns="http://schemas.openxmlformats.org/package/2006/relationships"><Relationship Id="rId3" Type="http://schemas.openxmlformats.org/officeDocument/2006/relationships/externalLinkPath" Target="../../erd_nada/Excel/Financing%20Companies/Financing%20Companies%20Consolidated.xls" TargetMode="External"/><Relationship Id="rId2" Type="http://schemas.openxmlformats.org/officeDocument/2006/relationships/externalLinkPath" Target="https://cbbbah.sharepoint.com/sites/StatisticalUnit/Shared%20Documents/General/erd_nada/Excel/Financing%20Companies/Financing%20Companies%20Consolidated.xls" TargetMode="External"/><Relationship Id="rId1" Type="http://schemas.openxmlformats.org/officeDocument/2006/relationships/externalLinkPath" Target="/sites/StatisticalUnit/Shared%20Documents/General/erd_nada/Excel/Financing%20Companies/Financing%20Companies%20Consolidated.xls" TargetMode="External"/></Relationships>
</file>

<file path=xl/externalLinks/_rels/externalLink37.xml.rels><?xml version="1.0" encoding="UTF-8" standalone="yes"?>
<Relationships xmlns="http://schemas.openxmlformats.org/package/2006/relationships"><Relationship Id="rId2" Type="http://schemas.openxmlformats.org/officeDocument/2006/relationships/externalLinkPath" Target="../../erd_ras%20(cbbdfs1)/Islamic%20Window/Jun2025/CONSF.xlsx" TargetMode="External"/><Relationship Id="rId1" Type="http://schemas.openxmlformats.org/officeDocument/2006/relationships/externalLinkPath" Target="/sites/StatisticalUnit/Shared%20Documents/General/erd_ras%20(cbbdfs1)/Islamic%20Window/Jun2025/CONSF.xlsx" TargetMode="External"/></Relationships>
</file>

<file path=xl/externalLinks/_rels/externalLink38.xml.rels><?xml version="1.0" encoding="UTF-8" standalone="yes"?>
<Relationships xmlns="http://schemas.openxmlformats.org/package/2006/relationships"><Relationship Id="rId2" Type="http://schemas.openxmlformats.org/officeDocument/2006/relationships/externalLinkPath" Target="../../erd_ras%20(cbbdfs1)/Islamic%20Window/Jul2025/CONSF.xlsx" TargetMode="External"/><Relationship Id="rId1" Type="http://schemas.openxmlformats.org/officeDocument/2006/relationships/externalLinkPath" Target="/sites/StatisticalUnit/Shared%20Documents/General/erd_ras%20(cbbdfs1)/Islamic%20Window/Jul2025/CONSF.xlsx" TargetMode="External"/></Relationships>
</file>

<file path=xl/externalLinks/_rels/externalLink39.xml.rels><?xml version="1.0" encoding="UTF-8" standalone="yes"?>
<Relationships xmlns="http://schemas.openxmlformats.org/package/2006/relationships"><Relationship Id="rId2" Type="http://schemas.openxmlformats.org/officeDocument/2006/relationships/externalLinkPath" Target="../../erd_ras%20(cbbdfs1)/Islamic%20Window/Aug2025/CONSF.xlsx" TargetMode="External"/><Relationship Id="rId1" Type="http://schemas.openxmlformats.org/officeDocument/2006/relationships/externalLinkPath" Target="/sites/StatisticalUnit/Shared%20Documents/General/erd_ras%20(cbbdfs1)/Islamic%20Window/Aug2025/CONSF.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consAll/Mar2026.xlsx" TargetMode="External"/><Relationship Id="rId1" Type="http://schemas.openxmlformats.org/officeDocument/2006/relationships/externalLinkPath" Target="/sites/StatisticalUnit/Shared%20Documents/General/Statistical%20Returns/consAll/Mar2026.xlsx" TargetMode="External"/></Relationships>
</file>

<file path=xl/externalLinks/_rels/externalLink40.xml.rels><?xml version="1.0" encoding="UTF-8" standalone="yes"?>
<Relationships xmlns="http://schemas.openxmlformats.org/package/2006/relationships"><Relationship Id="rId2" Type="http://schemas.openxmlformats.org/officeDocument/2006/relationships/externalLinkPath" Target="../../erd_ras%20(cbbdfs1)/Islamic%20Window/Sep2025/CONSF.xlsx" TargetMode="External"/><Relationship Id="rId1" Type="http://schemas.openxmlformats.org/officeDocument/2006/relationships/externalLinkPath" Target="/sites/StatisticalUnit/Shared%20Documents/General/erd_ras%20(cbbdfs1)/Islamic%20Window/Sep2025/CONSF.xlsx" TargetMode="External"/></Relationships>
</file>

<file path=xl/externalLinks/_rels/externalLink41.xml.rels><?xml version="1.0" encoding="UTF-8" standalone="yes"?>
<Relationships xmlns="http://schemas.openxmlformats.org/package/2006/relationships"><Relationship Id="rId2" Type="http://schemas.openxmlformats.org/officeDocument/2006/relationships/externalLinkPath" Target="../../erd_ras%20(cbbdfs1)/Islamic%20Window/Oct2025/CONSF.xlsx" TargetMode="External"/><Relationship Id="rId1" Type="http://schemas.openxmlformats.org/officeDocument/2006/relationships/externalLinkPath" Target="/sites/StatisticalUnit/Shared%20Documents/General/erd_ras%20(cbbdfs1)/Islamic%20Window/Oct2025/CONSF.xlsx" TargetMode="External"/></Relationships>
</file>

<file path=xl/externalLinks/_rels/externalLink42.xml.rels><?xml version="1.0" encoding="UTF-8" standalone="yes"?>
<Relationships xmlns="http://schemas.openxmlformats.org/package/2006/relationships"><Relationship Id="rId2" Type="http://schemas.openxmlformats.org/officeDocument/2006/relationships/externalLinkPath" Target="../../erd_ras%20(cbbdfs1)/Islamic%20Window/Nov2025/CONSF.xlsx" TargetMode="External"/><Relationship Id="rId1" Type="http://schemas.openxmlformats.org/officeDocument/2006/relationships/externalLinkPath" Target="/sites/StatisticalUnit/Shared%20Documents/General/erd_ras%20(cbbdfs1)/Islamic%20Window/Nov2025/CONSF.xlsx" TargetMode="External"/></Relationships>
</file>

<file path=xl/externalLinks/_rels/externalLink43.xml.rels><?xml version="1.0" encoding="UTF-8" standalone="yes"?>
<Relationships xmlns="http://schemas.openxmlformats.org/package/2006/relationships"><Relationship Id="rId2" Type="http://schemas.openxmlformats.org/officeDocument/2006/relationships/externalLinkPath" Target="../../erd_ras%20(cbbdfs1)/Islamic%20Window/Dec2025/CONSF.xlsx" TargetMode="External"/><Relationship Id="rId1" Type="http://schemas.openxmlformats.org/officeDocument/2006/relationships/externalLinkPath" Target="/sites/StatisticalUnit/Shared%20Documents/General/erd_ras%20(cbbdfs1)/Islamic%20Window/Dec2025/CONSF.xlsx" TargetMode="External"/></Relationships>
</file>

<file path=xl/externalLinks/_rels/externalLink44.xml.rels><?xml version="1.0" encoding="UTF-8" standalone="yes"?>
<Relationships xmlns="http://schemas.openxmlformats.org/package/2006/relationships"><Relationship Id="rId3" Type="http://schemas.openxmlformats.org/officeDocument/2006/relationships/externalLinkPath" Target="../../erd_ras%20(cbbdfs1)/Islamic%20Window/JAN2026/CONSF.xlsx" TargetMode="External"/><Relationship Id="rId2" Type="http://schemas.openxmlformats.org/officeDocument/2006/relationships/externalLinkPath" Target="https://cbbbah.sharepoint.com/sites/StatisticalUnit/Shared%20Documents/General/erd_ras%20(cbbdfs1)/Islamic%20Window/JAN2026/CONSF.xlsx" TargetMode="External"/><Relationship Id="rId1" Type="http://schemas.openxmlformats.org/officeDocument/2006/relationships/externalLinkPath" Target="/sites/StatisticalUnit/Shared%20Documents/General/erd_ras%20(cbbdfs1)/Islamic%20Window/JAN2026/CONSF.xlsx" TargetMode="External"/></Relationships>
</file>

<file path=xl/externalLinks/_rels/externalLink45.xml.rels><?xml version="1.0" encoding="UTF-8" standalone="yes"?>
<Relationships xmlns="http://schemas.openxmlformats.org/package/2006/relationships"><Relationship Id="rId2" Type="http://schemas.openxmlformats.org/officeDocument/2006/relationships/externalLinkPath" Target="../../erd_ras%20(cbbdfs1)/Islamic%20Window/feb2026/CONSF.xlsx" TargetMode="External"/><Relationship Id="rId1" Type="http://schemas.openxmlformats.org/officeDocument/2006/relationships/externalLinkPath" Target="/sites/StatisticalUnit/Shared%20Documents/General/erd_ras%20(cbbdfs1)/Islamic%20Window/feb2026/CONSF.xlsx" TargetMode="External"/></Relationships>
</file>

<file path=xl/externalLinks/_rels/externalLink46.xml.rels><?xml version="1.0" encoding="UTF-8" standalone="yes"?>
<Relationships xmlns="http://schemas.openxmlformats.org/package/2006/relationships"><Relationship Id="rId2" Type="http://schemas.openxmlformats.org/officeDocument/2006/relationships/externalLinkPath" Target="../../erd_ras%20(cbbdfs1)/Islamic%20Window/Mar2026/CONSF.xlsx" TargetMode="External"/><Relationship Id="rId1" Type="http://schemas.openxmlformats.org/officeDocument/2006/relationships/externalLinkPath" Target="/sites/StatisticalUnit/Shared%20Documents/General/erd_ras%20(cbbdfs1)/Islamic%20Window/Mar2026/CONSF.xlsx" TargetMode="External"/></Relationships>
</file>

<file path=xl/externalLinks/_rels/externalLink47.xml.rels><?xml version="1.0" encoding="UTF-8" standalone="yes"?>
<Relationships xmlns="http://schemas.openxmlformats.org/package/2006/relationships"><Relationship Id="rId2" Type="http://schemas.openxmlformats.org/officeDocument/2006/relationships/externalLinkPath" Target="../../erd_ras%20(cbbdfs1)/Islamic%20Window/Apr2026/CONSF.xlsx" TargetMode="External"/><Relationship Id="rId1" Type="http://schemas.openxmlformats.org/officeDocument/2006/relationships/externalLinkPath" Target="/sites/StatisticalUnit/Shared%20Documents/General/erd_ras%20(cbbdfs1)/Islamic%20Window/Apr2026/CONSF.xlsx" TargetMode="External"/></Relationships>
</file>

<file path=xl/externalLinks/_rels/externalLink48.xml.rels><?xml version="1.0" encoding="UTF-8" standalone="yes"?>
<Relationships xmlns="http://schemas.openxmlformats.org/package/2006/relationships"><Relationship Id="rId2" Type="http://schemas.openxmlformats.org/officeDocument/2006/relationships/externalLinkPath" Target="../../erd_ras%20(cbbdfs1)/Islamic%20Window/May2026/CONSF.xlsx" TargetMode="External"/><Relationship Id="rId1" Type="http://schemas.openxmlformats.org/officeDocument/2006/relationships/externalLinkPath" Target="/sites/StatisticalUnit/Shared%20Documents/General/erd_ras%20(cbbdfs1)/Islamic%20Window/May2026/CONSF.xlsx" TargetMode="External"/></Relationships>
</file>

<file path=xl/externalLinks/_rels/externalLink49.xml.rels><?xml version="1.0" encoding="UTF-8" standalone="yes"?>
<Relationships xmlns="http://schemas.openxmlformats.org/package/2006/relationships"><Relationship Id="rId2" Type="http://schemas.openxmlformats.org/officeDocument/2006/relationships/externalLinkPath" Target="../Wholesale/Jun2025/CONSWHO.xlsx" TargetMode="External"/><Relationship Id="rId1" Type="http://schemas.openxmlformats.org/officeDocument/2006/relationships/externalLinkPath" Target="/sites/StatisticalUnit/Shared%20Documents/General/Statistical%20Returns/Wholesale/Jun2025/CONSWHO.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Retail/JUN2025/ConsRE.xlsx" TargetMode="External"/><Relationship Id="rId1" Type="http://schemas.openxmlformats.org/officeDocument/2006/relationships/externalLinkPath" Target="/sites/StatisticalUnit/Shared%20Documents/General/Statistical%20Returns/Retail/JUN2025/ConsRE.xlsx" TargetMode="External"/></Relationships>
</file>

<file path=xl/externalLinks/_rels/externalLink50.xml.rels><?xml version="1.0" encoding="UTF-8" standalone="yes"?>
<Relationships xmlns="http://schemas.openxmlformats.org/package/2006/relationships"><Relationship Id="rId2" Type="http://schemas.openxmlformats.org/officeDocument/2006/relationships/externalLinkPath" Target="../Wholesale/Jul2025/CONSWHO.xlsx" TargetMode="External"/><Relationship Id="rId1" Type="http://schemas.openxmlformats.org/officeDocument/2006/relationships/externalLinkPath" Target="/sites/StatisticalUnit/Shared%20Documents/General/Statistical%20Returns/Wholesale/Jul2025/CONSWHO.xlsx" TargetMode="External"/></Relationships>
</file>

<file path=xl/externalLinks/_rels/externalLink51.xml.rels><?xml version="1.0" encoding="UTF-8" standalone="yes"?>
<Relationships xmlns="http://schemas.openxmlformats.org/package/2006/relationships"><Relationship Id="rId2" Type="http://schemas.openxmlformats.org/officeDocument/2006/relationships/externalLinkPath" Target="../Wholesale/Aug2025/CONSWHO.xlsx" TargetMode="External"/><Relationship Id="rId1" Type="http://schemas.openxmlformats.org/officeDocument/2006/relationships/externalLinkPath" Target="/sites/StatisticalUnit/Shared%20Documents/General/Statistical%20Returns/Wholesale/Aug2025/CONSWHO.xlsx" TargetMode="External"/></Relationships>
</file>

<file path=xl/externalLinks/_rels/externalLink52.xml.rels><?xml version="1.0" encoding="UTF-8" standalone="yes"?>
<Relationships xmlns="http://schemas.openxmlformats.org/package/2006/relationships"><Relationship Id="rId2" Type="http://schemas.openxmlformats.org/officeDocument/2006/relationships/externalLinkPath" Target="../Wholesale/Sep2025/CONSWHO.xlsx" TargetMode="External"/><Relationship Id="rId1" Type="http://schemas.openxmlformats.org/officeDocument/2006/relationships/externalLinkPath" Target="/sites/StatisticalUnit/Shared%20Documents/General/Statistical%20Returns/Wholesale/Sep2025/CONSWHO.xlsx" TargetMode="External"/></Relationships>
</file>

<file path=xl/externalLinks/_rels/externalLink53.xml.rels><?xml version="1.0" encoding="UTF-8" standalone="yes"?>
<Relationships xmlns="http://schemas.openxmlformats.org/package/2006/relationships"><Relationship Id="rId2" Type="http://schemas.openxmlformats.org/officeDocument/2006/relationships/externalLinkPath" Target="../Wholesale/Oct2025/CONSWHO.xlsx" TargetMode="External"/><Relationship Id="rId1" Type="http://schemas.openxmlformats.org/officeDocument/2006/relationships/externalLinkPath" Target="/sites/StatisticalUnit/Shared%20Documents/General/Statistical%20Returns/Wholesale/Oct2025/CONSWHO.xlsx" TargetMode="External"/></Relationships>
</file>

<file path=xl/externalLinks/_rels/externalLink54.xml.rels><?xml version="1.0" encoding="UTF-8" standalone="yes"?>
<Relationships xmlns="http://schemas.openxmlformats.org/package/2006/relationships"><Relationship Id="rId2" Type="http://schemas.openxmlformats.org/officeDocument/2006/relationships/externalLinkPath" Target="../Wholesale/Nov2025/CONSWHO.xlsx" TargetMode="External"/><Relationship Id="rId1" Type="http://schemas.openxmlformats.org/officeDocument/2006/relationships/externalLinkPath" Target="/sites/StatisticalUnit/Shared%20Documents/General/Statistical%20Returns/Wholesale/Nov2025/CONSWHO.xlsx" TargetMode="External"/></Relationships>
</file>

<file path=xl/externalLinks/_rels/externalLink55.xml.rels><?xml version="1.0" encoding="UTF-8" standalone="yes"?>
<Relationships xmlns="http://schemas.openxmlformats.org/package/2006/relationships"><Relationship Id="rId3" Type="http://schemas.openxmlformats.org/officeDocument/2006/relationships/externalLinkPath" Target="../Wholesale/Dec2025/ConsWho.xlsx" TargetMode="External"/><Relationship Id="rId2" Type="http://schemas.openxmlformats.org/officeDocument/2006/relationships/externalLinkPath" Target="https://cbbbah.sharepoint.com/sites/StatisticalUnit/Shared%20Documents/General/Statistical%20Returns/Wholesale/Dec2025/ConsWho.xlsx" TargetMode="External"/><Relationship Id="rId1" Type="http://schemas.openxmlformats.org/officeDocument/2006/relationships/externalLinkPath" Target="/sites/StatisticalUnit/Shared%20Documents/General/Statistical%20Returns/Wholesale/Dec2025/ConsWho.xlsx" TargetMode="External"/></Relationships>
</file>

<file path=xl/externalLinks/_rels/externalLink56.xml.rels><?xml version="1.0" encoding="UTF-8" standalone="yes"?>
<Relationships xmlns="http://schemas.openxmlformats.org/package/2006/relationships"><Relationship Id="rId3" Type="http://schemas.openxmlformats.org/officeDocument/2006/relationships/externalLinkPath" Target="../Wholesale/Jan2026/ConsWho.xlsx" TargetMode="External"/><Relationship Id="rId2" Type="http://schemas.openxmlformats.org/officeDocument/2006/relationships/externalLinkPath" Target="https://cbbbah.sharepoint.com/sites/StatisticalUnit/Shared%20Documents/General/Statistical%20Returns/Wholesale/Jan2026/ConsWho.xlsx" TargetMode="External"/><Relationship Id="rId1" Type="http://schemas.openxmlformats.org/officeDocument/2006/relationships/externalLinkPath" Target="/sites/StatisticalUnit/Shared%20Documents/General/Statistical%20Returns/Wholesale/Jan2026/ConsWho.xlsx" TargetMode="External"/></Relationships>
</file>

<file path=xl/externalLinks/_rels/externalLink57.xml.rels><?xml version="1.0" encoding="UTF-8" standalone="yes"?>
<Relationships xmlns="http://schemas.openxmlformats.org/package/2006/relationships"><Relationship Id="rId2" Type="http://schemas.openxmlformats.org/officeDocument/2006/relationships/externalLinkPath" Target="../Wholesale/feb2026/ConsWho.xlsx" TargetMode="External"/><Relationship Id="rId1" Type="http://schemas.openxmlformats.org/officeDocument/2006/relationships/externalLinkPath" Target="/sites/StatisticalUnit/Shared%20Documents/General/Statistical%20Returns/Wholesale/feb2026/ConsWho.xlsx" TargetMode="External"/></Relationships>
</file>

<file path=xl/externalLinks/_rels/externalLink58.xml.rels><?xml version="1.0" encoding="UTF-8" standalone="yes"?>
<Relationships xmlns="http://schemas.openxmlformats.org/package/2006/relationships"><Relationship Id="rId2" Type="http://schemas.openxmlformats.org/officeDocument/2006/relationships/externalLinkPath" Target="../Wholesale/mar2026/CONSWHO.xlsx" TargetMode="External"/><Relationship Id="rId1" Type="http://schemas.openxmlformats.org/officeDocument/2006/relationships/externalLinkPath" Target="/sites/StatisticalUnit/Shared%20Documents/General/Statistical%20Returns/Wholesale/mar2026/CONSWHO.xlsx" TargetMode="External"/></Relationships>
</file>

<file path=xl/externalLinks/_rels/externalLink59.xml.rels><?xml version="1.0" encoding="UTF-8" standalone="yes"?>
<Relationships xmlns="http://schemas.openxmlformats.org/package/2006/relationships"><Relationship Id="rId3" Type="http://schemas.openxmlformats.org/officeDocument/2006/relationships/externalLinkPath" Target="../Wholesale/Apr2026/CONSWHO.xlsx" TargetMode="External"/><Relationship Id="rId2" Type="http://schemas.openxmlformats.org/officeDocument/2006/relationships/externalLinkPath" Target="https://cbbbah.sharepoint.com/sites/StatisticalUnit/Shared%20Documents/General/Statistical%20Returns/Wholesale/Apr2026/ConsWho.xlsx" TargetMode="External"/><Relationship Id="rId1" Type="http://schemas.openxmlformats.org/officeDocument/2006/relationships/externalLinkPath" Target="/sites/StatisticalUnit/Shared%20Documents/General/Statistical%20Returns/Wholesale/Apr2026/CONSWHO.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Retail/Jul2025/ConsRE.xlsx" TargetMode="External"/><Relationship Id="rId1" Type="http://schemas.openxmlformats.org/officeDocument/2006/relationships/externalLinkPath" Target="/sites/StatisticalUnit/Shared%20Documents/General/Statistical%20Returns/Retail/Jul2025/ConsRE.xlsx" TargetMode="External"/></Relationships>
</file>

<file path=xl/externalLinks/_rels/externalLink60.xml.rels><?xml version="1.0" encoding="UTF-8" standalone="yes"?>
<Relationships xmlns="http://schemas.openxmlformats.org/package/2006/relationships"><Relationship Id="rId2" Type="http://schemas.openxmlformats.org/officeDocument/2006/relationships/externalLinkPath" Target="../Wholesale/May2026/CONSWHO.xlsx" TargetMode="External"/><Relationship Id="rId1" Type="http://schemas.openxmlformats.org/officeDocument/2006/relationships/externalLinkPath" Target="/sites/StatisticalUnit/Shared%20Documents/General/Statistical%20Returns/Wholesale/May2026/CONSWHO.xlsx" TargetMode="External"/></Relationships>
</file>

<file path=xl/externalLinks/_rels/externalLink61.xml.rels><?xml version="1.0" encoding="UTF-8" standalone="yes"?>
<Relationships xmlns="http://schemas.openxmlformats.org/package/2006/relationships"><Relationship Id="rId2" Type="http://schemas.openxmlformats.org/officeDocument/2006/relationships/externalLinkPath" Target="../../erd_ras%20(cbbdfs1)/Final%20srIs/Dec2016/CONSF.xls" TargetMode="External"/><Relationship Id="rId1" Type="http://schemas.openxmlformats.org/officeDocument/2006/relationships/externalLinkPath" Target="/sites/StatisticalUnit/Shared%20Documents/General/erd_ras%20(cbbdfs1)/Final%20srIs/Dec2016/CONSF.xls" TargetMode="External"/></Relationships>
</file>

<file path=xl/externalLinks/_rels/externalLink62.xml.rels><?xml version="1.0" encoding="UTF-8" standalone="yes"?>
<Relationships xmlns="http://schemas.openxmlformats.org/package/2006/relationships"><Relationship Id="rId2" Type="http://schemas.openxmlformats.org/officeDocument/2006/relationships/externalLinkPath" Target="../../erd_ras%20(cbbdfs1)/Final%20srIs/Dec2017/CONSF.xls" TargetMode="External"/><Relationship Id="rId1" Type="http://schemas.openxmlformats.org/officeDocument/2006/relationships/externalLinkPath" Target="/sites/StatisticalUnit/Shared%20Documents/General/erd_ras%20(cbbdfs1)/Final%20srIs/Dec2017/CONSF.xls" TargetMode="External"/></Relationships>
</file>

<file path=xl/externalLinks/_rels/externalLink63.xml.rels><?xml version="1.0" encoding="UTF-8" standalone="yes"?>
<Relationships xmlns="http://schemas.openxmlformats.org/package/2006/relationships"><Relationship Id="rId2" Type="http://schemas.openxmlformats.org/officeDocument/2006/relationships/externalLinkPath" Target="../../erd_ras%20(cbbdfs1)/Final%20srIs/Dec2018/CONSF.xls" TargetMode="External"/><Relationship Id="rId1" Type="http://schemas.openxmlformats.org/officeDocument/2006/relationships/externalLinkPath" Target="/sites/StatisticalUnit/Shared%20Documents/General/erd_ras%20(cbbdfs1)/Final%20srIs/Dec2018/CONSF.xls" TargetMode="External"/></Relationships>
</file>

<file path=xl/externalLinks/_rels/externalLink64.xml.rels><?xml version="1.0" encoding="UTF-8" standalone="yes"?>
<Relationships xmlns="http://schemas.openxmlformats.org/package/2006/relationships"><Relationship Id="rId2" Type="http://schemas.openxmlformats.org/officeDocument/2006/relationships/externalLinkPath" Target="../../erd_ras%20(cbbdfs1)/Final%20srIs/Dec2019/CONSF.xls" TargetMode="External"/><Relationship Id="rId1" Type="http://schemas.openxmlformats.org/officeDocument/2006/relationships/externalLinkPath" Target="/sites/StatisticalUnit/Shared%20Documents/General/erd_ras%20(cbbdfs1)/Final%20srIs/Dec2019/CONSF.xls" TargetMode="External"/></Relationships>
</file>

<file path=xl/externalLinks/_rels/externalLink65.xml.rels><?xml version="1.0" encoding="UTF-8" standalone="yes"?>
<Relationships xmlns="http://schemas.openxmlformats.org/package/2006/relationships"><Relationship Id="rId2" Type="http://schemas.openxmlformats.org/officeDocument/2006/relationships/externalLinkPath" Target="../../erd_ras%20(cbbdfs1)/Final%20srIs/Dec2020/CONSF.xls" TargetMode="External"/><Relationship Id="rId1" Type="http://schemas.openxmlformats.org/officeDocument/2006/relationships/externalLinkPath" Target="/sites/StatisticalUnit/Shared%20Documents/General/erd_ras%20(cbbdfs1)/Final%20srIs/Dec2020/CONSF.xls" TargetMode="External"/></Relationships>
</file>

<file path=xl/externalLinks/_rels/externalLink66.xml.rels><?xml version="1.0" encoding="UTF-8" standalone="yes"?>
<Relationships xmlns="http://schemas.openxmlformats.org/package/2006/relationships"><Relationship Id="rId2" Type="http://schemas.openxmlformats.org/officeDocument/2006/relationships/externalLinkPath" Target="../../erd_ras%20(cbbdfs1)/Final%20srIs/Dec2021/CONSF.xls" TargetMode="External"/><Relationship Id="rId1" Type="http://schemas.openxmlformats.org/officeDocument/2006/relationships/externalLinkPath" Target="/sites/StatisticalUnit/Shared%20Documents/General/erd_ras%20(cbbdfs1)/Final%20srIs/Dec2021/CONSF.xls" TargetMode="External"/></Relationships>
</file>

<file path=xl/externalLinks/_rels/externalLink67.xml.rels><?xml version="1.0" encoding="UTF-8" standalone="yes"?>
<Relationships xmlns="http://schemas.openxmlformats.org/package/2006/relationships"><Relationship Id="rId2" Type="http://schemas.openxmlformats.org/officeDocument/2006/relationships/externalLinkPath" Target="../Islamic/Jun2025.xlsx" TargetMode="External"/><Relationship Id="rId1" Type="http://schemas.openxmlformats.org/officeDocument/2006/relationships/externalLinkPath" Target="/sites/StatisticalUnit/Shared%20Documents/General/Statistical%20Returns/Islamic/Jun2025.xlsx" TargetMode="External"/></Relationships>
</file>

<file path=xl/externalLinks/_rels/externalLink68.xml.rels><?xml version="1.0" encoding="UTF-8" standalone="yes"?>
<Relationships xmlns="http://schemas.openxmlformats.org/package/2006/relationships"><Relationship Id="rId3" Type="http://schemas.openxmlformats.org/officeDocument/2006/relationships/externalLinkPath" Target="../Islamic/JUL2025.xlsx" TargetMode="External"/><Relationship Id="rId2" Type="http://schemas.openxmlformats.org/officeDocument/2006/relationships/externalLinkPath" Target="https://cbbbah.sharepoint.com/sites/StatisticalUnit/Shared%20Documents/General/Statistical%20Returns/Islamic/JUL2025.xlsx" TargetMode="External"/><Relationship Id="rId1" Type="http://schemas.openxmlformats.org/officeDocument/2006/relationships/externalLinkPath" Target="/sites/StatisticalUnit/Shared%20Documents/General/Statistical%20Returns/Islamic/JUL2025.xlsx" TargetMode="External"/></Relationships>
</file>

<file path=xl/externalLinks/_rels/externalLink69.xml.rels><?xml version="1.0" encoding="UTF-8" standalone="yes"?>
<Relationships xmlns="http://schemas.openxmlformats.org/package/2006/relationships"><Relationship Id="rId2" Type="http://schemas.openxmlformats.org/officeDocument/2006/relationships/externalLinkPath" Target="../Islamic/Aug2025.xlsx" TargetMode="External"/><Relationship Id="rId1" Type="http://schemas.openxmlformats.org/officeDocument/2006/relationships/externalLinkPath" Target="/sites/StatisticalUnit/Shared%20Documents/General/Statistical%20Returns/Islamic/Aug2025.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Retail/Aug2025/ConsRE.xlsx" TargetMode="External"/><Relationship Id="rId1" Type="http://schemas.openxmlformats.org/officeDocument/2006/relationships/externalLinkPath" Target="/sites/StatisticalUnit/Shared%20Documents/General/Statistical%20Returns/Retail/Aug2025/ConsRE.xlsx" TargetMode="External"/></Relationships>
</file>

<file path=xl/externalLinks/_rels/externalLink70.xml.rels><?xml version="1.0" encoding="UTF-8" standalone="yes"?>
<Relationships xmlns="http://schemas.openxmlformats.org/package/2006/relationships"><Relationship Id="rId2" Type="http://schemas.openxmlformats.org/officeDocument/2006/relationships/externalLinkPath" Target="../Islamic/Sep2025.xlsx" TargetMode="External"/><Relationship Id="rId1" Type="http://schemas.openxmlformats.org/officeDocument/2006/relationships/externalLinkPath" Target="/sites/StatisticalUnit/Shared%20Documents/General/Statistical%20Returns/Islamic/Sep2025.xlsx" TargetMode="External"/></Relationships>
</file>

<file path=xl/externalLinks/_rels/externalLink71.xml.rels><?xml version="1.0" encoding="UTF-8" standalone="yes"?>
<Relationships xmlns="http://schemas.openxmlformats.org/package/2006/relationships"><Relationship Id="rId2" Type="http://schemas.openxmlformats.org/officeDocument/2006/relationships/externalLinkPath" Target="../Islamic/Oct2025.xlsx" TargetMode="External"/><Relationship Id="rId1" Type="http://schemas.openxmlformats.org/officeDocument/2006/relationships/externalLinkPath" Target="/sites/StatisticalUnit/Shared%20Documents/General/Statistical%20Returns/Islamic/Oct2025.xlsx" TargetMode="External"/></Relationships>
</file>

<file path=xl/externalLinks/_rels/externalLink72.xml.rels><?xml version="1.0" encoding="UTF-8" standalone="yes"?>
<Relationships xmlns="http://schemas.openxmlformats.org/package/2006/relationships"><Relationship Id="rId2" Type="http://schemas.openxmlformats.org/officeDocument/2006/relationships/externalLinkPath" Target="../Islamic/Nov2025.xlsx" TargetMode="External"/><Relationship Id="rId1" Type="http://schemas.openxmlformats.org/officeDocument/2006/relationships/externalLinkPath" Target="/sites/StatisticalUnit/Shared%20Documents/General/Statistical%20Returns/Islamic/Nov2025.xlsx" TargetMode="External"/></Relationships>
</file>

<file path=xl/externalLinks/_rels/externalLink73.xml.rels><?xml version="1.0" encoding="UTF-8" standalone="yes"?>
<Relationships xmlns="http://schemas.openxmlformats.org/package/2006/relationships"><Relationship Id="rId2" Type="http://schemas.openxmlformats.org/officeDocument/2006/relationships/externalLinkPath" Target="../Islamic/Dec2025.xlsx" TargetMode="External"/><Relationship Id="rId1" Type="http://schemas.openxmlformats.org/officeDocument/2006/relationships/externalLinkPath" Target="/sites/StatisticalUnit/Shared%20Documents/General/Statistical%20Returns/Islamic/Dec2025.xlsx" TargetMode="External"/></Relationships>
</file>

<file path=xl/externalLinks/_rels/externalLink74.xml.rels><?xml version="1.0" encoding="UTF-8" standalone="yes"?>
<Relationships xmlns="http://schemas.openxmlformats.org/package/2006/relationships"><Relationship Id="rId2" Type="http://schemas.openxmlformats.org/officeDocument/2006/relationships/externalLinkPath" Target="../Islamic/jan2026.xlsx" TargetMode="External"/><Relationship Id="rId1" Type="http://schemas.openxmlformats.org/officeDocument/2006/relationships/externalLinkPath" Target="/sites/StatisticalUnit/Shared%20Documents/General/Statistical%20Returns/Islamic/jan2026.xlsx" TargetMode="External"/></Relationships>
</file>

<file path=xl/externalLinks/_rels/externalLink75.xml.rels><?xml version="1.0" encoding="UTF-8" standalone="yes"?>
<Relationships xmlns="http://schemas.openxmlformats.org/package/2006/relationships"><Relationship Id="rId2" Type="http://schemas.openxmlformats.org/officeDocument/2006/relationships/externalLinkPath" Target="../Islamic/FEB2026.xlsx" TargetMode="External"/><Relationship Id="rId1" Type="http://schemas.openxmlformats.org/officeDocument/2006/relationships/externalLinkPath" Target="/sites/StatisticalUnit/Shared%20Documents/General/Statistical%20Returns/Islamic/FEB2026.xlsx" TargetMode="External"/></Relationships>
</file>

<file path=xl/externalLinks/_rels/externalLink76.xml.rels><?xml version="1.0" encoding="UTF-8" standalone="yes"?>
<Relationships xmlns="http://schemas.openxmlformats.org/package/2006/relationships"><Relationship Id="rId2" Type="http://schemas.openxmlformats.org/officeDocument/2006/relationships/externalLinkPath" Target="../Islamic/Mar2026.xlsx" TargetMode="External"/><Relationship Id="rId1" Type="http://schemas.openxmlformats.org/officeDocument/2006/relationships/externalLinkPath" Target="/sites/StatisticalUnit/Shared%20Documents/General/Statistical%20Returns/Islamic/Mar2026.xlsx" TargetMode="External"/></Relationships>
</file>

<file path=xl/externalLinks/_rels/externalLink77.xml.rels><?xml version="1.0" encoding="UTF-8" standalone="yes"?>
<Relationships xmlns="http://schemas.openxmlformats.org/package/2006/relationships"><Relationship Id="rId2" Type="http://schemas.openxmlformats.org/officeDocument/2006/relationships/externalLinkPath" Target="../Islamic/Apr2026.xlsx" TargetMode="External"/><Relationship Id="rId1" Type="http://schemas.openxmlformats.org/officeDocument/2006/relationships/externalLinkPath" Target="/sites/StatisticalUnit/Shared%20Documents/General/Statistical%20Returns/Islamic/Apr2026.xlsx" TargetMode="External"/></Relationships>
</file>

<file path=xl/externalLinks/_rels/externalLink78.xml.rels><?xml version="1.0" encoding="UTF-8" standalone="yes"?>
<Relationships xmlns="http://schemas.openxmlformats.org/package/2006/relationships"><Relationship Id="rId2" Type="http://schemas.openxmlformats.org/officeDocument/2006/relationships/externalLinkPath" Target="../Islamic/May2026.xlsx" TargetMode="External"/><Relationship Id="rId1" Type="http://schemas.openxmlformats.org/officeDocument/2006/relationships/externalLinkPath" Target="/sites/StatisticalUnit/Shared%20Documents/General/Statistical%20Returns/Islamic/May2026.xlsx" TargetMode="External"/></Relationships>
</file>

<file path=xl/externalLinks/_rels/externalLink79.xml.rels><?xml version="1.0" encoding="UTF-8" standalone="yes"?>
<Relationships xmlns="http://schemas.openxmlformats.org/package/2006/relationships"><Relationship Id="rId3" Type="http://schemas.openxmlformats.org/officeDocument/2006/relationships/externalLinkPath" Target="../../erd_nada/POS%20Monthly/Jun2025/cons.xlsx" TargetMode="External"/><Relationship Id="rId2" Type="http://schemas.openxmlformats.org/officeDocument/2006/relationships/externalLinkPath" Target="https://cbbbah.sharepoint.com/sites/StatisticalUnit/Shared%20Documents/General/erd_nada/POS%20Monthly/Jun2025/cons.xlsx" TargetMode="External"/><Relationship Id="rId1" Type="http://schemas.openxmlformats.org/officeDocument/2006/relationships/externalLinkPath" Target="/sites/StatisticalUnit/Shared%20Documents/General/erd_nada/POS%20Monthly/Jun2025/cons.xlsx"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Retail/SEP2025/ConsRE.xlsx" TargetMode="External"/><Relationship Id="rId2" Type="http://schemas.openxmlformats.org/officeDocument/2006/relationships/externalLinkPath" Target="https://cbbbah.sharepoint.com/sites/StatisticalUnit/Shared%20Documents/General/Statistical%20Returns/Retail/SEP2025/ConsRE.xlsx" TargetMode="External"/><Relationship Id="rId1" Type="http://schemas.openxmlformats.org/officeDocument/2006/relationships/externalLinkPath" Target="/sites/StatisticalUnit/Shared%20Documents/General/Statistical%20Returns/Retail/SEP2025/ConsRE.xlsx" TargetMode="External"/></Relationships>
</file>

<file path=xl/externalLinks/_rels/externalLink80.xml.rels><?xml version="1.0" encoding="UTF-8" standalone="yes"?>
<Relationships xmlns="http://schemas.openxmlformats.org/package/2006/relationships"><Relationship Id="rId2" Type="http://schemas.openxmlformats.org/officeDocument/2006/relationships/externalLinkPath" Target="../../erd_nada/POS%20Monthly/Jul2025/cons.xlsx" TargetMode="External"/><Relationship Id="rId1" Type="http://schemas.openxmlformats.org/officeDocument/2006/relationships/externalLinkPath" Target="/sites/StatisticalUnit/Shared%20Documents/General/erd_nada/POS%20Monthly/Jul2025/cons.xlsx" TargetMode="External"/></Relationships>
</file>

<file path=xl/externalLinks/_rels/externalLink81.xml.rels><?xml version="1.0" encoding="UTF-8" standalone="yes"?>
<Relationships xmlns="http://schemas.openxmlformats.org/package/2006/relationships"><Relationship Id="rId2" Type="http://schemas.openxmlformats.org/officeDocument/2006/relationships/externalLinkPath" Target="../../erd_nada/POS%20Monthly/Aug2025/cons.xlsx" TargetMode="External"/><Relationship Id="rId1" Type="http://schemas.openxmlformats.org/officeDocument/2006/relationships/externalLinkPath" Target="/sites/StatisticalUnit/Shared%20Documents/General/erd_nada/POS%20Monthly/Aug2025/cons.xlsx" TargetMode="External"/></Relationships>
</file>

<file path=xl/externalLinks/_rels/externalLink82.xml.rels><?xml version="1.0" encoding="UTF-8" standalone="yes"?>
<Relationships xmlns="http://schemas.openxmlformats.org/package/2006/relationships"><Relationship Id="rId2" Type="http://schemas.openxmlformats.org/officeDocument/2006/relationships/externalLinkPath" Target="../../erd_nada/POS%20Monthly/Sep2025/cons.xlsx" TargetMode="External"/><Relationship Id="rId1" Type="http://schemas.openxmlformats.org/officeDocument/2006/relationships/externalLinkPath" Target="/sites/StatisticalUnit/Shared%20Documents/General/erd_nada/POS%20Monthly/Sep2025/cons.xlsx" TargetMode="External"/></Relationships>
</file>

<file path=xl/externalLinks/_rels/externalLink83.xml.rels><?xml version="1.0" encoding="UTF-8" standalone="yes"?>
<Relationships xmlns="http://schemas.openxmlformats.org/package/2006/relationships"><Relationship Id="rId2" Type="http://schemas.openxmlformats.org/officeDocument/2006/relationships/externalLinkPath" Target="../../erd_nada/POS%20Monthly/Oct2025/cons.xlsx" TargetMode="External"/><Relationship Id="rId1" Type="http://schemas.openxmlformats.org/officeDocument/2006/relationships/externalLinkPath" Target="/sites/StatisticalUnit/Shared%20Documents/General/erd_nada/POS%20Monthly/Oct2025/cons.xlsx" TargetMode="External"/></Relationships>
</file>

<file path=xl/externalLinks/_rels/externalLink84.xml.rels><?xml version="1.0" encoding="UTF-8" standalone="yes"?>
<Relationships xmlns="http://schemas.openxmlformats.org/package/2006/relationships"><Relationship Id="rId3" Type="http://schemas.openxmlformats.org/officeDocument/2006/relationships/externalLinkPath" Target="../../erd_nada/POS%20Monthly/Nov2025/cons.xlsx" TargetMode="External"/><Relationship Id="rId2" Type="http://schemas.openxmlformats.org/officeDocument/2006/relationships/externalLinkPath" Target="https://cbbbah.sharepoint.com/sites/StatisticalUnit/Shared%20Documents/General/erd_nada/POS%20Monthly/Aug2024/cons.xlsx" TargetMode="External"/><Relationship Id="rId1" Type="http://schemas.openxmlformats.org/officeDocument/2006/relationships/externalLinkPath" Target="/sites/StatisticalUnit/Shared%20Documents/General/erd_nada/POS%20Monthly/Nov2025/cons.xlsx" TargetMode="External"/></Relationships>
</file>

<file path=xl/externalLinks/_rels/externalLink85.xml.rels><?xml version="1.0" encoding="UTF-8" standalone="yes"?>
<Relationships xmlns="http://schemas.openxmlformats.org/package/2006/relationships"><Relationship Id="rId3" Type="http://schemas.openxmlformats.org/officeDocument/2006/relationships/externalLinkPath" Target="../../erd_nada/POS%20Monthly/Dec2025/cons.xlsx" TargetMode="External"/><Relationship Id="rId2" Type="http://schemas.openxmlformats.org/officeDocument/2006/relationships/externalLinkPath" Target="https://cbbbah.sharepoint.com/sites/StatisticalUnit/Shared%20Documents/General/erd_nada/POS%20Monthly/Dec2025/cons.xlsx" TargetMode="External"/><Relationship Id="rId1" Type="http://schemas.openxmlformats.org/officeDocument/2006/relationships/externalLinkPath" Target="/sites/StatisticalUnit/Shared%20Documents/General/erd_nada/POS%20Monthly/Dec2025/cons.xlsx" TargetMode="External"/></Relationships>
</file>

<file path=xl/externalLinks/_rels/externalLink86.xml.rels><?xml version="1.0" encoding="UTF-8" standalone="yes"?>
<Relationships xmlns="http://schemas.openxmlformats.org/package/2006/relationships"><Relationship Id="rId3" Type="http://schemas.openxmlformats.org/officeDocument/2006/relationships/externalLinkPath" Target="../../erd_nada/POS%20Monthly/Jan2026/cons.xlsx" TargetMode="External"/><Relationship Id="rId2" Type="http://schemas.openxmlformats.org/officeDocument/2006/relationships/externalLinkPath" Target="https://cbbbah.sharepoint.com/sites/StatisticalUnit/Shared%20Documents/General/erd_nada/POS%20Monthly/Jan2026/cons.xlsx" TargetMode="External"/><Relationship Id="rId1" Type="http://schemas.openxmlformats.org/officeDocument/2006/relationships/externalLinkPath" Target="/sites/StatisticalUnit/Shared%20Documents/General/erd_nada/POS%20Monthly/Jan2026/cons.xlsx" TargetMode="External"/></Relationships>
</file>

<file path=xl/externalLinks/_rels/externalLink87.xml.rels><?xml version="1.0" encoding="UTF-8" standalone="yes"?>
<Relationships xmlns="http://schemas.openxmlformats.org/package/2006/relationships"><Relationship Id="rId2" Type="http://schemas.openxmlformats.org/officeDocument/2006/relationships/externalLinkPath" Target="../../erd_nada/POS%20Monthly/feb2026/cons.xlsx" TargetMode="External"/><Relationship Id="rId1" Type="http://schemas.openxmlformats.org/officeDocument/2006/relationships/externalLinkPath" Target="/sites/StatisticalUnit/Shared%20Documents/General/erd_nada/POS%20Monthly/feb2026/cons.xlsx" TargetMode="External"/></Relationships>
</file>

<file path=xl/externalLinks/_rels/externalLink88.xml.rels><?xml version="1.0" encoding="UTF-8" standalone="yes"?>
<Relationships xmlns="http://schemas.openxmlformats.org/package/2006/relationships"><Relationship Id="rId2" Type="http://schemas.openxmlformats.org/officeDocument/2006/relationships/externalLinkPath" Target="../../erd_nada/POS%20Monthly/Mar2026/cons.xlsx" TargetMode="External"/><Relationship Id="rId1" Type="http://schemas.openxmlformats.org/officeDocument/2006/relationships/externalLinkPath" Target="/sites/StatisticalUnit/Shared%20Documents/General/erd_nada/POS%20Monthly/Mar2026/cons.xlsx" TargetMode="External"/></Relationships>
</file>

<file path=xl/externalLinks/_rels/externalLink89.xml.rels><?xml version="1.0" encoding="UTF-8" standalone="yes"?>
<Relationships xmlns="http://schemas.openxmlformats.org/package/2006/relationships"><Relationship Id="rId3" Type="http://schemas.openxmlformats.org/officeDocument/2006/relationships/externalLinkPath" Target="../../erd_nada/POS%20Monthly/Apr2026/cons.xlsx" TargetMode="External"/><Relationship Id="rId2" Type="http://schemas.openxmlformats.org/officeDocument/2006/relationships/externalLinkPath" Target="https://cbbbah.sharepoint.com/sites/StatisticalUnit/Shared%20Documents/General/erd_nada/POS%20Monthly/Apr2026/cons.xlsx" TargetMode="External"/><Relationship Id="rId1" Type="http://schemas.openxmlformats.org/officeDocument/2006/relationships/externalLinkPath" Target="/sites/StatisticalUnit/Shared%20Documents/General/erd_nada/POS%20Monthly/Apr2026/cons.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Retail/Oct2025/ConsRE.xlsx" TargetMode="External"/><Relationship Id="rId1" Type="http://schemas.openxmlformats.org/officeDocument/2006/relationships/externalLinkPath" Target="/sites/StatisticalUnit/Shared%20Documents/General/Statistical%20Returns/Retail/Oct2025/ConsRE.xlsx" TargetMode="External"/></Relationships>
</file>

<file path=xl/externalLinks/_rels/externalLink90.xml.rels><?xml version="1.0" encoding="UTF-8" standalone="yes"?>
<Relationships xmlns="http://schemas.openxmlformats.org/package/2006/relationships"><Relationship Id="rId2" Type="http://schemas.openxmlformats.org/officeDocument/2006/relationships/externalLinkPath" Target="../../erd_nada/POS%20Monthly/May2026/cons.xlsx" TargetMode="External"/><Relationship Id="rId1" Type="http://schemas.openxmlformats.org/officeDocument/2006/relationships/externalLinkPath" Target="/sites/StatisticalUnit/Shared%20Documents/General/erd_nada/POS%20Monthly/May2026/cons.xlsx" TargetMode="External"/></Relationships>
</file>

<file path=xl/externalLinks/_rels/externalLink91.xml.rels><?xml version="1.0" encoding="UTF-8" standalone="yes"?>
<Relationships xmlns="http://schemas.openxmlformats.org/package/2006/relationships"><Relationship Id="rId3" Type="http://schemas.openxmlformats.org/officeDocument/2006/relationships/externalLinkPath" Target="../../External%20Sector%20Statistics/ESS/1.%20BOP%20and%20IIP/1.%20Source%20files/BOP%20Componants.xlsx" TargetMode="External"/><Relationship Id="rId2" Type="http://schemas.openxmlformats.org/officeDocument/2006/relationships/externalLinkPath" Target="https://cbbbah.sharepoint.com/sites/StatisticalUnit/Shared%20Documents/General/External%20Sector%20Statistics/ESS/1.%20BOP%20and%20IIP/1.%20Source%20files/BOP%20Componants.xlsx" TargetMode="External"/><Relationship Id="rId1" Type="http://schemas.openxmlformats.org/officeDocument/2006/relationships/externalLinkPath" Target="/sites/StatisticalUnit/Shared%20Documents/General/External%20Sector%20Statistics/ESS/1.%20BOP%20and%20IIP/1.%20Source%20files/BOP%20Componants.xlsx" TargetMode="External"/></Relationships>
</file>

<file path=xl/externalLinks/_rels/externalLink92.xml.rels><?xml version="1.0" encoding="UTF-8" standalone="yes"?>
<Relationships xmlns="http://schemas.openxmlformats.org/package/2006/relationships"><Relationship Id="rId3" Type="http://schemas.openxmlformats.org/officeDocument/2006/relationships/externalLinkPath" Target="../../External%20Sector%20Statistics/ESS/1.%20BOP%20and%20IIP/1.%20Source%20files/2.%20Services/Trade%20in%20Services%20Table.xlsx" TargetMode="External"/><Relationship Id="rId2" Type="http://schemas.openxmlformats.org/officeDocument/2006/relationships/externalLinkPath" Target="https://cbbbah.sharepoint.com/sites/StatisticalUnit/Shared%20Documents/General/External%20Sector%20Statistics/ESS/1.%20BOP%20and%20IIP/1.%20Source%20files/2.%20Services/Trade%20in%20Services%20Table.xlsx" TargetMode="External"/><Relationship Id="rId1" Type="http://schemas.openxmlformats.org/officeDocument/2006/relationships/externalLinkPath" Target="/sites/StatisticalUnit/Shared%20Documents/General/External%20Sector%20Statistics/ESS/1.%20BOP%20and%20IIP/1.%20Source%20files/2.%20Services/Trade%20in%20Services%20Table.xlsx" TargetMode="External"/></Relationships>
</file>

<file path=xl/externalLinks/_rels/externalLink93.xml.rels><?xml version="1.0" encoding="UTF-8" standalone="yes"?>
<Relationships xmlns="http://schemas.openxmlformats.org/package/2006/relationships"><Relationship Id="rId3" Type="http://schemas.openxmlformats.org/officeDocument/2006/relationships/externalLinkPath" Target="../../External%20Sector%20Statistics/ESS/1.%20BOP%20and%20IIP/2.%20Compilation/BOP%20-%20Compilation%20file.xlsx" TargetMode="External"/><Relationship Id="rId2" Type="http://schemas.openxmlformats.org/officeDocument/2006/relationships/externalLinkPath" Target="https://cbbbah.sharepoint.com/sites/StatisticalUnit/Shared%20Documents/General/External%20Sector%20Statistics/ESS/1.%20BOP%20and%20IIP/2.%20Compilation/BOP%20-%20Compilation%20file.xlsx" TargetMode="External"/><Relationship Id="rId1" Type="http://schemas.openxmlformats.org/officeDocument/2006/relationships/externalLinkPath" Target="/sites/StatisticalUnit/Shared%20Documents/General/External%20Sector%20Statistics/ESS/1.%20BOP%20and%20IIP/2.%20Compilation/BOP%20-%20Compilation%20file.xlsx" TargetMode="External"/></Relationships>
</file>

<file path=xl/externalLinks/_rels/externalLink94.xml.rels><?xml version="1.0" encoding="UTF-8" standalone="yes"?>
<Relationships xmlns="http://schemas.openxmlformats.org/package/2006/relationships"><Relationship Id="rId3" Type="http://schemas.openxmlformats.org/officeDocument/2006/relationships/externalLinkPath" Target="../../External%20Sector%20Statistics/ESS/1.%20BOP%20and%20IIP/2.%20Compilation/IIP%20-%20compilation%20file.xlsx" TargetMode="External"/><Relationship Id="rId2" Type="http://schemas.openxmlformats.org/officeDocument/2006/relationships/externalLinkPath" Target="https://cbbbah.sharepoint.com/sites/StatisticalUnit/Shared%20Documents/General/External%20Sector%20Statistics/ESS/1.%20BOP%20and%20IIP/2.%20Compilation/IIP%20-%20compilation%20file.xlsx" TargetMode="External"/><Relationship Id="rId1" Type="http://schemas.openxmlformats.org/officeDocument/2006/relationships/externalLinkPath" Target="/sites/StatisticalUnit/Shared%20Documents/General/External%20Sector%20Statistics/ESS/1.%20BOP%20and%20IIP/2.%20Compilation/IIP%20-%20compilation%20file.xlsx" TargetMode="External"/></Relationships>
</file>

<file path=xl/externalLinks/_rels/externalLink95.xml.rels><?xml version="1.0" encoding="UTF-8" standalone="yes"?>
<Relationships xmlns="http://schemas.openxmlformats.org/package/2006/relationships"><Relationship Id="rId3" Type="http://schemas.openxmlformats.org/officeDocument/2006/relationships/externalLinkPath" Target="../../External%20Sector%20Statistics/ESS/1.%20BOP%20and%20IIP/3.%20Publication/MSB/BOP%20%20IIP%20(Q4%202025).xlsx" TargetMode="External"/><Relationship Id="rId2" Type="http://schemas.openxmlformats.org/officeDocument/2006/relationships/externalLinkPath" Target="https://cbbbah.sharepoint.com/sites/StatisticalUnit/Shared%20Documents/General/External%20Sector%20Statistics/ESS/1.%20BOP%20and%20IIP/3.%20Publication/MSB/BOP%20%20IIP%20(Q4%202025).xlsx" TargetMode="External"/><Relationship Id="rId1" Type="http://schemas.openxmlformats.org/officeDocument/2006/relationships/externalLinkPath" Target="/sites/StatisticalUnit/Shared%20Documents/General/External%20Sector%20Statistics/ESS/1.%20BOP%20and%20IIP/3.%20Publication/MSB/BOP%20%20IIP%20(Q4%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34">
          <cell r="Q34">
            <v>18875.231618249032</v>
          </cell>
        </row>
        <row r="36">
          <cell r="Q36">
            <v>10931.294060461416</v>
          </cell>
        </row>
      </sheetData>
      <sheetData sheetId="1"/>
      <sheetData sheetId="2"/>
      <sheetData sheetId="3"/>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1"/>
      <sheetName val="2"/>
      <sheetName val="3A"/>
      <sheetName val="3B"/>
      <sheetName val="4"/>
      <sheetName val="5"/>
      <sheetName val="6A"/>
      <sheetName val="6B"/>
      <sheetName val="7"/>
      <sheetName val="8"/>
    </sheetNames>
    <sheetDataSet>
      <sheetData sheetId="0">
        <row r="14">
          <cell r="C14">
            <v>32.312395745000003</v>
          </cell>
          <cell r="D14">
            <v>0</v>
          </cell>
        </row>
        <row r="18">
          <cell r="C18">
            <v>238.52709493015999</v>
          </cell>
          <cell r="D18">
            <v>1279.3387289710918</v>
          </cell>
        </row>
        <row r="23">
          <cell r="C23">
            <v>1205.4892199236083</v>
          </cell>
          <cell r="D23">
            <v>144.17716235310701</v>
          </cell>
        </row>
        <row r="24">
          <cell r="C24">
            <v>319.953583108864</v>
          </cell>
          <cell r="D24">
            <v>89.677759271100001</v>
          </cell>
        </row>
        <row r="25">
          <cell r="C25">
            <v>192.43767575680022</v>
          </cell>
          <cell r="D25">
            <v>233.51757913276634</v>
          </cell>
        </row>
        <row r="26">
          <cell r="C26">
            <v>318.46527414304398</v>
          </cell>
          <cell r="D26">
            <v>227.1037682853883</v>
          </cell>
        </row>
        <row r="27">
          <cell r="C27">
            <v>2855.1438470077524</v>
          </cell>
          <cell r="D27">
            <v>1419.4600220508134</v>
          </cell>
        </row>
        <row r="28">
          <cell r="C28">
            <v>7514.8179033872102</v>
          </cell>
          <cell r="D28">
            <v>1199.1850655239618</v>
          </cell>
        </row>
        <row r="29">
          <cell r="C29">
            <v>361.87407608903004</v>
          </cell>
          <cell r="D29">
            <v>39.295035811619996</v>
          </cell>
        </row>
        <row r="30">
          <cell r="C30">
            <v>0</v>
          </cell>
          <cell r="D30">
            <v>0</v>
          </cell>
        </row>
        <row r="31">
          <cell r="C31">
            <v>1.3</v>
          </cell>
          <cell r="D31">
            <v>17.215777877460457</v>
          </cell>
        </row>
        <row r="33">
          <cell r="C33">
            <v>371.32793457307992</v>
          </cell>
          <cell r="D33">
            <v>51.849630016020001</v>
          </cell>
        </row>
        <row r="34">
          <cell r="C34">
            <v>2714.8443228545739</v>
          </cell>
          <cell r="D34">
            <v>194.63218658320676</v>
          </cell>
        </row>
        <row r="36">
          <cell r="C36">
            <v>1223.0496859737582</v>
          </cell>
          <cell r="D36">
            <v>-11.88731945871222</v>
          </cell>
        </row>
        <row r="37">
          <cell r="C37">
            <v>473.91851474541681</v>
          </cell>
          <cell r="D37">
            <v>383.66550918839278</v>
          </cell>
        </row>
        <row r="38">
          <cell r="C38">
            <v>17823.461528238298</v>
          </cell>
          <cell r="D38">
            <v>5267.2309056062168</v>
          </cell>
          <cell r="E38">
            <v>106.63281142130428</v>
          </cell>
          <cell r="F38">
            <v>5464.7775570670919</v>
          </cell>
          <cell r="G38">
            <v>12.618220792000001</v>
          </cell>
          <cell r="H38">
            <v>261.16223751635948</v>
          </cell>
          <cell r="I38">
            <v>16.900353638877</v>
          </cell>
          <cell r="J38">
            <v>302.79414711797847</v>
          </cell>
          <cell r="K38">
            <v>51.368213233582658</v>
          </cell>
          <cell r="L38">
            <v>352.48497922280006</v>
          </cell>
          <cell r="M38">
            <v>1332.2348086949805</v>
          </cell>
          <cell r="N38">
            <v>3753.5242131309483</v>
          </cell>
          <cell r="O38">
            <v>695.05451744227639</v>
          </cell>
          <cell r="P38">
            <v>9087.5916398423888</v>
          </cell>
          <cell r="Q38">
            <v>44527.836132965102</v>
          </cell>
        </row>
        <row r="40">
          <cell r="Q40">
            <v>8521.15978512943</v>
          </cell>
        </row>
        <row r="68">
          <cell r="C68">
            <v>99.439570857958998</v>
          </cell>
          <cell r="D68">
            <v>78.357823377779852</v>
          </cell>
        </row>
        <row r="69">
          <cell r="C69">
            <v>4278.1870988067503</v>
          </cell>
          <cell r="D69">
            <v>8.5200000009999997</v>
          </cell>
        </row>
        <row r="72">
          <cell r="C72">
            <v>374.51541809973099</v>
          </cell>
          <cell r="D72">
            <v>548.53443845411255</v>
          </cell>
        </row>
        <row r="76">
          <cell r="C76">
            <v>9254.7968824928648</v>
          </cell>
          <cell r="D76">
            <v>3553.313578320026</v>
          </cell>
        </row>
        <row r="77">
          <cell r="C77">
            <v>328.92811904399997</v>
          </cell>
          <cell r="D77">
            <v>1154.3913674545902</v>
          </cell>
        </row>
        <row r="78">
          <cell r="C78">
            <v>0</v>
          </cell>
          <cell r="D78">
            <v>0</v>
          </cell>
        </row>
        <row r="79">
          <cell r="C79">
            <v>136.851114884</v>
          </cell>
          <cell r="D79">
            <v>131.23985551045001</v>
          </cell>
        </row>
        <row r="80">
          <cell r="C80">
            <v>28.462337634699999</v>
          </cell>
          <cell r="D80">
            <v>956.47846736562292</v>
          </cell>
        </row>
        <row r="81">
          <cell r="C81">
            <v>2567.3796432289691</v>
          </cell>
          <cell r="D81">
            <v>1083.0591937696086</v>
          </cell>
        </row>
        <row r="82">
          <cell r="C82">
            <v>6151.4629230711962</v>
          </cell>
          <cell r="D82">
            <v>190.34469421975396</v>
          </cell>
        </row>
        <row r="83">
          <cell r="C83">
            <v>41.71274462999996</v>
          </cell>
          <cell r="D83">
            <v>37.799999999999997</v>
          </cell>
        </row>
        <row r="84">
          <cell r="E84">
            <v>0</v>
          </cell>
          <cell r="F84">
            <v>118.71507620622464</v>
          </cell>
          <cell r="G84">
            <v>0</v>
          </cell>
          <cell r="H84">
            <v>343.84809009502692</v>
          </cell>
          <cell r="I84">
            <v>0</v>
          </cell>
          <cell r="J84">
            <v>273.9540265227198</v>
          </cell>
          <cell r="K84">
            <v>0</v>
          </cell>
          <cell r="L84">
            <v>2136.8681728729375</v>
          </cell>
          <cell r="M84">
            <v>0</v>
          </cell>
          <cell r="N84">
            <v>1196.8677694443113</v>
          </cell>
          <cell r="O84">
            <v>1.0505158000000001</v>
          </cell>
          <cell r="P84">
            <v>2273.9044217083947</v>
          </cell>
        </row>
        <row r="86">
          <cell r="C86">
            <v>3950.9714003258387</v>
          </cell>
          <cell r="D86">
            <v>3036.6872186683995</v>
          </cell>
        </row>
        <row r="89">
          <cell r="C89">
            <v>5.25999999928E-7</v>
          </cell>
          <cell r="D89">
            <v>263.56629392515953</v>
          </cell>
        </row>
        <row r="92">
          <cell r="C92">
            <v>460.64089557199998</v>
          </cell>
          <cell r="D92">
            <v>125.90404478182801</v>
          </cell>
        </row>
        <row r="93">
          <cell r="C93">
            <v>1.1359332259999997</v>
          </cell>
          <cell r="D93">
            <v>21.323252082418616</v>
          </cell>
        </row>
        <row r="95">
          <cell r="C95">
            <v>831.04496557862751</v>
          </cell>
          <cell r="D95">
            <v>731.00535780431096</v>
          </cell>
        </row>
        <row r="96">
          <cell r="C96">
            <v>197.00654383661777</v>
          </cell>
          <cell r="D96">
            <v>8.6034681722200013</v>
          </cell>
        </row>
        <row r="97">
          <cell r="C97">
            <v>687.21150049062771</v>
          </cell>
          <cell r="D97">
            <v>300.76614086600785</v>
          </cell>
        </row>
        <row r="98">
          <cell r="C98">
            <v>20134.950209813014</v>
          </cell>
          <cell r="D98">
            <v>8676.5816164532625</v>
          </cell>
          <cell r="E98">
            <v>62.813953672681002</v>
          </cell>
          <cell r="F98">
            <v>2046.6865395903617</v>
          </cell>
          <cell r="G98">
            <v>2.9383756E-2</v>
          </cell>
          <cell r="H98">
            <v>449.69072373370255</v>
          </cell>
          <cell r="I98">
            <v>1.3686782E-2</v>
          </cell>
          <cell r="J98">
            <v>883.95505013300772</v>
          </cell>
          <cell r="K98">
            <v>20.894450226000004</v>
          </cell>
          <cell r="L98">
            <v>2739.7657602572194</v>
          </cell>
          <cell r="M98">
            <v>6.7648999969999997</v>
          </cell>
          <cell r="N98">
            <v>2332.0086358614494</v>
          </cell>
          <cell r="O98">
            <v>41.400416049999997</v>
          </cell>
          <cell r="P98">
            <v>7132.2059644342089</v>
          </cell>
          <cell r="Q98">
            <v>44527.761290759903</v>
          </cell>
        </row>
        <row r="100">
          <cell r="Q100">
            <v>8505.6351144400141</v>
          </cell>
        </row>
      </sheetData>
      <sheetData sheetId="1">
        <row r="15">
          <cell r="C15">
            <v>843.34460942579005</v>
          </cell>
          <cell r="D15">
            <v>319.953583108864</v>
          </cell>
          <cell r="F15">
            <v>318.31978773604402</v>
          </cell>
          <cell r="I15">
            <v>12362.849305484957</v>
          </cell>
          <cell r="K15">
            <v>324.7223518438289</v>
          </cell>
        </row>
        <row r="16">
          <cell r="E16">
            <v>72.127897127811252</v>
          </cell>
          <cell r="G16">
            <v>1384.2476662807483</v>
          </cell>
          <cell r="H16">
            <v>936.73088396322783</v>
          </cell>
        </row>
        <row r="17">
          <cell r="E17">
            <v>0.8794919155419999</v>
          </cell>
          <cell r="G17">
            <v>104.94928190676802</v>
          </cell>
          <cell r="H17">
            <v>3230.716728340868</v>
          </cell>
        </row>
        <row r="18">
          <cell r="E18">
            <v>119.43308830044701</v>
          </cell>
          <cell r="G18">
            <v>1336.2804519563517</v>
          </cell>
          <cell r="H18">
            <v>3695.8658354224949</v>
          </cell>
        </row>
        <row r="19">
          <cell r="E19">
            <v>0</v>
          </cell>
          <cell r="G19">
            <v>0</v>
          </cell>
          <cell r="H19">
            <v>0</v>
          </cell>
        </row>
        <row r="20">
          <cell r="I20">
            <v>0</v>
          </cell>
        </row>
        <row r="21">
          <cell r="I21">
            <v>405.30662539481824</v>
          </cell>
        </row>
        <row r="23">
          <cell r="C23">
            <v>144.17716235310701</v>
          </cell>
          <cell r="D23">
            <v>89.677759271100001</v>
          </cell>
          <cell r="F23">
            <v>225.44576828538828</v>
          </cell>
          <cell r="I23">
            <v>3350.3195830089217</v>
          </cell>
          <cell r="K23">
            <v>5336.4829000207619</v>
          </cell>
        </row>
        <row r="24">
          <cell r="E24">
            <v>74.169810900504899</v>
          </cell>
          <cell r="G24">
            <v>389.80602989641193</v>
          </cell>
          <cell r="H24">
            <v>133.08577044101111</v>
          </cell>
        </row>
        <row r="25">
          <cell r="E25">
            <v>2.4046490059179999</v>
          </cell>
          <cell r="G25">
            <v>37.226350760825582</v>
          </cell>
          <cell r="H25">
            <v>112.52094263123283</v>
          </cell>
        </row>
        <row r="26">
          <cell r="E26">
            <v>156.93461522634342</v>
          </cell>
          <cell r="G26">
            <v>992.41627716256608</v>
          </cell>
          <cell r="H26">
            <v>992.45444707451247</v>
          </cell>
        </row>
        <row r="27">
          <cell r="E27">
            <v>0</v>
          </cell>
          <cell r="G27">
            <v>0</v>
          </cell>
          <cell r="H27">
            <v>0</v>
          </cell>
        </row>
        <row r="28">
          <cell r="I28">
            <v>0</v>
          </cell>
        </row>
        <row r="29">
          <cell r="I29">
            <v>2.0579999999999998</v>
          </cell>
        </row>
      </sheetData>
      <sheetData sheetId="2">
        <row r="15">
          <cell r="AX15">
            <v>4824.6781396455435</v>
          </cell>
        </row>
        <row r="69">
          <cell r="AX69">
            <v>408.14829751165598</v>
          </cell>
        </row>
        <row r="86">
          <cell r="AX86">
            <v>0</v>
          </cell>
        </row>
        <row r="90">
          <cell r="AX90">
            <v>24.770218247000003</v>
          </cell>
        </row>
        <row r="105">
          <cell r="AX105">
            <v>122.179951635485</v>
          </cell>
        </row>
        <row r="118">
          <cell r="AX118">
            <v>2.5118478130000002</v>
          </cell>
        </row>
        <row r="120">
          <cell r="AX120">
            <v>101.69358375200002</v>
          </cell>
        </row>
        <row r="122">
          <cell r="AX122">
            <v>2.1360124448019997</v>
          </cell>
        </row>
        <row r="130">
          <cell r="AX130">
            <v>162.11895705613568</v>
          </cell>
        </row>
        <row r="141">
          <cell r="AX141">
            <v>636.56807201662627</v>
          </cell>
        </row>
        <row r="170">
          <cell r="AX170">
            <v>1.7739542500000059E-2</v>
          </cell>
        </row>
        <row r="186">
          <cell r="D186">
            <v>1020.2594137812413</v>
          </cell>
          <cell r="E186">
            <v>10.704700736696029</v>
          </cell>
          <cell r="F186">
            <v>0</v>
          </cell>
          <cell r="G186">
            <v>0.12834924482099999</v>
          </cell>
          <cell r="H186">
            <v>0</v>
          </cell>
          <cell r="I186">
            <v>454.18242301915996</v>
          </cell>
          <cell r="J186">
            <v>112.62175006444802</v>
          </cell>
          <cell r="K186">
            <v>3009.4710468193084</v>
          </cell>
          <cell r="L186">
            <v>104.36142202128408</v>
          </cell>
          <cell r="M186">
            <v>25.859478731200571</v>
          </cell>
          <cell r="N186">
            <v>98.468156995011128</v>
          </cell>
          <cell r="O186">
            <v>0.81545949254661432</v>
          </cell>
          <cell r="P186">
            <v>11788.027221774559</v>
          </cell>
          <cell r="Q186">
            <v>157.4010004596098</v>
          </cell>
          <cell r="S186">
            <v>146.41070769439</v>
          </cell>
          <cell r="T186">
            <v>1.3075977854599989</v>
          </cell>
          <cell r="U186">
            <v>1.253866E-3</v>
          </cell>
          <cell r="V186">
            <v>6.7217795701200007</v>
          </cell>
          <cell r="W186">
            <v>8.4439498000009913E-4</v>
          </cell>
          <cell r="X186">
            <v>721.34478970107989</v>
          </cell>
          <cell r="Y186">
            <v>8.6014830456833895</v>
          </cell>
          <cell r="Z186">
            <v>386.84254635710346</v>
          </cell>
          <cell r="AA186">
            <v>15.08021756350138</v>
          </cell>
          <cell r="AB186">
            <v>3.9285825437386679E-2</v>
          </cell>
          <cell r="AC186">
            <v>4.4973604807283944</v>
          </cell>
          <cell r="AD186">
            <v>-0.30660845921906998</v>
          </cell>
          <cell r="AE186">
            <v>887.22796114653488</v>
          </cell>
          <cell r="AF186">
            <v>10.027822319100608</v>
          </cell>
          <cell r="AI186">
            <v>36.695729357165447</v>
          </cell>
          <cell r="AJ186">
            <v>0</v>
          </cell>
          <cell r="AK186">
            <v>0</v>
          </cell>
          <cell r="AL186">
            <v>0</v>
          </cell>
          <cell r="AM186">
            <v>0</v>
          </cell>
          <cell r="AN186">
            <v>211.32498735747498</v>
          </cell>
          <cell r="AO186">
            <v>0</v>
          </cell>
          <cell r="AP186">
            <v>113.48748254365887</v>
          </cell>
          <cell r="AQ186">
            <v>2.6466774465525457E-2</v>
          </cell>
          <cell r="AR186">
            <v>0</v>
          </cell>
          <cell r="AS186">
            <v>-3.4999782700985887E-5</v>
          </cell>
          <cell r="AT186">
            <v>0</v>
          </cell>
          <cell r="AU186">
            <v>3758.8594021708427</v>
          </cell>
          <cell r="AV186">
            <v>0.23522344898730382</v>
          </cell>
          <cell r="AX186">
            <v>23090.7267210836</v>
          </cell>
        </row>
        <row r="187">
          <cell r="AX187">
            <v>511.56661332709905</v>
          </cell>
        </row>
        <row r="188">
          <cell r="AX188">
            <v>730.02254656521995</v>
          </cell>
        </row>
        <row r="189">
          <cell r="AX189">
            <v>5571.3755449268556</v>
          </cell>
        </row>
        <row r="190">
          <cell r="AX190">
            <v>273.82897817535951</v>
          </cell>
        </row>
        <row r="191">
          <cell r="AX191">
            <v>319.71940045685551</v>
          </cell>
        </row>
        <row r="192">
          <cell r="AX192">
            <v>403.83757850718268</v>
          </cell>
        </row>
        <row r="193">
          <cell r="AX193">
            <v>5085.7721920395225</v>
          </cell>
        </row>
        <row r="199">
          <cell r="AX199">
            <v>376.49215920095679</v>
          </cell>
        </row>
        <row r="200">
          <cell r="AX200">
            <v>27.024267974487397</v>
          </cell>
        </row>
        <row r="201">
          <cell r="AX201">
            <v>54.622105350571886</v>
          </cell>
        </row>
        <row r="202">
          <cell r="AX202">
            <v>0.37942706999999998</v>
          </cell>
        </row>
        <row r="203">
          <cell r="AX203">
            <v>131.92997009200002</v>
          </cell>
        </row>
        <row r="204">
          <cell r="AX204">
            <v>923.69707360650887</v>
          </cell>
        </row>
        <row r="229">
          <cell r="AX229">
            <v>601.10837758710113</v>
          </cell>
        </row>
        <row r="272">
          <cell r="D272">
            <v>7310.0699368275582</v>
          </cell>
          <cell r="E272">
            <v>285.90374397006985</v>
          </cell>
          <cell r="F272">
            <v>10.102648340040895</v>
          </cell>
          <cell r="G272">
            <v>52.150708461171831</v>
          </cell>
          <cell r="H272">
            <v>4.4589941772936034E-3</v>
          </cell>
          <cell r="I272">
            <v>1822.1479040980605</v>
          </cell>
          <cell r="J272">
            <v>1667.1699979492334</v>
          </cell>
          <cell r="K272">
            <v>5977.4058561503507</v>
          </cell>
          <cell r="L272">
            <v>1314.6520898271672</v>
          </cell>
          <cell r="M272">
            <v>25.860571669085157</v>
          </cell>
          <cell r="N272">
            <v>480.55505877732742</v>
          </cell>
          <cell r="O272">
            <v>1.2717728898314857</v>
          </cell>
          <cell r="P272">
            <v>12111.633924889386</v>
          </cell>
          <cell r="Q272">
            <v>734.32959726000195</v>
          </cell>
          <cell r="S272">
            <v>3361.1704843922494</v>
          </cell>
          <cell r="T272">
            <v>82.747881394493049</v>
          </cell>
          <cell r="U272">
            <v>1.253866E-3</v>
          </cell>
          <cell r="V272">
            <v>54.800647879652161</v>
          </cell>
          <cell r="W272">
            <v>8.4439498000009913E-4</v>
          </cell>
          <cell r="X272">
            <v>782.94055728907983</v>
          </cell>
          <cell r="Y272">
            <v>8.7623310956833897</v>
          </cell>
          <cell r="Z272">
            <v>637.47185567645488</v>
          </cell>
          <cell r="AA272">
            <v>15.425512081376571</v>
          </cell>
          <cell r="AB272">
            <v>-1.9903088597852532</v>
          </cell>
          <cell r="AC272">
            <v>5.4893724627113931</v>
          </cell>
          <cell r="AD272">
            <v>33.354435383307305</v>
          </cell>
          <cell r="AE272">
            <v>901.10431086753488</v>
          </cell>
          <cell r="AF272">
            <v>20.306087884092641</v>
          </cell>
          <cell r="AI272">
            <v>2256.6911681837773</v>
          </cell>
          <cell r="AJ272">
            <v>-8.4677113469270621E-2</v>
          </cell>
          <cell r="AK272">
            <v>1.8533661248375222E-3</v>
          </cell>
          <cell r="AL272">
            <v>0.24023745323369969</v>
          </cell>
          <cell r="AM272">
            <v>1.3405034235639956E-3</v>
          </cell>
          <cell r="AN272">
            <v>489.33780539737523</v>
          </cell>
          <cell r="AO272">
            <v>1.186256056374994</v>
          </cell>
          <cell r="AP272">
            <v>141.26799011066331</v>
          </cell>
          <cell r="AQ272">
            <v>2.6060840530613394</v>
          </cell>
          <cell r="AR272">
            <v>0</v>
          </cell>
          <cell r="AS272">
            <v>0.193719491038394</v>
          </cell>
          <cell r="AT272">
            <v>0</v>
          </cell>
          <cell r="AU272">
            <v>3931.1272303042338</v>
          </cell>
          <cell r="AV272">
            <v>10.492658657969965</v>
          </cell>
        </row>
      </sheetData>
      <sheetData sheetId="3">
        <row r="15">
          <cell r="AH15">
            <v>2798.366042759872</v>
          </cell>
        </row>
        <row r="69">
          <cell r="AH69">
            <v>925.37737032949997</v>
          </cell>
        </row>
        <row r="86">
          <cell r="AH86">
            <v>0</v>
          </cell>
        </row>
        <row r="90">
          <cell r="AH90">
            <v>0</v>
          </cell>
        </row>
        <row r="105">
          <cell r="AH105">
            <v>0</v>
          </cell>
        </row>
        <row r="118">
          <cell r="AH118">
            <v>1.1647159999999999E-3</v>
          </cell>
        </row>
        <row r="120">
          <cell r="AH120">
            <v>0</v>
          </cell>
        </row>
        <row r="122">
          <cell r="AH122">
            <v>4.9989999999999999E-6</v>
          </cell>
        </row>
        <row r="130">
          <cell r="AH130">
            <v>993.67977776895782</v>
          </cell>
        </row>
        <row r="141">
          <cell r="AH141">
            <v>590.80253573152731</v>
          </cell>
        </row>
        <row r="170">
          <cell r="AH170">
            <v>73.592258444370003</v>
          </cell>
        </row>
        <row r="186">
          <cell r="D186">
            <v>243.47995873588701</v>
          </cell>
          <cell r="E186">
            <v>42.012984824999997</v>
          </cell>
          <cell r="F186">
            <v>0</v>
          </cell>
          <cell r="G186">
            <v>0</v>
          </cell>
          <cell r="H186">
            <v>0</v>
          </cell>
          <cell r="I186">
            <v>829.65692839300004</v>
          </cell>
          <cell r="J186">
            <v>4.8062857289999998</v>
          </cell>
          <cell r="K186">
            <v>3509.2677943938356</v>
          </cell>
          <cell r="L186">
            <v>25.697157133573437</v>
          </cell>
          <cell r="M186">
            <v>2.86526644038908</v>
          </cell>
          <cell r="N186">
            <v>2.5791284694279577</v>
          </cell>
          <cell r="O186">
            <v>30.828387440933277</v>
          </cell>
          <cell r="P186">
            <v>9578.6228080387718</v>
          </cell>
          <cell r="Q186">
            <v>9.427585680847411</v>
          </cell>
          <cell r="S186">
            <v>2061.2377097212443</v>
          </cell>
          <cell r="T186">
            <v>8.007685584796544</v>
          </cell>
          <cell r="U186">
            <v>4.5852000000000089E-5</v>
          </cell>
          <cell r="V186">
            <v>14.375571816020001</v>
          </cell>
          <cell r="W186">
            <v>0.37647442830920452</v>
          </cell>
          <cell r="X186">
            <v>5431.0563270746916</v>
          </cell>
          <cell r="Y186">
            <v>10.015682097422976</v>
          </cell>
          <cell r="Z186">
            <v>2407.4193403725258</v>
          </cell>
          <cell r="AA186">
            <v>202.77447803676696</v>
          </cell>
          <cell r="AB186">
            <v>-1.962461611358653</v>
          </cell>
          <cell r="AC186">
            <v>28.168658464052953</v>
          </cell>
          <cell r="AD186">
            <v>-0.28430573833790168</v>
          </cell>
          <cell r="AE186">
            <v>4254.5230232698441</v>
          </cell>
          <cell r="AF186">
            <v>116.63363063199252</v>
          </cell>
          <cell r="AH186">
            <v>28811.586145280635</v>
          </cell>
        </row>
        <row r="187">
          <cell r="AH187">
            <v>0</v>
          </cell>
        </row>
        <row r="188">
          <cell r="AH188">
            <v>185.03290737496593</v>
          </cell>
        </row>
        <row r="189">
          <cell r="AH189">
            <v>2109.476541206976</v>
          </cell>
        </row>
        <row r="190">
          <cell r="AH190">
            <v>449.7418227408765</v>
          </cell>
        </row>
        <row r="191">
          <cell r="AH191">
            <v>884.01317507699184</v>
          </cell>
        </row>
        <row r="192">
          <cell r="AH192">
            <v>2760.66485594195</v>
          </cell>
        </row>
        <row r="193">
          <cell r="AH193">
            <v>2338.8020666290572</v>
          </cell>
        </row>
        <row r="199">
          <cell r="AH199">
            <v>75.128118308246741</v>
          </cell>
        </row>
        <row r="200">
          <cell r="AH200">
            <v>1.49902399</v>
          </cell>
        </row>
        <row r="201">
          <cell r="AH201">
            <v>0</v>
          </cell>
        </row>
        <row r="202">
          <cell r="AH202">
            <v>0.05</v>
          </cell>
        </row>
        <row r="203">
          <cell r="AH203">
            <v>3.845736112</v>
          </cell>
        </row>
        <row r="204">
          <cell r="AH204">
            <v>1065.5788149229681</v>
          </cell>
        </row>
        <row r="229">
          <cell r="AH229">
            <v>317.788701469111</v>
          </cell>
        </row>
        <row r="272">
          <cell r="D272">
            <v>1754.5932805400341</v>
          </cell>
          <cell r="E272">
            <v>153.27114004259306</v>
          </cell>
          <cell r="F272">
            <v>89.138945827000001</v>
          </cell>
          <cell r="G272">
            <v>27.618133155925449</v>
          </cell>
          <cell r="H272">
            <v>0.91340809899999997</v>
          </cell>
          <cell r="I272">
            <v>832.12476658699995</v>
          </cell>
          <cell r="J272">
            <v>74.788414907000003</v>
          </cell>
          <cell r="K272">
            <v>6370.6905086140923</v>
          </cell>
          <cell r="L272">
            <v>430.20108834270462</v>
          </cell>
          <cell r="M272">
            <v>2.86526644038908</v>
          </cell>
          <cell r="N272">
            <v>372.15395425428761</v>
          </cell>
          <cell r="O272">
            <v>58.130797337049131</v>
          </cell>
          <cell r="P272">
            <v>9713.8785465255387</v>
          </cell>
          <cell r="Q272">
            <v>1260.1339978160897</v>
          </cell>
          <cell r="S272">
            <v>4654.379803294526</v>
          </cell>
          <cell r="T272">
            <v>255.92446002864602</v>
          </cell>
          <cell r="U272">
            <v>2.6752423577279494</v>
          </cell>
          <cell r="V272">
            <v>25.747917732699698</v>
          </cell>
          <cell r="W272">
            <v>0.73877387604560729</v>
          </cell>
          <cell r="X272">
            <v>5455.0262427896059</v>
          </cell>
          <cell r="Y272">
            <v>295.59542290935468</v>
          </cell>
          <cell r="Z272">
            <v>7840.2167805873823</v>
          </cell>
          <cell r="AA272">
            <v>351.43703297575883</v>
          </cell>
          <cell r="AB272">
            <v>-1.9624635406066531</v>
          </cell>
          <cell r="AC272">
            <v>92.668368897650168</v>
          </cell>
          <cell r="AD272">
            <v>-0.26654940968972818</v>
          </cell>
          <cell r="AE272">
            <v>4265.8533113747044</v>
          </cell>
          <cell r="AF272">
            <v>149.23809668685701</v>
          </cell>
          <cell r="AH272">
            <v>44527.774689049373</v>
          </cell>
        </row>
      </sheetData>
      <sheetData sheetId="4">
        <row r="14">
          <cell r="D14">
            <v>20038.309058582854</v>
          </cell>
          <cell r="G14">
            <v>20266.908969556436</v>
          </cell>
        </row>
        <row r="16">
          <cell r="D16">
            <v>19684.017195291071</v>
          </cell>
          <cell r="G16">
            <v>20619.887646564537</v>
          </cell>
        </row>
        <row r="17">
          <cell r="D17">
            <v>593.42981635010153</v>
          </cell>
          <cell r="G17">
            <v>518.18884536106975</v>
          </cell>
        </row>
        <row r="18">
          <cell r="D18">
            <v>33.975661397975266</v>
          </cell>
          <cell r="G18">
            <v>92.717319329343923</v>
          </cell>
        </row>
        <row r="19">
          <cell r="D19">
            <v>34.631824460081063</v>
          </cell>
          <cell r="G19">
            <v>59.515506925241667</v>
          </cell>
        </row>
        <row r="20">
          <cell r="D20">
            <v>1701.2507760713488</v>
          </cell>
          <cell r="G20">
            <v>1190.7367201222191</v>
          </cell>
        </row>
        <row r="21">
          <cell r="D21">
            <v>565.5789915247733</v>
          </cell>
          <cell r="G21">
            <v>164.43439294869776</v>
          </cell>
        </row>
        <row r="22">
          <cell r="D22">
            <v>1644.5939436666713</v>
          </cell>
          <cell r="G22">
            <v>1441.9419786152778</v>
          </cell>
        </row>
        <row r="23">
          <cell r="D23">
            <v>232.08484952977298</v>
          </cell>
          <cell r="G23">
            <v>173.54121080310119</v>
          </cell>
        </row>
        <row r="24">
          <cell r="G24">
            <v>44527.872590225932</v>
          </cell>
        </row>
      </sheetData>
      <sheetData sheetId="5">
        <row r="11">
          <cell r="D11">
            <v>5133.2240665006202</v>
          </cell>
        </row>
        <row r="56">
          <cell r="D56">
            <v>6191.5878439064072</v>
          </cell>
        </row>
        <row r="57">
          <cell r="D57">
            <v>3184.7985890453579</v>
          </cell>
        </row>
        <row r="58">
          <cell r="D58">
            <v>94.553600734379145</v>
          </cell>
        </row>
        <row r="59">
          <cell r="D59">
            <v>186.54313307844478</v>
          </cell>
        </row>
        <row r="60">
          <cell r="D60">
            <v>1793.9612103133434</v>
          </cell>
        </row>
        <row r="61">
          <cell r="D61">
            <v>125.92092779395928</v>
          </cell>
        </row>
        <row r="62">
          <cell r="D62">
            <v>805.81038294092264</v>
          </cell>
        </row>
        <row r="63">
          <cell r="D63">
            <v>1483.3147907118087</v>
          </cell>
        </row>
        <row r="66">
          <cell r="D66">
            <v>12808.126701118836</v>
          </cell>
        </row>
      </sheetData>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1"/>
      <sheetName val="2"/>
      <sheetName val="3A"/>
      <sheetName val="3B"/>
      <sheetName val="4"/>
      <sheetName val="5"/>
      <sheetName val="6A"/>
      <sheetName val="6B"/>
      <sheetName val="7"/>
      <sheetName val="8"/>
    </sheetNames>
    <sheetDataSet>
      <sheetData sheetId="0">
        <row r="14">
          <cell r="C14">
            <v>31.497141595000002</v>
          </cell>
          <cell r="D14">
            <v>0</v>
          </cell>
        </row>
        <row r="18">
          <cell r="C18">
            <v>288.83152753100001</v>
          </cell>
          <cell r="D18">
            <v>1181.3339787477898</v>
          </cell>
        </row>
        <row r="23">
          <cell r="C23">
            <v>1204.4089192599999</v>
          </cell>
          <cell r="D23">
            <v>140.39622132409002</v>
          </cell>
        </row>
        <row r="24">
          <cell r="C24">
            <v>324.13798387700001</v>
          </cell>
          <cell r="D24">
            <v>84.452770476649988</v>
          </cell>
        </row>
        <row r="25">
          <cell r="C25">
            <v>145.82250141085979</v>
          </cell>
          <cell r="D25">
            <v>231.53746248239759</v>
          </cell>
        </row>
        <row r="26">
          <cell r="C26">
            <v>400.6979408908</v>
          </cell>
          <cell r="D26">
            <v>308.30793688845205</v>
          </cell>
        </row>
        <row r="27">
          <cell r="C27">
            <v>2997.3448857050521</v>
          </cell>
          <cell r="D27">
            <v>1435.8670061332048</v>
          </cell>
        </row>
        <row r="28">
          <cell r="C28">
            <v>7559.333089144563</v>
          </cell>
          <cell r="D28">
            <v>1209.8910062727282</v>
          </cell>
        </row>
        <row r="29">
          <cell r="C29">
            <v>361.28375668402998</v>
          </cell>
          <cell r="D29">
            <v>37.029822191999997</v>
          </cell>
        </row>
        <row r="30">
          <cell r="C30">
            <v>0</v>
          </cell>
          <cell r="D30">
            <v>0</v>
          </cell>
        </row>
        <row r="31">
          <cell r="C31">
            <v>2.6</v>
          </cell>
          <cell r="D31">
            <v>17.769335724432331</v>
          </cell>
        </row>
        <row r="33">
          <cell r="C33">
            <v>333.29501818522999</v>
          </cell>
          <cell r="D33">
            <v>36.666225115329993</v>
          </cell>
        </row>
        <row r="34">
          <cell r="C34">
            <v>2728.2653929414223</v>
          </cell>
          <cell r="D34">
            <v>194.3357338824334</v>
          </cell>
        </row>
        <row r="36">
          <cell r="C36">
            <v>1208.1654055912409</v>
          </cell>
          <cell r="D36">
            <v>2.3855226815670392</v>
          </cell>
        </row>
        <row r="37">
          <cell r="C37">
            <v>413.58186328087294</v>
          </cell>
          <cell r="D37">
            <v>438.44805144530994</v>
          </cell>
        </row>
        <row r="38">
          <cell r="C38">
            <v>17999.265426097074</v>
          </cell>
          <cell r="D38">
            <v>5318.4210733663849</v>
          </cell>
          <cell r="E38">
            <v>100.27802172904784</v>
          </cell>
          <cell r="F38">
            <v>5929.2710279930625</v>
          </cell>
          <cell r="G38">
            <v>13.568028137000001</v>
          </cell>
          <cell r="H38">
            <v>261.78279765990231</v>
          </cell>
          <cell r="I38">
            <v>16.899176430000004</v>
          </cell>
          <cell r="J38">
            <v>286.56233970923785</v>
          </cell>
          <cell r="K38">
            <v>61.627488827252584</v>
          </cell>
          <cell r="L38">
            <v>420.71296750032741</v>
          </cell>
          <cell r="M38">
            <v>1266.4187656087802</v>
          </cell>
          <cell r="N38">
            <v>3958.7009928028679</v>
          </cell>
          <cell r="O38">
            <v>713.52041913148651</v>
          </cell>
          <cell r="P38">
            <v>8654.1176811052937</v>
          </cell>
          <cell r="Q38">
            <v>45001.146206097721</v>
          </cell>
        </row>
        <row r="40">
          <cell r="Q40">
            <v>8732.688622378837</v>
          </cell>
        </row>
        <row r="68">
          <cell r="C68">
            <v>115.94902827188969</v>
          </cell>
          <cell r="D68">
            <v>58.532774528191005</v>
          </cell>
        </row>
        <row r="69">
          <cell r="C69">
            <v>4247.9671019930001</v>
          </cell>
          <cell r="D69">
            <v>7.1200000009999993</v>
          </cell>
        </row>
        <row r="72">
          <cell r="C72">
            <v>442.72516047099998</v>
          </cell>
          <cell r="D72">
            <v>566.62180573520573</v>
          </cell>
        </row>
        <row r="76">
          <cell r="C76">
            <v>9265.8143820848836</v>
          </cell>
          <cell r="D76">
            <v>3708.1842201130548</v>
          </cell>
        </row>
        <row r="77">
          <cell r="C77">
            <v>367.10651122299998</v>
          </cell>
          <cell r="D77">
            <v>1140.5483822582701</v>
          </cell>
        </row>
        <row r="78">
          <cell r="C78">
            <v>0</v>
          </cell>
          <cell r="D78">
            <v>0</v>
          </cell>
        </row>
        <row r="79">
          <cell r="C79">
            <v>134.011487727</v>
          </cell>
          <cell r="D79">
            <v>119.08075711933699</v>
          </cell>
        </row>
        <row r="80">
          <cell r="C80">
            <v>69.594405933360008</v>
          </cell>
          <cell r="D80">
            <v>1022.1004863790763</v>
          </cell>
        </row>
        <row r="81">
          <cell r="C81">
            <v>2505.5354051096788</v>
          </cell>
          <cell r="D81">
            <v>1197.0999519949405</v>
          </cell>
        </row>
        <row r="82">
          <cell r="C82">
            <v>6148.2996782768441</v>
          </cell>
          <cell r="D82">
            <v>191.25464236143131</v>
          </cell>
        </row>
        <row r="83">
          <cell r="C83">
            <v>41.266893814999825</v>
          </cell>
          <cell r="D83">
            <v>38.1</v>
          </cell>
        </row>
        <row r="84">
          <cell r="E84">
            <v>0</v>
          </cell>
          <cell r="F84">
            <v>119.50535175686775</v>
          </cell>
          <cell r="G84">
            <v>0</v>
          </cell>
          <cell r="H84">
            <v>341.55447640281295</v>
          </cell>
          <cell r="I84">
            <v>0</v>
          </cell>
          <cell r="J84">
            <v>274.346647770674</v>
          </cell>
          <cell r="K84">
            <v>0</v>
          </cell>
          <cell r="L84">
            <v>2135.8432853682543</v>
          </cell>
          <cell r="M84">
            <v>0</v>
          </cell>
          <cell r="N84">
            <v>1198.3866971956713</v>
          </cell>
          <cell r="O84">
            <v>1.0505158000000001</v>
          </cell>
          <cell r="P84">
            <v>2275.8339689321497</v>
          </cell>
        </row>
        <row r="86">
          <cell r="C86">
            <v>3948.0733094704278</v>
          </cell>
          <cell r="D86">
            <v>3076.4486139131905</v>
          </cell>
        </row>
        <row r="89">
          <cell r="C89">
            <v>3.7399999988000004E-7</v>
          </cell>
          <cell r="D89">
            <v>273.3629429638508</v>
          </cell>
        </row>
        <row r="92">
          <cell r="C92">
            <v>460.88165815200011</v>
          </cell>
          <cell r="D92">
            <v>120.97526449354365</v>
          </cell>
        </row>
        <row r="93">
          <cell r="C93">
            <v>2.5999657539999999</v>
          </cell>
          <cell r="D93">
            <v>17.786168459432879</v>
          </cell>
        </row>
        <row r="95">
          <cell r="C95">
            <v>883.8192459570173</v>
          </cell>
          <cell r="D95">
            <v>732.41280211476965</v>
          </cell>
        </row>
        <row r="96">
          <cell r="C96">
            <v>200.9694770092288</v>
          </cell>
          <cell r="D96">
            <v>8.6548559018700004</v>
          </cell>
        </row>
        <row r="97">
          <cell r="C97">
            <v>704.22279429500077</v>
          </cell>
          <cell r="D97">
            <v>346.04807858547582</v>
          </cell>
        </row>
        <row r="98">
          <cell r="C98">
            <v>20273.022123832448</v>
          </cell>
          <cell r="D98">
            <v>8916.1475268095855</v>
          </cell>
          <cell r="E98">
            <v>99.684155765765993</v>
          </cell>
          <cell r="F98">
            <v>1977.5549095387148</v>
          </cell>
          <cell r="G98">
            <v>2.2093672000000002E-2</v>
          </cell>
          <cell r="H98">
            <v>447.87837227381789</v>
          </cell>
          <cell r="I98">
            <v>2.0020216E-2</v>
          </cell>
          <cell r="J98">
            <v>888.63890321358213</v>
          </cell>
          <cell r="K98">
            <v>19.101396054999995</v>
          </cell>
          <cell r="L98">
            <v>2858.1391887167406</v>
          </cell>
          <cell r="M98">
            <v>5.0462504242000001</v>
          </cell>
          <cell r="N98">
            <v>2255.9324709202356</v>
          </cell>
          <cell r="O98">
            <v>36.050312861999998</v>
          </cell>
          <cell r="P98">
            <v>7223.850191120885</v>
          </cell>
          <cell r="Q98">
            <v>45001.087915420976</v>
          </cell>
        </row>
        <row r="100">
          <cell r="Q100">
            <v>8719.1459357337772</v>
          </cell>
        </row>
      </sheetData>
      <sheetData sheetId="1">
        <row r="15">
          <cell r="C15">
            <v>854.31529043699993</v>
          </cell>
          <cell r="D15">
            <v>324.13798387700001</v>
          </cell>
          <cell r="F15">
            <v>400.56792948280003</v>
          </cell>
          <cell r="I15">
            <v>12598.965801745748</v>
          </cell>
          <cell r="K15">
            <v>333.72445415217999</v>
          </cell>
        </row>
        <row r="16">
          <cell r="E16">
            <v>57.712679081859726</v>
          </cell>
          <cell r="G16">
            <v>1387.6413079600582</v>
          </cell>
          <cell r="H16">
            <v>906.61121517029096</v>
          </cell>
        </row>
        <row r="17">
          <cell r="E17">
            <v>1.0007167459999999</v>
          </cell>
          <cell r="G17">
            <v>96.775726131000027</v>
          </cell>
          <cell r="H17">
            <v>3269.9898375295288</v>
          </cell>
        </row>
        <row r="18">
          <cell r="E18">
            <v>87.121954499999987</v>
          </cell>
          <cell r="G18">
            <v>1482.091212249999</v>
          </cell>
          <cell r="H18">
            <v>3730.99994858021</v>
          </cell>
        </row>
        <row r="19">
          <cell r="E19">
            <v>0</v>
          </cell>
          <cell r="G19">
            <v>0</v>
          </cell>
          <cell r="H19">
            <v>0</v>
          </cell>
        </row>
        <row r="20">
          <cell r="I20">
            <v>0</v>
          </cell>
        </row>
        <row r="21">
          <cell r="I21">
            <v>394.04852669000002</v>
          </cell>
        </row>
        <row r="23">
          <cell r="C23">
            <v>140.39622132409002</v>
          </cell>
          <cell r="D23">
            <v>84.452770476650002</v>
          </cell>
          <cell r="F23">
            <v>306.64993688845209</v>
          </cell>
          <cell r="I23">
            <v>3445.3472024267471</v>
          </cell>
          <cell r="K23">
            <v>5452.2694812869904</v>
          </cell>
        </row>
        <row r="24">
          <cell r="E24">
            <v>67.610051582024028</v>
          </cell>
          <cell r="G24">
            <v>416.73565530516652</v>
          </cell>
          <cell r="H24">
            <v>122.86160476808358</v>
          </cell>
        </row>
        <row r="25">
          <cell r="E25">
            <v>1.9898080409999996</v>
          </cell>
          <cell r="G25">
            <v>40.89141477596764</v>
          </cell>
          <cell r="H25">
            <v>107.27620779833225</v>
          </cell>
        </row>
        <row r="26">
          <cell r="E26">
            <v>161.97203785937356</v>
          </cell>
          <cell r="G26">
            <v>978.25157182107091</v>
          </cell>
          <cell r="H26">
            <v>1016.2599217865364</v>
          </cell>
        </row>
        <row r="27">
          <cell r="E27">
            <v>0</v>
          </cell>
          <cell r="G27">
            <v>0</v>
          </cell>
          <cell r="H27">
            <v>0</v>
          </cell>
        </row>
        <row r="28">
          <cell r="I28">
            <v>0</v>
          </cell>
        </row>
        <row r="29">
          <cell r="I29">
            <v>2.1579999999999999</v>
          </cell>
        </row>
      </sheetData>
      <sheetData sheetId="2">
        <row r="15">
          <cell r="AX15">
            <v>4897.8010543833198</v>
          </cell>
        </row>
        <row r="69">
          <cell r="AX69">
            <v>418.92207647115009</v>
          </cell>
        </row>
        <row r="86">
          <cell r="AX86">
            <v>0</v>
          </cell>
        </row>
        <row r="90">
          <cell r="AX90">
            <v>18.411304583000003</v>
          </cell>
        </row>
        <row r="105">
          <cell r="AX105">
            <v>118.63875046399998</v>
          </cell>
        </row>
        <row r="118">
          <cell r="AX118">
            <v>1.9874620899999997</v>
          </cell>
        </row>
        <row r="120">
          <cell r="AX120">
            <v>105.28730238899998</v>
          </cell>
        </row>
        <row r="122">
          <cell r="AX122">
            <v>2.1568532879999998</v>
          </cell>
        </row>
        <row r="130">
          <cell r="AX130">
            <v>123.38337772356235</v>
          </cell>
        </row>
        <row r="141">
          <cell r="AX141">
            <v>527.31267018713299</v>
          </cell>
        </row>
        <row r="170">
          <cell r="AX170">
            <v>7.7061483499999061E-3</v>
          </cell>
        </row>
        <row r="186">
          <cell r="D186">
            <v>897.93180948457484</v>
          </cell>
          <cell r="E186">
            <v>13.377674579389851</v>
          </cell>
          <cell r="F186">
            <v>0</v>
          </cell>
          <cell r="G186">
            <v>0.36701908916629999</v>
          </cell>
          <cell r="H186">
            <v>0</v>
          </cell>
          <cell r="I186">
            <v>480.10931468999991</v>
          </cell>
          <cell r="J186">
            <v>125.68130228257164</v>
          </cell>
          <cell r="K186">
            <v>3122.357665466172</v>
          </cell>
          <cell r="L186">
            <v>86.243578474643741</v>
          </cell>
          <cell r="M186">
            <v>33.002465736855434</v>
          </cell>
          <cell r="N186">
            <v>98.614084186020477</v>
          </cell>
          <cell r="O186">
            <v>0.93258563116256998</v>
          </cell>
          <cell r="P186">
            <v>11910.663560037381</v>
          </cell>
          <cell r="Q186">
            <v>179.21465105384036</v>
          </cell>
          <cell r="S186">
            <v>103.39730391273336</v>
          </cell>
          <cell r="T186">
            <v>0.20965464655574728</v>
          </cell>
          <cell r="U186">
            <v>1.282533E-3</v>
          </cell>
          <cell r="V186">
            <v>5.133842489130001</v>
          </cell>
          <cell r="W186">
            <v>8.4439498000009913E-4</v>
          </cell>
          <cell r="X186">
            <v>773.73469546041997</v>
          </cell>
          <cell r="Y186">
            <v>8.3691058061400003</v>
          </cell>
          <cell r="Z186">
            <v>417.61095845411251</v>
          </cell>
          <cell r="AA186">
            <v>17.603451469734708</v>
          </cell>
          <cell r="AB186">
            <v>0.13824574595459649</v>
          </cell>
          <cell r="AC186">
            <v>40.556073285025533</v>
          </cell>
          <cell r="AD186">
            <v>5.2858276592848988E-2</v>
          </cell>
          <cell r="AE186">
            <v>855.959625807983</v>
          </cell>
          <cell r="AF186">
            <v>13.303893741554376</v>
          </cell>
          <cell r="AI186">
            <v>33.670286735321923</v>
          </cell>
          <cell r="AJ186">
            <v>2.8406688964272729E-3</v>
          </cell>
          <cell r="AK186">
            <v>0</v>
          </cell>
          <cell r="AL186">
            <v>0</v>
          </cell>
          <cell r="AM186">
            <v>0</v>
          </cell>
          <cell r="AN186">
            <v>211.62537857030239</v>
          </cell>
          <cell r="AO186">
            <v>0</v>
          </cell>
          <cell r="AP186">
            <v>125.67106146897305</v>
          </cell>
          <cell r="AQ186">
            <v>2.8598142147122686E-2</v>
          </cell>
          <cell r="AR186">
            <v>0</v>
          </cell>
          <cell r="AS186">
            <v>1.2111461391736244E-3</v>
          </cell>
          <cell r="AT186">
            <v>0</v>
          </cell>
          <cell r="AU186">
            <v>3761.8958006623425</v>
          </cell>
          <cell r="AV186">
            <v>0.24725840252269343</v>
          </cell>
          <cell r="AX186">
            <v>23317.709982532338</v>
          </cell>
        </row>
        <row r="187">
          <cell r="AX187">
            <v>511.88488205138964</v>
          </cell>
        </row>
        <row r="188">
          <cell r="AX188">
            <v>906.65099614984797</v>
          </cell>
        </row>
        <row r="189">
          <cell r="AX189">
            <v>6029.5234358871112</v>
          </cell>
        </row>
        <row r="190">
          <cell r="AX190">
            <v>275.30332869390224</v>
          </cell>
        </row>
        <row r="191">
          <cell r="AX191">
            <v>303.43946211823783</v>
          </cell>
        </row>
        <row r="192">
          <cell r="AX192">
            <v>482.31472781887999</v>
          </cell>
        </row>
        <row r="193">
          <cell r="AX193">
            <v>5225.0810625364065</v>
          </cell>
        </row>
        <row r="199">
          <cell r="AX199">
            <v>311.87939354935702</v>
          </cell>
        </row>
        <row r="200">
          <cell r="AX200">
            <v>27.159126799796553</v>
          </cell>
        </row>
        <row r="201">
          <cell r="AX201">
            <v>55.203920814746816</v>
          </cell>
        </row>
        <row r="202">
          <cell r="AX202">
            <v>0.47329591900000001</v>
          </cell>
        </row>
        <row r="203">
          <cell r="AX203">
            <v>130.962232183</v>
          </cell>
        </row>
        <row r="204">
          <cell r="AX204">
            <v>786.62531060104584</v>
          </cell>
        </row>
        <row r="229">
          <cell r="AX229">
            <v>250.94236078004565</v>
          </cell>
        </row>
        <row r="272">
          <cell r="D272">
            <v>7116.5923770259469</v>
          </cell>
          <cell r="E272">
            <v>404.20893713053812</v>
          </cell>
          <cell r="F272">
            <v>9.5866882690937754</v>
          </cell>
          <cell r="G272">
            <v>52.521181194916743</v>
          </cell>
          <cell r="H272">
            <v>1.4736194071270685E-2</v>
          </cell>
          <cell r="I272">
            <v>1860.5344536790003</v>
          </cell>
          <cell r="J272">
            <v>1625.8073073327255</v>
          </cell>
          <cell r="K272">
            <v>6082.0352799569328</v>
          </cell>
          <cell r="L272">
            <v>1296.0381232762315</v>
          </cell>
          <cell r="M272">
            <v>33.003554010586122</v>
          </cell>
          <cell r="N272">
            <v>529.14215874489798</v>
          </cell>
          <cell r="O272">
            <v>1.322001793745244</v>
          </cell>
          <cell r="P272">
            <v>12245.982465880563</v>
          </cell>
          <cell r="Q272">
            <v>806.81912583205224</v>
          </cell>
          <cell r="S272">
            <v>3484.0822473086009</v>
          </cell>
          <cell r="T272">
            <v>102.7427902431685</v>
          </cell>
          <cell r="U272">
            <v>1.282533E-3</v>
          </cell>
          <cell r="V272">
            <v>56.794554164001568</v>
          </cell>
          <cell r="W272">
            <v>8.4439498000009913E-4</v>
          </cell>
          <cell r="X272">
            <v>782.2706411370001</v>
          </cell>
          <cell r="Y272">
            <v>8.8615896639280614</v>
          </cell>
          <cell r="Z272">
            <v>707.43598751899526</v>
          </cell>
          <cell r="AA272">
            <v>19.723682658144451</v>
          </cell>
          <cell r="AB272">
            <v>-0.22030972435200347</v>
          </cell>
          <cell r="AC272">
            <v>41.452383147950279</v>
          </cell>
          <cell r="AD272">
            <v>4.7403288794406792E-2</v>
          </cell>
          <cell r="AE272">
            <v>869.95095420262294</v>
          </cell>
          <cell r="AF272">
            <v>24.087110770617318</v>
          </cell>
          <cell r="AI272">
            <v>2255.6614852294651</v>
          </cell>
          <cell r="AJ272">
            <v>-0.17520302644745364</v>
          </cell>
          <cell r="AK272">
            <v>-1.6674348532663902E-4</v>
          </cell>
          <cell r="AL272">
            <v>0.28563349485505918</v>
          </cell>
          <cell r="AM272">
            <v>-1.4871704824958801E-4</v>
          </cell>
          <cell r="AN272">
            <v>477.44183892320234</v>
          </cell>
          <cell r="AO272">
            <v>2.3668041798924344</v>
          </cell>
          <cell r="AP272">
            <v>155.97999166262389</v>
          </cell>
          <cell r="AQ272">
            <v>2.5821720170960383</v>
          </cell>
          <cell r="AR272">
            <v>0</v>
          </cell>
          <cell r="AS272">
            <v>0.24452891649575989</v>
          </cell>
          <cell r="AT272">
            <v>0</v>
          </cell>
          <cell r="AU272">
            <v>3935.4413776046094</v>
          </cell>
          <cell r="AV272">
            <v>10.457939820657767</v>
          </cell>
        </row>
      </sheetData>
      <sheetData sheetId="3">
        <row r="15">
          <cell r="AH15">
            <v>2885.1781531864617</v>
          </cell>
        </row>
        <row r="69">
          <cell r="AH69">
            <v>947.19276370423552</v>
          </cell>
        </row>
        <row r="86">
          <cell r="AH86">
            <v>0</v>
          </cell>
        </row>
        <row r="90">
          <cell r="AH90">
            <v>0</v>
          </cell>
        </row>
        <row r="105">
          <cell r="AH105">
            <v>0</v>
          </cell>
        </row>
        <row r="118">
          <cell r="AH118">
            <v>1.173012E-3</v>
          </cell>
        </row>
        <row r="120">
          <cell r="AH120">
            <v>0</v>
          </cell>
        </row>
        <row r="122">
          <cell r="AH122">
            <v>4.9989999999999999E-6</v>
          </cell>
        </row>
        <row r="130">
          <cell r="AH130">
            <v>1069.501905106252</v>
          </cell>
        </row>
        <row r="141">
          <cell r="AH141">
            <v>623.5863530243347</v>
          </cell>
        </row>
        <row r="170">
          <cell r="AH170">
            <v>73.191498073070008</v>
          </cell>
        </row>
        <row r="186">
          <cell r="D186">
            <v>228.60249793881303</v>
          </cell>
          <cell r="E186">
            <v>46.783301542785587</v>
          </cell>
          <cell r="F186">
            <v>18.030800083999999</v>
          </cell>
          <cell r="G186">
            <v>0.10149377400000001</v>
          </cell>
          <cell r="H186">
            <v>0</v>
          </cell>
          <cell r="I186">
            <v>837.50583103999998</v>
          </cell>
          <cell r="J186">
            <v>0.66775110000000004</v>
          </cell>
          <cell r="K186">
            <v>3702.1554575629448</v>
          </cell>
          <cell r="L186">
            <v>27.070786550899761</v>
          </cell>
          <cell r="M186">
            <v>1.10560787091014</v>
          </cell>
          <cell r="N186">
            <v>-14.713080391509635</v>
          </cell>
          <cell r="O186">
            <v>31.271260966234102</v>
          </cell>
          <cell r="P186">
            <v>9543.5180854776008</v>
          </cell>
          <cell r="Q186">
            <v>9.3293278054973765</v>
          </cell>
          <cell r="S186">
            <v>2037.2841833836005</v>
          </cell>
          <cell r="T186">
            <v>6.4749332693208972</v>
          </cell>
          <cell r="U186">
            <v>4.561510564153342E-5</v>
          </cell>
          <cell r="V186">
            <v>19.943407781920001</v>
          </cell>
          <cell r="W186">
            <v>0.76614106692278527</v>
          </cell>
          <cell r="X186">
            <v>5576.9075961437393</v>
          </cell>
          <cell r="Y186">
            <v>9.2504807009790326</v>
          </cell>
          <cell r="Z186">
            <v>2515.69043514033</v>
          </cell>
          <cell r="AA186">
            <v>156.1620758754554</v>
          </cell>
          <cell r="AB186">
            <v>-6.5267593165787563E-3</v>
          </cell>
          <cell r="AC186">
            <v>49.120822884472858</v>
          </cell>
          <cell r="AD186">
            <v>0.10493599305436141</v>
          </cell>
          <cell r="AE186">
            <v>4280.7471850972515</v>
          </cell>
          <cell r="AF186">
            <v>105.30800830991903</v>
          </cell>
          <cell r="AH186">
            <v>29189.182845824929</v>
          </cell>
        </row>
        <row r="187">
          <cell r="AH187">
            <v>0</v>
          </cell>
        </row>
        <row r="188">
          <cell r="AH188">
            <v>188.30280841024847</v>
          </cell>
        </row>
        <row r="189">
          <cell r="AH189">
            <v>2077.2373840698838</v>
          </cell>
        </row>
        <row r="190">
          <cell r="AH190">
            <v>447.92335103018661</v>
          </cell>
        </row>
        <row r="191">
          <cell r="AH191">
            <v>888.6308350332821</v>
          </cell>
        </row>
        <row r="192">
          <cell r="AH192">
            <v>2877.2776714320194</v>
          </cell>
        </row>
        <row r="193">
          <cell r="AH193">
            <v>2261.0239930965508</v>
          </cell>
        </row>
        <row r="199">
          <cell r="AH199">
            <v>72.153533662643554</v>
          </cell>
        </row>
        <row r="200">
          <cell r="AH200">
            <v>1.5150691039999999</v>
          </cell>
        </row>
        <row r="201">
          <cell r="AH201">
            <v>0</v>
          </cell>
        </row>
        <row r="202">
          <cell r="AH202">
            <v>0</v>
          </cell>
        </row>
        <row r="203">
          <cell r="AH203">
            <v>3.8640782100000002</v>
          </cell>
        </row>
        <row r="204">
          <cell r="AH204">
            <v>966.64922762076048</v>
          </cell>
        </row>
        <row r="229">
          <cell r="AH229">
            <v>290.98820022304346</v>
          </cell>
        </row>
        <row r="272">
          <cell r="D272">
            <v>1807.6039376975841</v>
          </cell>
          <cell r="E272">
            <v>144.06804193453794</v>
          </cell>
          <cell r="F272">
            <v>113.81896895899999</v>
          </cell>
          <cell r="G272">
            <v>10.671469399630981</v>
          </cell>
          <cell r="H272">
            <v>0.65308252999999994</v>
          </cell>
          <cell r="I272">
            <v>837.60538584100004</v>
          </cell>
          <cell r="J272">
            <v>60.348055037999998</v>
          </cell>
          <cell r="K272">
            <v>6506.423665119818</v>
          </cell>
          <cell r="L272">
            <v>481.02616569177184</v>
          </cell>
          <cell r="M272">
            <v>1.10560787091014</v>
          </cell>
          <cell r="N272">
            <v>382.37481004284763</v>
          </cell>
          <cell r="O272">
            <v>67.162330860031162</v>
          </cell>
          <cell r="P272">
            <v>9716.7731732103694</v>
          </cell>
          <cell r="Q272">
            <v>1255.3717069862012</v>
          </cell>
          <cell r="S272">
            <v>4550.8013697934157</v>
          </cell>
          <cell r="T272">
            <v>277.72088200379022</v>
          </cell>
          <cell r="U272">
            <v>2.7654223121665811</v>
          </cell>
          <cell r="V272">
            <v>34.024121114251187</v>
          </cell>
          <cell r="W272">
            <v>0.92637982192278523</v>
          </cell>
          <cell r="X272">
            <v>5586.4535765549399</v>
          </cell>
          <cell r="Y272">
            <v>309.25887003391404</v>
          </cell>
          <cell r="Z272">
            <v>8040.4853227699077</v>
          </cell>
          <cell r="AA272">
            <v>309.04805356804616</v>
          </cell>
          <cell r="AB272">
            <v>-0.15300792560621876</v>
          </cell>
          <cell r="AC272">
            <v>114.71246865417311</v>
          </cell>
          <cell r="AD272">
            <v>-34.618219829208989</v>
          </cell>
          <cell r="AE272">
            <v>4292.0776270032511</v>
          </cell>
          <cell r="AF272">
            <v>132.63103209888567</v>
          </cell>
          <cell r="AH272">
            <v>45001.140299155551</v>
          </cell>
        </row>
      </sheetData>
      <sheetData sheetId="4">
        <row r="14">
          <cell r="D14">
            <v>20171.579661389216</v>
          </cell>
          <cell r="G14">
            <v>20432.944837353854</v>
          </cell>
        </row>
        <row r="16">
          <cell r="D16">
            <v>19801.781514685128</v>
          </cell>
          <cell r="G16">
            <v>20905.365173935614</v>
          </cell>
        </row>
        <row r="17">
          <cell r="D17">
            <v>680.43962192958588</v>
          </cell>
          <cell r="G17">
            <v>541.83258292798087</v>
          </cell>
        </row>
        <row r="18">
          <cell r="D18">
            <v>42.370335928436397</v>
          </cell>
          <cell r="G18">
            <v>117.53629425706279</v>
          </cell>
        </row>
        <row r="19">
          <cell r="D19">
            <v>1.3847970055695367</v>
          </cell>
          <cell r="G19">
            <v>34.123452114486859</v>
          </cell>
        </row>
        <row r="20">
          <cell r="D20">
            <v>1825.1890386284358</v>
          </cell>
          <cell r="G20">
            <v>1211.8625476648053</v>
          </cell>
        </row>
        <row r="21">
          <cell r="D21">
            <v>613.65717264818204</v>
          </cell>
          <cell r="G21">
            <v>168.42960829941779</v>
          </cell>
        </row>
        <row r="22">
          <cell r="D22">
            <v>1641.7079636388053</v>
          </cell>
          <cell r="G22">
            <v>1424.3366717462141</v>
          </cell>
        </row>
        <row r="23">
          <cell r="D23">
            <v>223.05182161726009</v>
          </cell>
          <cell r="G23">
            <v>164.68643938349177</v>
          </cell>
        </row>
        <row r="24">
          <cell r="G24">
            <v>45001.117607682929</v>
          </cell>
        </row>
      </sheetData>
      <sheetData sheetId="5">
        <row r="11">
          <cell r="D11">
            <v>5276.1455041732625</v>
          </cell>
          <cell r="F11">
            <v>538.13906761547162</v>
          </cell>
        </row>
        <row r="12">
          <cell r="D12">
            <v>33.774223098842441</v>
          </cell>
          <cell r="F12">
            <v>3.3391203780000001</v>
          </cell>
        </row>
        <row r="13">
          <cell r="D13">
            <v>75.887308049246784</v>
          </cell>
          <cell r="F13">
            <v>0</v>
          </cell>
        </row>
        <row r="14">
          <cell r="D14">
            <v>1191.2775484702443</v>
          </cell>
          <cell r="F14">
            <v>28.877773174757827</v>
          </cell>
        </row>
        <row r="15">
          <cell r="D15">
            <v>267.55124182236216</v>
          </cell>
          <cell r="F15">
            <v>0.89554930899999996</v>
          </cell>
        </row>
        <row r="16">
          <cell r="D16">
            <v>42.6748323090155</v>
          </cell>
          <cell r="F16">
            <v>0</v>
          </cell>
        </row>
        <row r="17">
          <cell r="D17">
            <v>679.54531336374885</v>
          </cell>
          <cell r="F17">
            <v>135.26630347265231</v>
          </cell>
        </row>
        <row r="18">
          <cell r="D18">
            <v>613.42110101620028</v>
          </cell>
          <cell r="F18">
            <v>109.22177439557635</v>
          </cell>
        </row>
        <row r="19">
          <cell r="D19">
            <v>61.352734156793773</v>
          </cell>
          <cell r="F19">
            <v>5.966402518999999</v>
          </cell>
        </row>
        <row r="20">
          <cell r="D20">
            <v>181.4173345135103</v>
          </cell>
          <cell r="F20">
            <v>31.797283988</v>
          </cell>
        </row>
        <row r="21">
          <cell r="D21">
            <v>133.94180661346013</v>
          </cell>
          <cell r="F21">
            <v>1.2417664930000001</v>
          </cell>
        </row>
        <row r="22">
          <cell r="D22">
            <v>255.48824234209314</v>
          </cell>
          <cell r="F22">
            <v>12.694544670999999</v>
          </cell>
        </row>
        <row r="23">
          <cell r="D23">
            <v>727.94603294419881</v>
          </cell>
          <cell r="F23">
            <v>37.457783845960002</v>
          </cell>
        </row>
        <row r="24">
          <cell r="D24">
            <v>18.549541625606565</v>
          </cell>
          <cell r="F24">
            <v>5.5292542805216272</v>
          </cell>
        </row>
        <row r="25">
          <cell r="D25">
            <v>0.4</v>
          </cell>
          <cell r="F25">
            <v>0.4</v>
          </cell>
        </row>
        <row r="26">
          <cell r="D26">
            <v>30.45</v>
          </cell>
          <cell r="F26">
            <v>0</v>
          </cell>
        </row>
        <row r="27">
          <cell r="D27">
            <v>24.875300998</v>
          </cell>
          <cell r="F27">
            <v>2.5258815930000003</v>
          </cell>
        </row>
        <row r="28">
          <cell r="D28">
            <v>41.156012923399999</v>
          </cell>
          <cell r="F28">
            <v>1.6977093649999999</v>
          </cell>
        </row>
        <row r="29">
          <cell r="D29">
            <v>8.6421845969729549</v>
          </cell>
          <cell r="F29">
            <v>7.0961765749999994</v>
          </cell>
        </row>
        <row r="30">
          <cell r="D30">
            <v>863.27184957659392</v>
          </cell>
          <cell r="F30">
            <v>154.0629307190035</v>
          </cell>
        </row>
        <row r="31">
          <cell r="D31">
            <v>24.522895752971554</v>
          </cell>
          <cell r="F31">
            <v>6.8812835999999877E-2</v>
          </cell>
        </row>
        <row r="32">
          <cell r="D32">
            <v>0</v>
          </cell>
          <cell r="F32">
            <v>0</v>
          </cell>
        </row>
        <row r="56">
          <cell r="D56">
            <v>6190.2866439265899</v>
          </cell>
        </row>
        <row r="57">
          <cell r="D57">
            <v>3194.0409247301518</v>
          </cell>
        </row>
        <row r="58">
          <cell r="D58">
            <v>93.773379612329194</v>
          </cell>
        </row>
        <row r="59">
          <cell r="D59">
            <v>187.36721536970668</v>
          </cell>
        </row>
        <row r="60">
          <cell r="D60">
            <v>1773.8931442692156</v>
          </cell>
        </row>
        <row r="61">
          <cell r="D61">
            <v>124.93470459513981</v>
          </cell>
        </row>
        <row r="62">
          <cell r="D62">
            <v>816.27727535004715</v>
          </cell>
        </row>
        <row r="63">
          <cell r="D63">
            <v>1507.6479627709778</v>
          </cell>
        </row>
        <row r="66">
          <cell r="D66">
            <v>12974.080110870829</v>
          </cell>
        </row>
      </sheetData>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1"/>
      <sheetName val="2"/>
      <sheetName val="3A"/>
      <sheetName val="3B"/>
      <sheetName val="4"/>
      <sheetName val="5"/>
      <sheetName val="6A"/>
      <sheetName val="6B"/>
      <sheetName val="7"/>
      <sheetName val="8"/>
    </sheetNames>
    <sheetDataSet>
      <sheetData sheetId="0">
        <row r="14">
          <cell r="C14">
            <v>36.541392500000001</v>
          </cell>
          <cell r="D14">
            <v>0</v>
          </cell>
        </row>
        <row r="18">
          <cell r="C18">
            <v>259.13778564496101</v>
          </cell>
          <cell r="D18">
            <v>1205.0408971412198</v>
          </cell>
        </row>
        <row r="23">
          <cell r="C23">
            <v>1236.5194999405751</v>
          </cell>
          <cell r="D23">
            <v>143.99997107847702</v>
          </cell>
        </row>
        <row r="24">
          <cell r="C24">
            <v>282.505354241681</v>
          </cell>
          <cell r="D24">
            <v>72.997392270297993</v>
          </cell>
        </row>
        <row r="25">
          <cell r="C25">
            <v>217.85552934792435</v>
          </cell>
          <cell r="D25">
            <v>247.01373484840784</v>
          </cell>
        </row>
        <row r="26">
          <cell r="C26">
            <v>386.93352701139298</v>
          </cell>
          <cell r="D26">
            <v>299.9078619169992</v>
          </cell>
        </row>
        <row r="27">
          <cell r="C27">
            <v>2752.1537212129451</v>
          </cell>
          <cell r="D27">
            <v>1567.3415632828296</v>
          </cell>
        </row>
        <row r="28">
          <cell r="C28">
            <v>7718.6407045878605</v>
          </cell>
          <cell r="D28">
            <v>1202.02571590258</v>
          </cell>
        </row>
        <row r="29">
          <cell r="C29">
            <v>372.11371450303</v>
          </cell>
          <cell r="D29">
            <v>33.17364574162</v>
          </cell>
        </row>
        <row r="30">
          <cell r="C30">
            <v>0</v>
          </cell>
          <cell r="D30">
            <v>0</v>
          </cell>
        </row>
        <row r="31">
          <cell r="C31">
            <v>0.8</v>
          </cell>
          <cell r="D31">
            <v>19.831663563894171</v>
          </cell>
        </row>
        <row r="33">
          <cell r="C33">
            <v>516.09298917465003</v>
          </cell>
          <cell r="D33">
            <v>40.071245204060006</v>
          </cell>
        </row>
        <row r="34">
          <cell r="C34">
            <v>2740.4142768588258</v>
          </cell>
          <cell r="D34">
            <v>194.86552314300002</v>
          </cell>
        </row>
        <row r="36">
          <cell r="C36">
            <v>1228.1087489469219</v>
          </cell>
          <cell r="D36">
            <v>-12.006999187600343</v>
          </cell>
        </row>
        <row r="37">
          <cell r="C37">
            <v>431.41735536435164</v>
          </cell>
          <cell r="D37">
            <v>361.08447600124521</v>
          </cell>
        </row>
        <row r="38">
          <cell r="C38">
            <v>18179.234599335115</v>
          </cell>
          <cell r="D38">
            <v>5375.3466909070294</v>
          </cell>
          <cell r="E38">
            <v>115.00177735947247</v>
          </cell>
          <cell r="F38">
            <v>5772.8473033458768</v>
          </cell>
          <cell r="G38">
            <v>12.78077158004465</v>
          </cell>
          <cell r="H38">
            <v>177.83293891760448</v>
          </cell>
          <cell r="I38">
            <v>16.935979660974457</v>
          </cell>
          <cell r="J38">
            <v>211.11807607926252</v>
          </cell>
          <cell r="K38">
            <v>61.269597601363131</v>
          </cell>
          <cell r="L38">
            <v>423.58207065272791</v>
          </cell>
          <cell r="M38">
            <v>1293.2248977042752</v>
          </cell>
          <cell r="N38">
            <v>3935.7850863756526</v>
          </cell>
          <cell r="O38">
            <v>699.0945244650095</v>
          </cell>
          <cell r="P38">
            <v>8997.2718377745914</v>
          </cell>
          <cell r="Q38">
            <v>45271.326151759</v>
          </cell>
        </row>
        <row r="40">
          <cell r="Q40">
            <v>8050.4561913807011</v>
          </cell>
        </row>
        <row r="68">
          <cell r="C68">
            <v>97.656238719012435</v>
          </cell>
          <cell r="D68">
            <v>51.060908352234499</v>
          </cell>
        </row>
        <row r="69">
          <cell r="C69">
            <v>4481.0714130374545</v>
          </cell>
          <cell r="D69">
            <v>7.7200000009999998</v>
          </cell>
        </row>
        <row r="72">
          <cell r="C72">
            <v>391.42612956269426</v>
          </cell>
          <cell r="D72">
            <v>566.69527504295661</v>
          </cell>
        </row>
        <row r="76">
          <cell r="C76">
            <v>9229.3477586908102</v>
          </cell>
          <cell r="D76">
            <v>3636.4982520524654</v>
          </cell>
        </row>
        <row r="77">
          <cell r="C77">
            <v>338.89584393600001</v>
          </cell>
          <cell r="D77">
            <v>1188.2698362412198</v>
          </cell>
        </row>
        <row r="78">
          <cell r="C78">
            <v>0</v>
          </cell>
          <cell r="D78">
            <v>0</v>
          </cell>
        </row>
        <row r="79">
          <cell r="C79">
            <v>121.184523943</v>
          </cell>
          <cell r="D79">
            <v>86.612262920559004</v>
          </cell>
        </row>
        <row r="80">
          <cell r="C80">
            <v>33.779762161930002</v>
          </cell>
          <cell r="D80">
            <v>947.89103551721598</v>
          </cell>
        </row>
        <row r="81">
          <cell r="C81">
            <v>2522.7846288558949</v>
          </cell>
          <cell r="D81">
            <v>1187.3278113825183</v>
          </cell>
        </row>
        <row r="82">
          <cell r="C82">
            <v>6172.216420791985</v>
          </cell>
          <cell r="D82">
            <v>188.09730599095207</v>
          </cell>
        </row>
        <row r="83">
          <cell r="C83">
            <v>40.486579001999864</v>
          </cell>
          <cell r="D83">
            <v>38.299999999999997</v>
          </cell>
        </row>
        <row r="84">
          <cell r="E84">
            <v>0</v>
          </cell>
          <cell r="F84">
            <v>115.62118404516593</v>
          </cell>
          <cell r="G84">
            <v>0</v>
          </cell>
          <cell r="H84">
            <v>338.93448946321462</v>
          </cell>
          <cell r="I84">
            <v>0</v>
          </cell>
          <cell r="J84">
            <v>275.94102053332</v>
          </cell>
          <cell r="K84">
            <v>0</v>
          </cell>
          <cell r="L84">
            <v>2194.0640708238625</v>
          </cell>
          <cell r="M84">
            <v>0</v>
          </cell>
          <cell r="N84">
            <v>1217.74933249591</v>
          </cell>
          <cell r="O84">
            <v>1.0335788000000001</v>
          </cell>
          <cell r="P84">
            <v>2297.7575143953545</v>
          </cell>
        </row>
        <row r="86">
          <cell r="C86">
            <v>4034.5321068285903</v>
          </cell>
          <cell r="D86">
            <v>3052.5602971743151</v>
          </cell>
        </row>
        <row r="89">
          <cell r="C89">
            <v>3.7399999988000004E-7</v>
          </cell>
          <cell r="D89">
            <v>280.2845605940459</v>
          </cell>
        </row>
        <row r="92">
          <cell r="C92">
            <v>461.40512015199999</v>
          </cell>
          <cell r="D92">
            <v>119.78383293791931</v>
          </cell>
        </row>
        <row r="93">
          <cell r="C93">
            <v>0.7006907539999998</v>
          </cell>
          <cell r="D93">
            <v>21.019677827207708</v>
          </cell>
        </row>
        <row r="95">
          <cell r="C95">
            <v>843.78182470768093</v>
          </cell>
          <cell r="D95">
            <v>712.90391751683057</v>
          </cell>
        </row>
        <row r="96">
          <cell r="C96">
            <v>198.19409820158884</v>
          </cell>
          <cell r="D96">
            <v>8.6567128059700007</v>
          </cell>
        </row>
        <row r="97">
          <cell r="C97">
            <v>738.06347845874097</v>
          </cell>
          <cell r="D97">
            <v>313.10019271574839</v>
          </cell>
        </row>
        <row r="98">
          <cell r="C98">
            <v>20476.178859486572</v>
          </cell>
          <cell r="D98">
            <v>8770.2836270206935</v>
          </cell>
          <cell r="E98">
            <v>99.932479238892</v>
          </cell>
          <cell r="F98">
            <v>1919.7734434430963</v>
          </cell>
          <cell r="G98">
            <v>2.5888661000000004E-2</v>
          </cell>
          <cell r="H98">
            <v>445.17724349503732</v>
          </cell>
          <cell r="I98">
            <v>2.8168020999999998E-2</v>
          </cell>
          <cell r="J98">
            <v>882.83134990292194</v>
          </cell>
          <cell r="K98">
            <v>23.940218484000003</v>
          </cell>
          <cell r="L98">
            <v>2939.8547759392186</v>
          </cell>
          <cell r="M98">
            <v>9.7407082250000006</v>
          </cell>
          <cell r="N98">
            <v>2221.0183664578694</v>
          </cell>
          <cell r="O98">
            <v>36.958701438461766</v>
          </cell>
          <cell r="P98">
            <v>7445.621689690629</v>
          </cell>
          <cell r="Q98">
            <v>45271.365519504383</v>
          </cell>
        </row>
        <row r="100">
          <cell r="Q100">
            <v>8050.1331276001674</v>
          </cell>
        </row>
      </sheetData>
      <sheetData sheetId="1">
        <row r="15">
          <cell r="C15">
            <v>895.11506937784895</v>
          </cell>
          <cell r="D15">
            <v>282.505354241681</v>
          </cell>
          <cell r="F15">
            <v>386.81132909439293</v>
          </cell>
          <cell r="I15">
            <v>12581.658774710208</v>
          </cell>
          <cell r="K15">
            <v>350.8461165653618</v>
          </cell>
        </row>
        <row r="16">
          <cell r="E16">
            <v>122.52491585149036</v>
          </cell>
          <cell r="G16">
            <v>1370.587716556347</v>
          </cell>
          <cell r="H16">
            <v>922.72151651616332</v>
          </cell>
        </row>
        <row r="17">
          <cell r="E17">
            <v>0.87239448089500005</v>
          </cell>
          <cell r="G17">
            <v>82.752269472256017</v>
          </cell>
          <cell r="H17">
            <v>3433.055271465902</v>
          </cell>
        </row>
        <row r="18">
          <cell r="E18">
            <v>94.492720942538995</v>
          </cell>
          <cell r="G18">
            <v>1268.2974633204526</v>
          </cell>
          <cell r="H18">
            <v>3721.9227533902399</v>
          </cell>
        </row>
        <row r="19">
          <cell r="E19">
            <v>0</v>
          </cell>
          <cell r="G19">
            <v>0</v>
          </cell>
          <cell r="H19">
            <v>0</v>
          </cell>
        </row>
        <row r="20">
          <cell r="I20">
            <v>0</v>
          </cell>
        </row>
        <row r="21">
          <cell r="I21">
            <v>385.03962760872599</v>
          </cell>
        </row>
        <row r="23">
          <cell r="C23">
            <v>143.99997107847699</v>
          </cell>
          <cell r="D23">
            <v>72.997392270297993</v>
          </cell>
          <cell r="F23">
            <v>298.24986191699918</v>
          </cell>
          <cell r="I23">
            <v>3564.2945446065532</v>
          </cell>
          <cell r="K23">
            <v>5671.3900249709304</v>
          </cell>
        </row>
        <row r="24">
          <cell r="E24">
            <v>82.530268775325752</v>
          </cell>
          <cell r="G24">
            <v>501.03116349424681</v>
          </cell>
          <cell r="H24">
            <v>131.66047382886427</v>
          </cell>
        </row>
        <row r="25">
          <cell r="E25">
            <v>1.8788371588130002</v>
          </cell>
          <cell r="G25">
            <v>57.029664624299578</v>
          </cell>
          <cell r="H25">
            <v>110.51357406213585</v>
          </cell>
        </row>
        <row r="26">
          <cell r="E26">
            <v>162.61599991426908</v>
          </cell>
          <cell r="G26">
            <v>1009.2773709332735</v>
          </cell>
          <cell r="H26">
            <v>992.50996654955145</v>
          </cell>
        </row>
        <row r="27">
          <cell r="E27">
            <v>0</v>
          </cell>
          <cell r="G27">
            <v>0</v>
          </cell>
          <cell r="H27">
            <v>0</v>
          </cell>
        </row>
        <row r="28">
          <cell r="I28">
            <v>0</v>
          </cell>
        </row>
        <row r="29">
          <cell r="I29">
            <v>2.1579999999999999</v>
          </cell>
        </row>
      </sheetData>
      <sheetData sheetId="2">
        <row r="15">
          <cell r="AX15">
            <v>4572.9323787284338</v>
          </cell>
        </row>
        <row r="69">
          <cell r="AX69">
            <v>520.96331164977312</v>
          </cell>
        </row>
        <row r="86">
          <cell r="AX86">
            <v>0</v>
          </cell>
        </row>
        <row r="90">
          <cell r="AX90">
            <v>26.083037315999995</v>
          </cell>
        </row>
        <row r="105">
          <cell r="AX105">
            <v>114.568304287076</v>
          </cell>
        </row>
        <row r="118">
          <cell r="AX118">
            <v>1.5634200479999996</v>
          </cell>
        </row>
        <row r="120">
          <cell r="AX120">
            <v>124.188607526</v>
          </cell>
        </row>
        <row r="122">
          <cell r="AX122">
            <v>0.61626607823400004</v>
          </cell>
        </row>
        <row r="130">
          <cell r="AX130">
            <v>235.49474731039672</v>
          </cell>
        </row>
        <row r="141">
          <cell r="AX141">
            <v>705.47320322239295</v>
          </cell>
        </row>
        <row r="170">
          <cell r="AX170">
            <v>8.7845533000000496E-3</v>
          </cell>
        </row>
        <row r="186">
          <cell r="D186">
            <v>922.71732409619494</v>
          </cell>
          <cell r="E186">
            <v>12.385196915964675</v>
          </cell>
          <cell r="F186">
            <v>0</v>
          </cell>
          <cell r="G186">
            <v>0.16856103480168</v>
          </cell>
          <cell r="H186">
            <v>0</v>
          </cell>
          <cell r="I186">
            <v>294.55589491896092</v>
          </cell>
          <cell r="J186">
            <v>98.728145925748706</v>
          </cell>
          <cell r="K186">
            <v>3215.9988460117684</v>
          </cell>
          <cell r="L186">
            <v>79.489749486593325</v>
          </cell>
          <cell r="M186">
            <v>33.656064582226712</v>
          </cell>
          <cell r="N186">
            <v>93.417920714688421</v>
          </cell>
          <cell r="O186">
            <v>1.1750997016416382</v>
          </cell>
          <cell r="P186">
            <v>13016.953241883781</v>
          </cell>
          <cell r="Q186">
            <v>148.17930368556549</v>
          </cell>
          <cell r="S186">
            <v>210.61103118584953</v>
          </cell>
          <cell r="T186">
            <v>4.1532178599999255E-2</v>
          </cell>
          <cell r="U186">
            <v>1.3068190000000001E-3</v>
          </cell>
          <cell r="V186">
            <v>0.92695201411000017</v>
          </cell>
          <cell r="W186">
            <v>8.4439498000009913E-4</v>
          </cell>
          <cell r="X186">
            <v>106.52761545651011</v>
          </cell>
          <cell r="Y186">
            <v>26.472632880230005</v>
          </cell>
          <cell r="Z186">
            <v>358.06171067416528</v>
          </cell>
          <cell r="AA186">
            <v>17.282533366921477</v>
          </cell>
          <cell r="AB186">
            <v>0.39180007944509548</v>
          </cell>
          <cell r="AC186">
            <v>4.4372822309841453</v>
          </cell>
          <cell r="AD186">
            <v>7.0544450418646598E-2</v>
          </cell>
          <cell r="AE186">
            <v>753.47631545051763</v>
          </cell>
          <cell r="AF186">
            <v>7.4211477886423953</v>
          </cell>
          <cell r="AI186">
            <v>29.285613303404052</v>
          </cell>
          <cell r="AJ186">
            <v>2.8513077815728203E-3</v>
          </cell>
          <cell r="AK186">
            <v>0</v>
          </cell>
          <cell r="AL186">
            <v>0</v>
          </cell>
          <cell r="AM186">
            <v>0</v>
          </cell>
          <cell r="AN186">
            <v>212.19018636104499</v>
          </cell>
          <cell r="AO186">
            <v>0</v>
          </cell>
          <cell r="AP186">
            <v>121.65230165236028</v>
          </cell>
          <cell r="AQ186">
            <v>9.0996743683549944E-3</v>
          </cell>
          <cell r="AR186">
            <v>0</v>
          </cell>
          <cell r="AS186">
            <v>3.8688318018538314E-4</v>
          </cell>
          <cell r="AT186">
            <v>0</v>
          </cell>
          <cell r="AU186">
            <v>3788.2232201446986</v>
          </cell>
          <cell r="AV186">
            <v>8.2711343051987754E-3</v>
          </cell>
          <cell r="AX186">
            <v>23554.520528389454</v>
          </cell>
        </row>
        <row r="187">
          <cell r="AX187">
            <v>512.17027011541563</v>
          </cell>
        </row>
        <row r="188">
          <cell r="AX188">
            <v>974.4449439716816</v>
          </cell>
        </row>
        <row r="189">
          <cell r="AX189">
            <v>5887.8252422953465</v>
          </cell>
        </row>
        <row r="190">
          <cell r="AX190">
            <v>190.56621339464908</v>
          </cell>
        </row>
        <row r="191">
          <cell r="AX191">
            <v>228.04158772523701</v>
          </cell>
        </row>
        <row r="192">
          <cell r="AX192">
            <v>484.825872416891</v>
          </cell>
        </row>
        <row r="193">
          <cell r="AX193">
            <v>5229.0137884033147</v>
          </cell>
        </row>
        <row r="199">
          <cell r="AX199">
            <v>339.66418731438728</v>
          </cell>
        </row>
        <row r="200">
          <cell r="AX200">
            <v>24.00064131020838</v>
          </cell>
        </row>
        <row r="201">
          <cell r="AX201">
            <v>56.18435324034359</v>
          </cell>
        </row>
        <row r="202">
          <cell r="AX202">
            <v>0.473317031</v>
          </cell>
        </row>
        <row r="203">
          <cell r="AX203">
            <v>156.31279865500002</v>
          </cell>
        </row>
        <row r="204">
          <cell r="AX204">
            <v>624.24453973967002</v>
          </cell>
        </row>
        <row r="229">
          <cell r="AX229">
            <v>547.50485923513997</v>
          </cell>
        </row>
        <row r="272">
          <cell r="D272">
            <v>6426.6666781657705</v>
          </cell>
          <cell r="E272">
            <v>457.77557662866593</v>
          </cell>
          <cell r="F272">
            <v>0.85571862784486064</v>
          </cell>
          <cell r="G272">
            <v>222.94057541333382</v>
          </cell>
          <cell r="H272">
            <v>4.6595807969837099E-3</v>
          </cell>
          <cell r="I272">
            <v>1627.4868663271568</v>
          </cell>
          <cell r="J272">
            <v>1537.106438300118</v>
          </cell>
          <cell r="K272">
            <v>6720.6466531185179</v>
          </cell>
          <cell r="L272">
            <v>1131.4867321855115</v>
          </cell>
          <cell r="M272">
            <v>33.65716806705408</v>
          </cell>
          <cell r="N272">
            <v>423.67086614229504</v>
          </cell>
          <cell r="O272">
            <v>1.4162565191609262</v>
          </cell>
          <cell r="P272">
            <v>13365.565811762144</v>
          </cell>
          <cell r="Q272">
            <v>993.59103213731498</v>
          </cell>
          <cell r="S272">
            <v>3657.6645198211136</v>
          </cell>
          <cell r="T272">
            <v>116.66262687458401</v>
          </cell>
          <cell r="U272">
            <v>0.10130681900000001</v>
          </cell>
          <cell r="V272">
            <v>48.383780621459302</v>
          </cell>
          <cell r="W272">
            <v>8.4439498000009913E-4</v>
          </cell>
          <cell r="X272">
            <v>152.7291645111101</v>
          </cell>
          <cell r="Y272">
            <v>20.385417722217948</v>
          </cell>
          <cell r="Z272">
            <v>614.78463128794829</v>
          </cell>
          <cell r="AA272">
            <v>17.577267402512188</v>
          </cell>
          <cell r="AB272">
            <v>0.39180007944509548</v>
          </cell>
          <cell r="AC272">
            <v>5.9051869756760311</v>
          </cell>
          <cell r="AD272">
            <v>35.674657290609112</v>
          </cell>
          <cell r="AE272">
            <v>766.85792806892493</v>
          </cell>
          <cell r="AF272">
            <v>18.774427391573347</v>
          </cell>
          <cell r="AI272">
            <v>2239.2358914942502</v>
          </cell>
          <cell r="AJ272">
            <v>-0.20209358733425706</v>
          </cell>
          <cell r="AK272">
            <v>9.8237462794061416E-6</v>
          </cell>
          <cell r="AL272">
            <v>0.29988010308493662</v>
          </cell>
          <cell r="AM272">
            <v>4.086829245586993E-4</v>
          </cell>
          <cell r="AN272">
            <v>495.49169301994499</v>
          </cell>
          <cell r="AO272">
            <v>2.9254276221947251</v>
          </cell>
          <cell r="AP272">
            <v>152.48780184497784</v>
          </cell>
          <cell r="AQ272">
            <v>2.5722372049761257</v>
          </cell>
          <cell r="AR272">
            <v>0</v>
          </cell>
          <cell r="AS272">
            <v>0.24461592827771389</v>
          </cell>
          <cell r="AT272">
            <v>0</v>
          </cell>
          <cell r="AU272">
            <v>3969.3044407353732</v>
          </cell>
          <cell r="AV272">
            <v>10.220015317459072</v>
          </cell>
        </row>
      </sheetData>
      <sheetData sheetId="3">
        <row r="15">
          <cell r="AH15">
            <v>2976.7633979153243</v>
          </cell>
        </row>
        <row r="69">
          <cell r="AH69">
            <v>967.73956507675098</v>
          </cell>
        </row>
        <row r="86">
          <cell r="AH86">
            <v>0</v>
          </cell>
        </row>
        <row r="90">
          <cell r="AH90">
            <v>0</v>
          </cell>
        </row>
        <row r="105">
          <cell r="AH105">
            <v>0</v>
          </cell>
        </row>
        <row r="118">
          <cell r="AH118">
            <v>1.1813080000000001E-3</v>
          </cell>
        </row>
        <row r="120">
          <cell r="AH120">
            <v>0</v>
          </cell>
        </row>
        <row r="122">
          <cell r="AH122">
            <v>4.9709999999999995E-6</v>
          </cell>
        </row>
        <row r="130">
          <cell r="AH130">
            <v>1186.9627482823857</v>
          </cell>
        </row>
        <row r="141">
          <cell r="AH141">
            <v>605.43387006889179</v>
          </cell>
        </row>
        <row r="170">
          <cell r="AH170">
            <v>68.850239244239987</v>
          </cell>
        </row>
        <row r="186">
          <cell r="D186">
            <v>243.0842319576052</v>
          </cell>
          <cell r="E186">
            <v>49.432896194191869</v>
          </cell>
          <cell r="F186">
            <v>18.272182794999999</v>
          </cell>
          <cell r="G186">
            <v>0.13042837099999999</v>
          </cell>
          <cell r="H186">
            <v>0</v>
          </cell>
          <cell r="I186">
            <v>836.08904099099993</v>
          </cell>
          <cell r="J186">
            <v>0.14585165899999999</v>
          </cell>
          <cell r="K186">
            <v>3609.739850975162</v>
          </cell>
          <cell r="L186">
            <v>8.43680569487341</v>
          </cell>
          <cell r="M186">
            <v>1.1463626685869301</v>
          </cell>
          <cell r="N186">
            <v>-15.140994378359849</v>
          </cell>
          <cell r="O186">
            <v>31.6694857257176</v>
          </cell>
          <cell r="P186">
            <v>9710.0267557000334</v>
          </cell>
          <cell r="Q186">
            <v>19.352984900705771</v>
          </cell>
          <cell r="S186">
            <v>2077.8094548555268</v>
          </cell>
          <cell r="T186">
            <v>6.3130139269380514</v>
          </cell>
          <cell r="U186">
            <v>4.6267185369007026E-5</v>
          </cell>
          <cell r="V186">
            <v>18.124409434978041</v>
          </cell>
          <cell r="W186">
            <v>1.2412539852370947</v>
          </cell>
          <cell r="X186">
            <v>5556.2273756164004</v>
          </cell>
          <cell r="Y186">
            <v>8.0481687800618271</v>
          </cell>
          <cell r="Z186">
            <v>2435.3016345550895</v>
          </cell>
          <cell r="AA186">
            <v>153.60100670173659</v>
          </cell>
          <cell r="AB186">
            <v>0.16278596746240453</v>
          </cell>
          <cell r="AC186">
            <v>27.135582887754062</v>
          </cell>
          <cell r="AD186">
            <v>4.8918726322440736E-2</v>
          </cell>
          <cell r="AE186">
            <v>4337.8456752155435</v>
          </cell>
          <cell r="AF186">
            <v>112.18672562306611</v>
          </cell>
          <cell r="AH186">
            <v>29246.43193579782</v>
          </cell>
        </row>
        <row r="187">
          <cell r="AH187">
            <v>0</v>
          </cell>
        </row>
        <row r="188">
          <cell r="AH188">
            <v>188.00061465149196</v>
          </cell>
        </row>
        <row r="189">
          <cell r="AH189">
            <v>2019.6717782995481</v>
          </cell>
        </row>
        <row r="190">
          <cell r="AH190">
            <v>445.15385264275494</v>
          </cell>
        </row>
        <row r="191">
          <cell r="AH191">
            <v>882.89905952897016</v>
          </cell>
        </row>
        <row r="192">
          <cell r="AH192">
            <v>2963.8079412497832</v>
          </cell>
        </row>
        <row r="193">
          <cell r="AH193">
            <v>2230.7738222181629</v>
          </cell>
        </row>
        <row r="199">
          <cell r="AH199">
            <v>73.429779664491122</v>
          </cell>
        </row>
        <row r="200">
          <cell r="AH200">
            <v>1.5295266249999999</v>
          </cell>
        </row>
        <row r="201">
          <cell r="AH201">
            <v>0</v>
          </cell>
        </row>
        <row r="202">
          <cell r="AH202">
            <v>0</v>
          </cell>
        </row>
        <row r="203">
          <cell r="AH203">
            <v>3.8604445510000005</v>
          </cell>
        </row>
        <row r="204">
          <cell r="AH204">
            <v>1002.351706661762</v>
          </cell>
        </row>
        <row r="229">
          <cell r="AH229">
            <v>272.1663942704198</v>
          </cell>
        </row>
        <row r="272">
          <cell r="D272">
            <v>1888.8072064830353</v>
          </cell>
          <cell r="E272">
            <v>233.1293228539036</v>
          </cell>
          <cell r="F272">
            <v>51.642696682999997</v>
          </cell>
          <cell r="G272">
            <v>28.621632103479094</v>
          </cell>
          <cell r="H272">
            <v>0.46362196300000003</v>
          </cell>
          <cell r="I272">
            <v>836.19671976799998</v>
          </cell>
          <cell r="J272">
            <v>88.111169878235543</v>
          </cell>
          <cell r="K272">
            <v>6419.3699715257744</v>
          </cell>
          <cell r="L272">
            <v>466.99552597504834</v>
          </cell>
          <cell r="M272">
            <v>1.1463626685869301</v>
          </cell>
          <cell r="N272">
            <v>388.10220079304338</v>
          </cell>
          <cell r="O272">
            <v>66.661207108971581</v>
          </cell>
          <cell r="P272">
            <v>9889.0171453347994</v>
          </cell>
          <cell r="Q272">
            <v>1288.2635397620247</v>
          </cell>
          <cell r="S272">
            <v>4580.4882747564952</v>
          </cell>
          <cell r="T272">
            <v>261.89960695999304</v>
          </cell>
          <cell r="U272">
            <v>8.7440615187003896</v>
          </cell>
          <cell r="V272">
            <v>38.992868370919155</v>
          </cell>
          <cell r="W272">
            <v>1.5033626238512519</v>
          </cell>
          <cell r="X272">
            <v>5570.3720520729876</v>
          </cell>
          <cell r="Y272">
            <v>262.16488515409355</v>
          </cell>
          <cell r="Z272">
            <v>7966.7575235408995</v>
          </cell>
          <cell r="AA272">
            <v>330.40434333798305</v>
          </cell>
          <cell r="AB272">
            <v>0.51866730640333458</v>
          </cell>
          <cell r="AC272">
            <v>94.234037023317171</v>
          </cell>
          <cell r="AD272">
            <v>-0.18724417681884425</v>
          </cell>
          <cell r="AE272">
            <v>4351.175297380405</v>
          </cell>
          <cell r="AF272">
            <v>157.75675206344195</v>
          </cell>
          <cell r="AH272">
            <v>45271.352810833574</v>
          </cell>
        </row>
      </sheetData>
      <sheetData sheetId="4">
        <row r="14">
          <cell r="D14">
            <v>20377.517692727772</v>
          </cell>
          <cell r="G14">
            <v>20646.741840773004</v>
          </cell>
        </row>
        <row r="16">
          <cell r="D16">
            <v>19811.431815189688</v>
          </cell>
          <cell r="G16">
            <v>20855.466173521847</v>
          </cell>
        </row>
        <row r="17">
          <cell r="D17">
            <v>701.44499616407995</v>
          </cell>
          <cell r="G17">
            <v>549.85056992539046</v>
          </cell>
        </row>
        <row r="18">
          <cell r="D18">
            <v>35.005933589135161</v>
          </cell>
          <cell r="G18">
            <v>62.051319124907721</v>
          </cell>
        </row>
        <row r="19">
          <cell r="D19">
            <v>37.095962451073049</v>
          </cell>
          <cell r="G19">
            <v>68.441054494256832</v>
          </cell>
        </row>
        <row r="20">
          <cell r="D20">
            <v>1725.8825251162168</v>
          </cell>
          <cell r="G20">
            <v>1292.4244649172376</v>
          </cell>
        </row>
        <row r="21">
          <cell r="D21">
            <v>710.48507778770568</v>
          </cell>
          <cell r="G21">
            <v>206.89644924781959</v>
          </cell>
        </row>
        <row r="22">
          <cell r="D22">
            <v>1651.3075006881927</v>
          </cell>
          <cell r="G22">
            <v>1410.5831253244044</v>
          </cell>
        </row>
        <row r="23">
          <cell r="D23">
            <v>221.21574786442835</v>
          </cell>
          <cell r="G23">
            <v>178.79531848654918</v>
          </cell>
        </row>
        <row r="24">
          <cell r="G24">
            <v>45271.250315815414</v>
          </cell>
        </row>
      </sheetData>
      <sheetData sheetId="5">
        <row r="11">
          <cell r="D11">
            <v>5108.6643434659436</v>
          </cell>
          <cell r="F11">
            <v>467.17950537393244</v>
          </cell>
        </row>
        <row r="12">
          <cell r="D12">
            <v>33.807846408619753</v>
          </cell>
          <cell r="F12">
            <v>1.5035229129999998</v>
          </cell>
        </row>
        <row r="13">
          <cell r="D13">
            <v>75.871781653266211</v>
          </cell>
          <cell r="F13">
            <v>0</v>
          </cell>
        </row>
        <row r="14">
          <cell r="D14">
            <v>1124.8483919052892</v>
          </cell>
          <cell r="F14">
            <v>28.569560184181444</v>
          </cell>
        </row>
        <row r="15">
          <cell r="D15">
            <v>241.25494425951314</v>
          </cell>
          <cell r="F15">
            <v>0.88068410399999997</v>
          </cell>
        </row>
        <row r="16">
          <cell r="D16">
            <v>43.803533447521609</v>
          </cell>
          <cell r="F16">
            <v>0</v>
          </cell>
        </row>
        <row r="17">
          <cell r="D17">
            <v>680.21684105817872</v>
          </cell>
          <cell r="F17">
            <v>112.49800134865245</v>
          </cell>
        </row>
        <row r="18">
          <cell r="D18">
            <v>602.4244127890388</v>
          </cell>
          <cell r="F18">
            <v>101.13651431054328</v>
          </cell>
        </row>
        <row r="19">
          <cell r="D19">
            <v>63.202896169907035</v>
          </cell>
          <cell r="F19">
            <v>6.4990407070206277</v>
          </cell>
        </row>
        <row r="20">
          <cell r="D20">
            <v>201.00174269085306</v>
          </cell>
          <cell r="F20">
            <v>31.177709365000002</v>
          </cell>
        </row>
        <row r="21">
          <cell r="D21">
            <v>134.39877532000372</v>
          </cell>
          <cell r="F21">
            <v>1.0594162859999998</v>
          </cell>
        </row>
        <row r="22">
          <cell r="D22">
            <v>209.69604817788763</v>
          </cell>
          <cell r="F22">
            <v>12.603145045</v>
          </cell>
        </row>
        <row r="23">
          <cell r="D23">
            <v>726.48449825194098</v>
          </cell>
          <cell r="F23">
            <v>35.837389111900002</v>
          </cell>
        </row>
        <row r="24">
          <cell r="D24">
            <v>17.90709432440347</v>
          </cell>
          <cell r="F24">
            <v>4.7889923646376271</v>
          </cell>
        </row>
        <row r="25">
          <cell r="D25">
            <v>0.4</v>
          </cell>
          <cell r="F25">
            <v>0.4</v>
          </cell>
        </row>
        <row r="26">
          <cell r="D26">
            <v>36.200000000000003</v>
          </cell>
          <cell r="F26">
            <v>0</v>
          </cell>
        </row>
        <row r="27">
          <cell r="D27">
            <v>25.883346200999995</v>
          </cell>
          <cell r="F27">
            <v>1.7626758580000002</v>
          </cell>
        </row>
        <row r="28">
          <cell r="D28">
            <v>41.465764608400001</v>
          </cell>
          <cell r="F28">
            <v>1.6693735940000001</v>
          </cell>
        </row>
        <row r="29">
          <cell r="D29">
            <v>8.8275620232021357</v>
          </cell>
          <cell r="F29">
            <v>7.1450253930000009</v>
          </cell>
        </row>
        <row r="30">
          <cell r="D30">
            <v>815.14498069854949</v>
          </cell>
          <cell r="F30">
            <v>119.57929530899696</v>
          </cell>
        </row>
        <row r="31">
          <cell r="D31">
            <v>25.823883478368888</v>
          </cell>
          <cell r="F31">
            <v>6.9159479999999954E-2</v>
          </cell>
        </row>
        <row r="32">
          <cell r="D32">
            <v>0</v>
          </cell>
          <cell r="F32">
            <v>0</v>
          </cell>
        </row>
        <row r="56">
          <cell r="D56">
            <v>6230.1540224738919</v>
          </cell>
        </row>
        <row r="57">
          <cell r="D57">
            <v>3218.1217342149571</v>
          </cell>
        </row>
        <row r="58">
          <cell r="D58">
            <v>93.217495130068457</v>
          </cell>
        </row>
        <row r="59">
          <cell r="D59">
            <v>189.8295493912311</v>
          </cell>
        </row>
        <row r="60">
          <cell r="D60">
            <v>1779.4985883623642</v>
          </cell>
        </row>
        <row r="61">
          <cell r="D61">
            <v>125.54131174651295</v>
          </cell>
        </row>
        <row r="62">
          <cell r="D62">
            <v>823.94534362875822</v>
          </cell>
        </row>
        <row r="63">
          <cell r="D63">
            <v>1527.1589902619271</v>
          </cell>
        </row>
        <row r="66">
          <cell r="D66">
            <v>12865.977356201764</v>
          </cell>
        </row>
      </sheetData>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14">
          <cell r="C14">
            <v>44.394683996999994</v>
          </cell>
          <cell r="D14">
            <v>0</v>
          </cell>
        </row>
        <row r="18">
          <cell r="C18">
            <v>301.37646141499999</v>
          </cell>
          <cell r="D18">
            <v>1102.5549645564729</v>
          </cell>
        </row>
        <row r="23">
          <cell r="C23">
            <v>1245.0491382828545</v>
          </cell>
          <cell r="D23">
            <v>154.45599720827002</v>
          </cell>
        </row>
        <row r="24">
          <cell r="C24">
            <v>270.82943589500002</v>
          </cell>
          <cell r="D24">
            <v>77.513001676669987</v>
          </cell>
        </row>
        <row r="25">
          <cell r="C25">
            <v>244.80691114564965</v>
          </cell>
          <cell r="D25">
            <v>267.54530237912161</v>
          </cell>
        </row>
        <row r="26">
          <cell r="C26">
            <v>389.94855674200011</v>
          </cell>
          <cell r="D26">
            <v>334.08373895501927</v>
          </cell>
        </row>
        <row r="27">
          <cell r="C27">
            <v>2688.8780554220925</v>
          </cell>
          <cell r="D27">
            <v>1688.8838000732699</v>
          </cell>
        </row>
        <row r="28">
          <cell r="C28">
            <v>7684.0366035388224</v>
          </cell>
          <cell r="D28">
            <v>1201.5603022680698</v>
          </cell>
        </row>
        <row r="29">
          <cell r="C29">
            <v>458.88555948503006</v>
          </cell>
          <cell r="D29">
            <v>49.247419092620007</v>
          </cell>
        </row>
        <row r="30">
          <cell r="C30">
            <v>0</v>
          </cell>
          <cell r="D30">
            <v>0</v>
          </cell>
        </row>
        <row r="31">
          <cell r="C31">
            <v>0.9</v>
          </cell>
          <cell r="D31">
            <v>16.005358561865826</v>
          </cell>
        </row>
        <row r="33">
          <cell r="C33">
            <v>456.05136401421015</v>
          </cell>
          <cell r="D33">
            <v>36.910112369595552</v>
          </cell>
        </row>
        <row r="34">
          <cell r="C34">
            <v>2742.0302325036982</v>
          </cell>
          <cell r="D34">
            <v>194.11235295593832</v>
          </cell>
        </row>
        <row r="36">
          <cell r="C36">
            <v>1255.8056466533958</v>
          </cell>
          <cell r="D36">
            <v>-21.803484879650114</v>
          </cell>
        </row>
        <row r="37">
          <cell r="C37">
            <v>424.74505897411308</v>
          </cell>
          <cell r="D37">
            <v>433.56116525924278</v>
          </cell>
        </row>
        <row r="38">
          <cell r="C38">
            <v>18207.737708068868</v>
          </cell>
          <cell r="D38">
            <v>5534.6300304765055</v>
          </cell>
          <cell r="E38">
            <v>99.149184166694681</v>
          </cell>
          <cell r="F38">
            <v>5801.5485601350911</v>
          </cell>
          <cell r="G38">
            <v>12.354608310548906</v>
          </cell>
          <cell r="H38">
            <v>196.44494035325542</v>
          </cell>
          <cell r="I38">
            <v>17.005466596477614</v>
          </cell>
          <cell r="J38">
            <v>279.06664933548063</v>
          </cell>
          <cell r="K38">
            <v>55.695456204414668</v>
          </cell>
          <cell r="L38">
            <v>407.77047443297005</v>
          </cell>
          <cell r="M38">
            <v>1342.6284641083955</v>
          </cell>
          <cell r="N38">
            <v>4132.2610563274802</v>
          </cell>
          <cell r="O38">
            <v>672.10397931108378</v>
          </cell>
          <cell r="P38">
            <v>9252.1659033710966</v>
          </cell>
          <cell r="Q38">
            <v>46010.562481198365</v>
          </cell>
        </row>
        <row r="40">
          <cell r="Q40">
            <v>11597.809396239831</v>
          </cell>
        </row>
        <row r="68">
          <cell r="C68">
            <v>87.991018614102828</v>
          </cell>
          <cell r="D68">
            <v>64.519629970870696</v>
          </cell>
        </row>
        <row r="69">
          <cell r="C69">
            <v>4478.2073647994202</v>
          </cell>
          <cell r="D69">
            <v>9.420000001</v>
          </cell>
        </row>
        <row r="72">
          <cell r="C72">
            <v>383.97404970352363</v>
          </cell>
          <cell r="D72">
            <v>213.29577140754947</v>
          </cell>
        </row>
        <row r="76">
          <cell r="C76">
            <v>9318.8376855459683</v>
          </cell>
          <cell r="D76">
            <v>3591.635889949237</v>
          </cell>
        </row>
        <row r="77">
          <cell r="C77">
            <v>362.77854330399992</v>
          </cell>
          <cell r="D77">
            <v>1234.78830582713</v>
          </cell>
        </row>
        <row r="78">
          <cell r="C78">
            <v>0</v>
          </cell>
          <cell r="D78">
            <v>0</v>
          </cell>
        </row>
        <row r="79">
          <cell r="C79">
            <v>135.612958787</v>
          </cell>
          <cell r="D79">
            <v>88.715860306544016</v>
          </cell>
        </row>
        <row r="80">
          <cell r="C80">
            <v>44.437010961599995</v>
          </cell>
          <cell r="D80">
            <v>946.59739655449596</v>
          </cell>
        </row>
        <row r="81">
          <cell r="C81">
            <v>2542.7158290946008</v>
          </cell>
          <cell r="D81">
            <v>1108.0862830094159</v>
          </cell>
        </row>
        <row r="82">
          <cell r="C82">
            <v>6190.6017433437664</v>
          </cell>
          <cell r="D82">
            <v>174.94804425165162</v>
          </cell>
        </row>
        <row r="83">
          <cell r="C83">
            <v>42.691600055000016</v>
          </cell>
          <cell r="D83">
            <v>38.5</v>
          </cell>
        </row>
        <row r="84">
          <cell r="E84">
            <v>0</v>
          </cell>
          <cell r="F84">
            <v>117.86506152181389</v>
          </cell>
          <cell r="G84">
            <v>0</v>
          </cell>
          <cell r="H84">
            <v>378.43906218010767</v>
          </cell>
          <cell r="I84">
            <v>0</v>
          </cell>
          <cell r="J84">
            <v>283.61464079324969</v>
          </cell>
          <cell r="K84">
            <v>0</v>
          </cell>
          <cell r="L84">
            <v>2372.3679822219847</v>
          </cell>
          <cell r="M84">
            <v>0</v>
          </cell>
          <cell r="N84">
            <v>1207.4566477436879</v>
          </cell>
          <cell r="O84">
            <v>1.0335788000000001</v>
          </cell>
          <cell r="P84">
            <v>2535.6827686982269</v>
          </cell>
        </row>
        <row r="86">
          <cell r="C86">
            <v>4131.3668732061897</v>
          </cell>
          <cell r="D86">
            <v>3253.3212791067281</v>
          </cell>
        </row>
        <row r="89">
          <cell r="C89">
            <v>3.7399999988000004E-7</v>
          </cell>
          <cell r="D89">
            <v>303.78087155449151</v>
          </cell>
        </row>
        <row r="92">
          <cell r="C92">
            <v>469.90766791500016</v>
          </cell>
          <cell r="D92">
            <v>122.80001359455053</v>
          </cell>
        </row>
        <row r="93">
          <cell r="C93">
            <v>0.89997974797523161</v>
          </cell>
          <cell r="D93">
            <v>18.21947165476724</v>
          </cell>
        </row>
        <row r="95">
          <cell r="C95">
            <v>873.1092228398943</v>
          </cell>
          <cell r="D95">
            <v>734.4065935618745</v>
          </cell>
        </row>
        <row r="96">
          <cell r="C96">
            <v>198.2634155984988</v>
          </cell>
          <cell r="D96">
            <v>8.6743376774499996</v>
          </cell>
        </row>
        <row r="97">
          <cell r="C97">
            <v>710.90456145340841</v>
          </cell>
          <cell r="D97">
            <v>354.80902464615303</v>
          </cell>
        </row>
        <row r="98">
          <cell r="C98">
            <v>20653.461839797983</v>
          </cell>
          <cell r="D98">
            <v>8674.8828831246719</v>
          </cell>
          <cell r="E98">
            <v>76.349598545766014</v>
          </cell>
          <cell r="F98">
            <v>1997.1591079704251</v>
          </cell>
          <cell r="G98">
            <v>2.7812565000000004E-2</v>
          </cell>
          <cell r="H98">
            <v>502.5316049837337</v>
          </cell>
          <cell r="I98">
            <v>2.7449882999999994E-2</v>
          </cell>
          <cell r="J98">
            <v>887.54169919279423</v>
          </cell>
          <cell r="K98">
            <v>52.340683816999999</v>
          </cell>
          <cell r="L98">
            <v>3038.6063500061264</v>
          </cell>
          <cell r="M98">
            <v>5.1731194819999997</v>
          </cell>
          <cell r="N98">
            <v>2305.0062485062231</v>
          </cell>
          <cell r="O98">
            <v>36.943591388999998</v>
          </cell>
          <cell r="P98">
            <v>7780.3505553342702</v>
          </cell>
          <cell r="Q98">
            <v>46010.402544597993</v>
          </cell>
        </row>
        <row r="100">
          <cell r="Q100">
            <v>11602.198629027729</v>
          </cell>
        </row>
      </sheetData>
      <sheetData sheetId="1">
        <row r="15">
          <cell r="C15">
            <v>912.847339723</v>
          </cell>
          <cell r="D15">
            <v>270.82943589500002</v>
          </cell>
          <cell r="F15">
            <v>389.82728051200002</v>
          </cell>
          <cell r="I15">
            <v>12605.080539874249</v>
          </cell>
          <cell r="K15">
            <v>295.49296050623366</v>
          </cell>
        </row>
        <row r="16">
          <cell r="E16">
            <v>145.91961548864967</v>
          </cell>
          <cell r="G16">
            <v>1324.8736865584854</v>
          </cell>
          <cell r="H16">
            <v>957.18867359315323</v>
          </cell>
        </row>
        <row r="17">
          <cell r="E17">
            <v>0.80777154399999995</v>
          </cell>
          <cell r="G17">
            <v>101.02607729499996</v>
          </cell>
          <cell r="H17">
            <v>3440.187961990609</v>
          </cell>
        </row>
        <row r="18">
          <cell r="E18">
            <v>98.081625320000001</v>
          </cell>
          <cell r="G18">
            <v>1231.3628272046137</v>
          </cell>
          <cell r="H18">
            <v>3732.1282447497379</v>
          </cell>
        </row>
        <row r="19">
          <cell r="E19">
            <v>0</v>
          </cell>
          <cell r="G19">
            <v>0</v>
          </cell>
          <cell r="H19">
            <v>0</v>
          </cell>
        </row>
        <row r="20">
          <cell r="I20">
            <v>0</v>
          </cell>
        </row>
        <row r="21">
          <cell r="I21">
            <v>377.92252872385461</v>
          </cell>
        </row>
        <row r="23">
          <cell r="C23">
            <v>154.45599720826999</v>
          </cell>
          <cell r="D23">
            <v>77.513001676670001</v>
          </cell>
          <cell r="F23">
            <v>332.42573895501926</v>
          </cell>
          <cell r="I23">
            <v>3770.8519911372659</v>
          </cell>
          <cell r="K23">
            <v>5769.806711424294</v>
          </cell>
        </row>
        <row r="24">
          <cell r="E24">
            <v>81.911603120953714</v>
          </cell>
          <cell r="G24">
            <v>468.64346710550399</v>
          </cell>
          <cell r="H24">
            <v>133.40301559776404</v>
          </cell>
        </row>
        <row r="25">
          <cell r="E25">
            <v>2.6262194560000003</v>
          </cell>
          <cell r="G25">
            <v>88.560566500967127</v>
          </cell>
          <cell r="H25">
            <v>118.19043706416346</v>
          </cell>
        </row>
        <row r="26">
          <cell r="E26">
            <v>183.00797885216798</v>
          </cell>
          <cell r="G26">
            <v>1131.4364022357993</v>
          </cell>
          <cell r="H26">
            <v>998.67756336398736</v>
          </cell>
        </row>
        <row r="27">
          <cell r="E27">
            <v>0</v>
          </cell>
          <cell r="G27">
            <v>0</v>
          </cell>
          <cell r="H27">
            <v>0</v>
          </cell>
        </row>
        <row r="28">
          <cell r="I28">
            <v>0</v>
          </cell>
        </row>
        <row r="29">
          <cell r="I29">
            <v>2.4279999999999999</v>
          </cell>
        </row>
      </sheetData>
      <sheetData sheetId="2">
        <row r="15">
          <cell r="AX15">
            <v>4652.658519444125</v>
          </cell>
        </row>
        <row r="69">
          <cell r="AX69">
            <v>509.40736569747617</v>
          </cell>
        </row>
        <row r="86">
          <cell r="AX86">
            <v>0</v>
          </cell>
        </row>
        <row r="90">
          <cell r="AX90">
            <v>27.752376993999999</v>
          </cell>
        </row>
        <row r="105">
          <cell r="AX105">
            <v>116.41703184400001</v>
          </cell>
        </row>
        <row r="118">
          <cell r="AX118">
            <v>0.64034291599999993</v>
          </cell>
        </row>
        <row r="120">
          <cell r="AX120">
            <v>127.52606101799998</v>
          </cell>
        </row>
        <row r="122">
          <cell r="AX122">
            <v>0.9231343139999999</v>
          </cell>
        </row>
        <row r="130">
          <cell r="AX130">
            <v>211.56342485617418</v>
          </cell>
        </row>
        <row r="141">
          <cell r="AX141">
            <v>741.40309909733628</v>
          </cell>
        </row>
        <row r="170">
          <cell r="AX170">
            <v>9.3424539999998352E-3</v>
          </cell>
        </row>
        <row r="186">
          <cell r="D186">
            <v>919.15111938252141</v>
          </cell>
          <cell r="E186">
            <v>13.271187059087193</v>
          </cell>
          <cell r="F186">
            <v>0</v>
          </cell>
          <cell r="G186">
            <v>0.27220233655262005</v>
          </cell>
          <cell r="H186">
            <v>0.1</v>
          </cell>
          <cell r="I186">
            <v>547.85579066399998</v>
          </cell>
          <cell r="J186">
            <v>84.805028224978784</v>
          </cell>
          <cell r="K186">
            <v>3378.5111974294878</v>
          </cell>
          <cell r="L186">
            <v>101.24785600305681</v>
          </cell>
          <cell r="M186">
            <v>26.716316426869724</v>
          </cell>
          <cell r="N186">
            <v>89.066450717392172</v>
          </cell>
          <cell r="O186">
            <v>1.0636250465959023</v>
          </cell>
          <cell r="P186">
            <v>12759.849068936488</v>
          </cell>
          <cell r="Q186">
            <v>153.7857985125851</v>
          </cell>
          <cell r="S186">
            <v>109.81257631356688</v>
          </cell>
          <cell r="T186">
            <v>8.9456975679999648E-2</v>
          </cell>
          <cell r="U186">
            <v>1.3207290000000001E-3</v>
          </cell>
          <cell r="V186">
            <v>1.0201247801800002</v>
          </cell>
          <cell r="W186">
            <v>8.4439498000009913E-4</v>
          </cell>
          <cell r="X186">
            <v>143.74341957328346</v>
          </cell>
          <cell r="Y186">
            <v>47.438755417479996</v>
          </cell>
          <cell r="Z186">
            <v>410.53379712903711</v>
          </cell>
          <cell r="AA186">
            <v>25.981479079501607</v>
          </cell>
          <cell r="AB186">
            <v>6.6557584468174669E-2</v>
          </cell>
          <cell r="AC186">
            <v>4.3687212459001099</v>
          </cell>
          <cell r="AD186">
            <v>0.10635733267600755</v>
          </cell>
          <cell r="AE186">
            <v>732.96854748719431</v>
          </cell>
          <cell r="AF186">
            <v>20.425178421670843</v>
          </cell>
          <cell r="AI186">
            <v>30.468396326860699</v>
          </cell>
          <cell r="AJ186">
            <v>1.5935320416694413E-3</v>
          </cell>
          <cell r="AK186">
            <v>0</v>
          </cell>
          <cell r="AL186">
            <v>0</v>
          </cell>
          <cell r="AM186">
            <v>0</v>
          </cell>
          <cell r="AN186">
            <v>211.46159592079164</v>
          </cell>
          <cell r="AO186">
            <v>0</v>
          </cell>
          <cell r="AP186">
            <v>113.99326263798336</v>
          </cell>
          <cell r="AQ186">
            <v>2.0731416782555724E-2</v>
          </cell>
          <cell r="AR186">
            <v>0</v>
          </cell>
          <cell r="AS186">
            <v>7.1095112459358147E-4</v>
          </cell>
          <cell r="AT186">
            <v>0</v>
          </cell>
          <cell r="AU186">
            <v>3814.1646639363007</v>
          </cell>
          <cell r="AV186">
            <v>2.4173211495285868E-2</v>
          </cell>
          <cell r="AX186">
            <v>23742.387905137617</v>
          </cell>
        </row>
        <row r="187">
          <cell r="AX187">
            <v>512.30772588210721</v>
          </cell>
        </row>
        <row r="188">
          <cell r="AX188">
            <v>1002.3486830313127</v>
          </cell>
        </row>
        <row r="189">
          <cell r="AX189">
            <v>5900.7129436177856</v>
          </cell>
        </row>
        <row r="190">
          <cell r="AX190">
            <v>208.82566944080435</v>
          </cell>
        </row>
        <row r="191">
          <cell r="AX191">
            <v>296.08203786595817</v>
          </cell>
        </row>
        <row r="192">
          <cell r="AX192">
            <v>463.43856119858458</v>
          </cell>
        </row>
        <row r="193">
          <cell r="AX193">
            <v>5474.9158931670281</v>
          </cell>
        </row>
        <row r="199">
          <cell r="AX199">
            <v>346.05154567369664</v>
          </cell>
        </row>
        <row r="200">
          <cell r="AX200">
            <v>24.502107089717249</v>
          </cell>
        </row>
        <row r="201">
          <cell r="AX201">
            <v>55.934104637857132</v>
          </cell>
        </row>
        <row r="202">
          <cell r="AX202">
            <v>0.473337012</v>
          </cell>
        </row>
        <row r="203">
          <cell r="AX203">
            <v>166.35385555899992</v>
          </cell>
        </row>
        <row r="204">
          <cell r="AX204">
            <v>724.496264652018</v>
          </cell>
        </row>
        <row r="229">
          <cell r="AX229">
            <v>556.879584684159</v>
          </cell>
        </row>
        <row r="272">
          <cell r="D272">
            <v>6960.506563248874</v>
          </cell>
          <cell r="E272">
            <v>455.71763623774171</v>
          </cell>
          <cell r="F272">
            <v>0.85369140264261512</v>
          </cell>
          <cell r="G272">
            <v>203.69770561808207</v>
          </cell>
          <cell r="H272">
            <v>0.1046247382298742</v>
          </cell>
          <cell r="I272">
            <v>1938.3453678276494</v>
          </cell>
          <cell r="J272">
            <v>1741.8889860913487</v>
          </cell>
          <cell r="K272">
            <v>6766.7516407410112</v>
          </cell>
          <cell r="L272">
            <v>1302.4768733987894</v>
          </cell>
          <cell r="M272">
            <v>26.717410624727535</v>
          </cell>
          <cell r="N272">
            <v>332.50218621192971</v>
          </cell>
          <cell r="O272">
            <v>1.3606695602608521</v>
          </cell>
          <cell r="P272">
            <v>13051.420543728724</v>
          </cell>
          <cell r="Q272">
            <v>912.74540389353967</v>
          </cell>
          <cell r="S272">
            <v>3531.1946087422666</v>
          </cell>
          <cell r="T272">
            <v>112.81131073200994</v>
          </cell>
          <cell r="U272">
            <v>1.3207290000000001E-3</v>
          </cell>
          <cell r="V272">
            <v>25.69739164442213</v>
          </cell>
          <cell r="W272">
            <v>0.50303798572400149</v>
          </cell>
          <cell r="X272">
            <v>191.87004676583132</v>
          </cell>
          <cell r="Y272">
            <v>45.28946443979391</v>
          </cell>
          <cell r="Z272">
            <v>662.42533082104876</v>
          </cell>
          <cell r="AA272">
            <v>28.140302871649364</v>
          </cell>
          <cell r="AB272">
            <v>6.6557596553224671E-2</v>
          </cell>
          <cell r="AC272">
            <v>5.1852432582482342</v>
          </cell>
          <cell r="AD272">
            <v>35.79533757145407</v>
          </cell>
          <cell r="AE272">
            <v>736.25263498827098</v>
          </cell>
          <cell r="AF272">
            <v>33.216730755457625</v>
          </cell>
          <cell r="AI272">
            <v>2259.6274388237684</v>
          </cell>
          <cell r="AJ272">
            <v>-0.21293510271915006</v>
          </cell>
          <cell r="AK272">
            <v>-2.0967066536047555E-4</v>
          </cell>
          <cell r="AL272">
            <v>0.26944612626330489</v>
          </cell>
          <cell r="AM272">
            <v>-7.5135736223295784E-4</v>
          </cell>
          <cell r="AN272">
            <v>492.16264877469166</v>
          </cell>
          <cell r="AO272">
            <v>2.2427775098981195</v>
          </cell>
          <cell r="AP272">
            <v>143.35842155027015</v>
          </cell>
          <cell r="AQ272">
            <v>2.6427464004404002</v>
          </cell>
          <cell r="AR272">
            <v>0</v>
          </cell>
          <cell r="AS272">
            <v>0.20416278457807949</v>
          </cell>
          <cell r="AT272">
            <v>0</v>
          </cell>
          <cell r="AU272">
            <v>3996.6338108525088</v>
          </cell>
          <cell r="AV272">
            <v>10.173022952933142</v>
          </cell>
        </row>
      </sheetData>
      <sheetData sheetId="3">
        <row r="15">
          <cell r="AH15">
            <v>2949.351944459343</v>
          </cell>
        </row>
        <row r="69">
          <cell r="AH69">
            <v>1033.5142947774311</v>
          </cell>
        </row>
        <row r="86">
          <cell r="AH86">
            <v>0</v>
          </cell>
        </row>
        <row r="90">
          <cell r="AH90">
            <v>0</v>
          </cell>
        </row>
        <row r="105">
          <cell r="AH105">
            <v>0</v>
          </cell>
        </row>
        <row r="118">
          <cell r="AH118">
            <v>1.1813080000000001E-3</v>
          </cell>
        </row>
        <row r="120">
          <cell r="AH120">
            <v>0</v>
          </cell>
        </row>
        <row r="122">
          <cell r="AH122">
            <v>4.9709999999999995E-6</v>
          </cell>
        </row>
        <row r="130">
          <cell r="AH130">
            <v>1185.0242751705068</v>
          </cell>
        </row>
        <row r="141">
          <cell r="AH141">
            <v>899.91440336679398</v>
          </cell>
        </row>
        <row r="170">
          <cell r="AH170">
            <v>55.398408363069997</v>
          </cell>
        </row>
        <row r="186">
          <cell r="D186">
            <v>239.61116637392703</v>
          </cell>
          <cell r="E186">
            <v>49.114491193185025</v>
          </cell>
          <cell r="F186">
            <v>0</v>
          </cell>
          <cell r="G186">
            <v>0</v>
          </cell>
          <cell r="H186">
            <v>0</v>
          </cell>
          <cell r="I186">
            <v>804.89429174899988</v>
          </cell>
          <cell r="J186">
            <v>7.3614280579999996</v>
          </cell>
          <cell r="K186">
            <v>3591.549064556325</v>
          </cell>
          <cell r="L186">
            <v>7.7535077029570321</v>
          </cell>
          <cell r="M186">
            <v>1.40229184660613</v>
          </cell>
          <cell r="N186">
            <v>-36.222465395027342</v>
          </cell>
          <cell r="O186">
            <v>31.71479427553659</v>
          </cell>
          <cell r="P186">
            <v>9674.2876575720111</v>
          </cell>
          <cell r="Q186">
            <v>12.755272909833115</v>
          </cell>
          <cell r="S186">
            <v>1768.019336658168</v>
          </cell>
          <cell r="T186">
            <v>8.1480023446601351</v>
          </cell>
          <cell r="U186">
            <v>4.589100000000008E-5</v>
          </cell>
          <cell r="V186">
            <v>17.143362495490003</v>
          </cell>
          <cell r="W186">
            <v>0.83129459704081188</v>
          </cell>
          <cell r="X186">
            <v>5721.5181630025118</v>
          </cell>
          <cell r="Y186">
            <v>7.5458658214999526</v>
          </cell>
          <cell r="Z186">
            <v>2679.3714939877559</v>
          </cell>
          <cell r="AA186">
            <v>161.84408360667237</v>
          </cell>
          <cell r="AB186">
            <v>5.2453489121340513E-2</v>
          </cell>
          <cell r="AC186">
            <v>25.100239416233521</v>
          </cell>
          <cell r="AD186">
            <v>6.4811822801481317E-2</v>
          </cell>
          <cell r="AE186">
            <v>4430.8876292089735</v>
          </cell>
          <cell r="AF186">
            <v>123.6538285528809</v>
          </cell>
          <cell r="AH186">
            <v>29328.402111737163</v>
          </cell>
        </row>
        <row r="187">
          <cell r="AH187">
            <v>0</v>
          </cell>
        </row>
        <row r="188">
          <cell r="AH188">
            <v>195.14334394388396</v>
          </cell>
        </row>
        <row r="189">
          <cell r="AH189">
            <v>2073.4945931893167</v>
          </cell>
        </row>
        <row r="190">
          <cell r="AH190">
            <v>502.53334728853633</v>
          </cell>
        </row>
        <row r="191">
          <cell r="AH191">
            <v>887.5960178070784</v>
          </cell>
        </row>
        <row r="192">
          <cell r="AH192">
            <v>3090.8883147525412</v>
          </cell>
        </row>
        <row r="193">
          <cell r="AH193">
            <v>2310.2019482577666</v>
          </cell>
        </row>
        <row r="199">
          <cell r="AH199">
            <v>74.531308983428787</v>
          </cell>
        </row>
        <row r="200">
          <cell r="AH200">
            <v>1.5252737750000001</v>
          </cell>
        </row>
        <row r="201">
          <cell r="AH201">
            <v>0</v>
          </cell>
        </row>
        <row r="202">
          <cell r="AH202">
            <v>0</v>
          </cell>
        </row>
        <row r="203">
          <cell r="AH203">
            <v>-1.8424671999999996E-2</v>
          </cell>
        </row>
        <row r="204">
          <cell r="AH204">
            <v>978.55362644523439</v>
          </cell>
        </row>
        <row r="229">
          <cell r="AH229">
            <v>314.94904227387076</v>
          </cell>
        </row>
        <row r="272">
          <cell r="D272">
            <v>1696.9756262619703</v>
          </cell>
          <cell r="E272">
            <v>266.1976494103053</v>
          </cell>
          <cell r="F272">
            <v>75.071363955999999</v>
          </cell>
          <cell r="G272">
            <v>31.519115343351018</v>
          </cell>
          <cell r="H272">
            <v>0.56639881399999992</v>
          </cell>
          <cell r="I272">
            <v>806.33067169999993</v>
          </cell>
          <cell r="J272">
            <v>194.01507315968178</v>
          </cell>
          <cell r="K272">
            <v>6419.1461997131109</v>
          </cell>
          <cell r="L272">
            <v>465.20683260419116</v>
          </cell>
          <cell r="M272">
            <v>7.4321660864891301</v>
          </cell>
          <cell r="N272">
            <v>359.18561973594399</v>
          </cell>
          <cell r="O272">
            <v>65.533954073571095</v>
          </cell>
          <cell r="P272">
            <v>9841.5728600917773</v>
          </cell>
          <cell r="Q272">
            <v>1308.4602555832009</v>
          </cell>
          <cell r="S272">
            <v>4477.4703517308371</v>
          </cell>
          <cell r="T272">
            <v>251.75950050691847</v>
          </cell>
          <cell r="U272">
            <v>9.4496908619572899</v>
          </cell>
          <cell r="V272">
            <v>31.768891313453057</v>
          </cell>
          <cell r="W272">
            <v>1.1490022314225652</v>
          </cell>
          <cell r="X272">
            <v>5732.0752740715116</v>
          </cell>
          <cell r="Y272">
            <v>280.27157456981445</v>
          </cell>
          <cell r="Z272">
            <v>8643.1539503163349</v>
          </cell>
          <cell r="AA272">
            <v>342.40716291822349</v>
          </cell>
          <cell r="AB272">
            <v>5.2453501206390515E-2</v>
          </cell>
          <cell r="AC272">
            <v>86.740520178000267</v>
          </cell>
          <cell r="AD272">
            <v>0.12409319748408092</v>
          </cell>
          <cell r="AE272">
            <v>4444.3173769679734</v>
          </cell>
          <cell r="AF272">
            <v>172.60453273378323</v>
          </cell>
          <cell r="AH272">
            <v>46010.558161632514</v>
          </cell>
        </row>
      </sheetData>
      <sheetData sheetId="4">
        <row r="14">
          <cell r="D14">
            <v>20406.634829216309</v>
          </cell>
          <cell r="G14">
            <v>20824.277673948007</v>
          </cell>
        </row>
        <row r="16">
          <cell r="D16">
            <v>20323.806028297418</v>
          </cell>
          <cell r="G16">
            <v>21236.75655071756</v>
          </cell>
        </row>
        <row r="17">
          <cell r="D17">
            <v>567.5571324903807</v>
          </cell>
          <cell r="G17">
            <v>509.2138046507593</v>
          </cell>
        </row>
        <row r="18">
          <cell r="D18">
            <v>27.638895165081824</v>
          </cell>
          <cell r="G18">
            <v>92.005062208950392</v>
          </cell>
        </row>
        <row r="19">
          <cell r="D19">
            <v>37.761642942971839</v>
          </cell>
          <cell r="G19">
            <v>67.374384121075153</v>
          </cell>
        </row>
        <row r="20">
          <cell r="D20">
            <v>1901.576050988383</v>
          </cell>
          <cell r="G20">
            <v>1325.6858230153885</v>
          </cell>
        </row>
        <row r="21">
          <cell r="D21">
            <v>657.36073855766995</v>
          </cell>
          <cell r="G21">
            <v>172.48679834592588</v>
          </cell>
        </row>
        <row r="22">
          <cell r="D22">
            <v>1843.3746861384602</v>
          </cell>
          <cell r="G22">
            <v>1583.1831680730263</v>
          </cell>
        </row>
        <row r="23">
          <cell r="D23">
            <v>244.83771014451497</v>
          </cell>
          <cell r="G23">
            <v>199.41339796973256</v>
          </cell>
        </row>
        <row r="24">
          <cell r="G24">
            <v>46010.396663050422</v>
          </cell>
        </row>
      </sheetData>
      <sheetData sheetId="5">
        <row r="11">
          <cell r="D11">
            <v>5075.9196525177776</v>
          </cell>
          <cell r="F11">
            <v>466.87736050581231</v>
          </cell>
        </row>
        <row r="12">
          <cell r="D12">
            <v>34.53480555185466</v>
          </cell>
          <cell r="F12">
            <v>1.4909770869999999</v>
          </cell>
        </row>
        <row r="13">
          <cell r="D13">
            <v>76.090747768779465</v>
          </cell>
          <cell r="F13">
            <v>0</v>
          </cell>
        </row>
        <row r="14">
          <cell r="D14">
            <v>1075.9160977788147</v>
          </cell>
          <cell r="F14">
            <v>28.402431345515133</v>
          </cell>
        </row>
        <row r="15">
          <cell r="D15">
            <v>239.87108823289876</v>
          </cell>
          <cell r="F15">
            <v>0.86853567700000012</v>
          </cell>
        </row>
        <row r="16">
          <cell r="D16">
            <v>43.853043459229745</v>
          </cell>
          <cell r="F16">
            <v>0</v>
          </cell>
        </row>
        <row r="17">
          <cell r="D17">
            <v>696.29280018452857</v>
          </cell>
          <cell r="F17">
            <v>114.220088299</v>
          </cell>
        </row>
        <row r="18">
          <cell r="D18">
            <v>570.06695056975695</v>
          </cell>
          <cell r="F18">
            <v>101.17160031897228</v>
          </cell>
        </row>
        <row r="19">
          <cell r="D19">
            <v>62.673111181213145</v>
          </cell>
          <cell r="F19">
            <v>6.4438968659999976</v>
          </cell>
        </row>
        <row r="20">
          <cell r="D20">
            <v>199.20890957481311</v>
          </cell>
          <cell r="F20">
            <v>25.583463386000002</v>
          </cell>
        </row>
        <row r="21">
          <cell r="D21">
            <v>134.65026126885482</v>
          </cell>
          <cell r="F21">
            <v>1.0702306439999993</v>
          </cell>
        </row>
        <row r="22">
          <cell r="D22">
            <v>224.48782085476111</v>
          </cell>
          <cell r="F22">
            <v>13.175605287</v>
          </cell>
        </row>
        <row r="23">
          <cell r="D23">
            <v>725.01597621177211</v>
          </cell>
          <cell r="F23">
            <v>36.037224465150004</v>
          </cell>
        </row>
        <row r="24">
          <cell r="D24">
            <v>18.09441083514756</v>
          </cell>
          <cell r="F24">
            <v>4.8458028288299992</v>
          </cell>
        </row>
        <row r="25">
          <cell r="D25">
            <v>0.4</v>
          </cell>
          <cell r="F25">
            <v>0.4</v>
          </cell>
        </row>
        <row r="26">
          <cell r="D26">
            <v>36.07</v>
          </cell>
          <cell r="F26">
            <v>0</v>
          </cell>
        </row>
        <row r="27">
          <cell r="D27">
            <v>25.823773007000003</v>
          </cell>
          <cell r="F27">
            <v>1.7288554009999999</v>
          </cell>
        </row>
        <row r="28">
          <cell r="D28">
            <v>41.394033702400009</v>
          </cell>
          <cell r="F28">
            <v>2.2316378229999998</v>
          </cell>
        </row>
        <row r="29">
          <cell r="D29">
            <v>8.7706346337326266</v>
          </cell>
          <cell r="F29">
            <v>7.1892028149999998</v>
          </cell>
        </row>
        <row r="30">
          <cell r="D30">
            <v>838.38719872248134</v>
          </cell>
          <cell r="F30">
            <v>121.9487038903449</v>
          </cell>
        </row>
        <row r="31">
          <cell r="D31">
            <v>24.317988979738207</v>
          </cell>
          <cell r="F31">
            <v>6.9104371999999942E-2</v>
          </cell>
        </row>
        <row r="32">
          <cell r="D32">
            <v>0</v>
          </cell>
          <cell r="F32">
            <v>0</v>
          </cell>
        </row>
        <row r="56">
          <cell r="D56">
            <v>6237.0304242453431</v>
          </cell>
        </row>
        <row r="57">
          <cell r="D57">
            <v>3232.242842137985</v>
          </cell>
        </row>
        <row r="58">
          <cell r="D58">
            <v>93.105461177317537</v>
          </cell>
        </row>
        <row r="59">
          <cell r="D59">
            <v>187.77083287395408</v>
          </cell>
        </row>
        <row r="60">
          <cell r="D60">
            <v>1782.8508528333709</v>
          </cell>
        </row>
        <row r="61">
          <cell r="D61">
            <v>128.8074119319229</v>
          </cell>
        </row>
        <row r="62">
          <cell r="D62">
            <v>812.25302329079364</v>
          </cell>
        </row>
        <row r="63">
          <cell r="D63">
            <v>1597.5575825720748</v>
          </cell>
        </row>
        <row r="66">
          <cell r="D66">
            <v>12910.507659335195</v>
          </cell>
        </row>
      </sheetData>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1"/>
      <sheetName val="2"/>
      <sheetName val="3A"/>
      <sheetName val="3B"/>
      <sheetName val="4"/>
      <sheetName val="5"/>
      <sheetName val="6A"/>
      <sheetName val="6B"/>
      <sheetName val="7"/>
      <sheetName val="8"/>
    </sheetNames>
    <sheetDataSet>
      <sheetData sheetId="0">
        <row r="14">
          <cell r="C14">
            <v>47.662931798999999</v>
          </cell>
          <cell r="D14">
            <v>0</v>
          </cell>
        </row>
        <row r="18">
          <cell r="C18">
            <v>348.73080447299998</v>
          </cell>
          <cell r="D18">
            <v>1124.557821928282</v>
          </cell>
        </row>
        <row r="23">
          <cell r="C23">
            <v>1299.3092416566819</v>
          </cell>
          <cell r="D23">
            <v>180.53066125383998</v>
          </cell>
        </row>
        <row r="24">
          <cell r="C24">
            <v>386.39128194199998</v>
          </cell>
          <cell r="D24">
            <v>72.877097162790008</v>
          </cell>
        </row>
        <row r="25">
          <cell r="C25">
            <v>337.56774408431187</v>
          </cell>
          <cell r="D25">
            <v>262.04957603768247</v>
          </cell>
        </row>
        <row r="26">
          <cell r="C26">
            <v>477.97514302602002</v>
          </cell>
          <cell r="D26">
            <v>626.26522867027404</v>
          </cell>
        </row>
        <row r="27">
          <cell r="C27">
            <v>2643.472979135955</v>
          </cell>
          <cell r="D27">
            <v>1634.7366879140893</v>
          </cell>
        </row>
        <row r="28">
          <cell r="C28">
            <v>7607.7853651309742</v>
          </cell>
          <cell r="D28">
            <v>1210.6128444130072</v>
          </cell>
        </row>
        <row r="29">
          <cell r="C29">
            <v>378.58191023403003</v>
          </cell>
          <cell r="D29">
            <v>51.101045268620005</v>
          </cell>
        </row>
        <row r="30">
          <cell r="C30">
            <v>0</v>
          </cell>
          <cell r="D30">
            <v>0</v>
          </cell>
        </row>
        <row r="31">
          <cell r="C31">
            <v>3.8000000000000003</v>
          </cell>
          <cell r="D31">
            <v>19.382417712152211</v>
          </cell>
        </row>
        <row r="33">
          <cell r="C33">
            <v>344.23110699735997</v>
          </cell>
          <cell r="D33">
            <v>27.948368725798687</v>
          </cell>
        </row>
        <row r="34">
          <cell r="C34">
            <v>2748.0474100083975</v>
          </cell>
          <cell r="D34">
            <v>194.37138357393829</v>
          </cell>
        </row>
        <row r="36">
          <cell r="C36">
            <v>1025.2833017228138</v>
          </cell>
          <cell r="D36">
            <v>-61.988045322383762</v>
          </cell>
        </row>
        <row r="37">
          <cell r="C37">
            <v>518.20347151781436</v>
          </cell>
          <cell r="D37">
            <v>487.70415942644433</v>
          </cell>
        </row>
        <row r="38">
          <cell r="C38">
            <v>18167.042691728362</v>
          </cell>
          <cell r="D38">
            <v>5830.1492467645348</v>
          </cell>
          <cell r="E38">
            <v>109.4059733523317</v>
          </cell>
          <cell r="F38">
            <v>6218.9840089783102</v>
          </cell>
          <cell r="G38">
            <v>14.675867437136274</v>
          </cell>
          <cell r="H38">
            <v>87.809765326175935</v>
          </cell>
          <cell r="I38">
            <v>20.266447844410674</v>
          </cell>
          <cell r="J38">
            <v>236.73735163495601</v>
          </cell>
          <cell r="K38">
            <v>54.121939412197364</v>
          </cell>
          <cell r="L38">
            <v>437.02207090169503</v>
          </cell>
          <cell r="M38">
            <v>2208.4492641699121</v>
          </cell>
          <cell r="N38">
            <v>4257.0557329415642</v>
          </cell>
          <cell r="O38">
            <v>669.42558737451873</v>
          </cell>
          <cell r="P38">
            <v>8526.2337115340379</v>
          </cell>
          <cell r="Q38">
            <v>46837.379659400147</v>
          </cell>
        </row>
        <row r="40">
          <cell r="Q40">
            <v>8923.175604346523</v>
          </cell>
        </row>
        <row r="68">
          <cell r="C68">
            <v>132.5190293881767</v>
          </cell>
          <cell r="D68">
            <v>97.475769274090013</v>
          </cell>
        </row>
        <row r="69">
          <cell r="C69">
            <v>5206.0928229830861</v>
          </cell>
          <cell r="D69">
            <v>14.120000000999999</v>
          </cell>
        </row>
        <row r="72">
          <cell r="C72">
            <v>510.42126954494552</v>
          </cell>
          <cell r="D72">
            <v>333.53404166890198</v>
          </cell>
        </row>
        <row r="76">
          <cell r="C76">
            <v>9487.6978960676588</v>
          </cell>
          <cell r="D76">
            <v>3747.6060811199995</v>
          </cell>
        </row>
        <row r="77">
          <cell r="C77">
            <v>461.06593383100005</v>
          </cell>
          <cell r="D77">
            <v>1206.93338982043</v>
          </cell>
        </row>
        <row r="78">
          <cell r="C78">
            <v>0</v>
          </cell>
          <cell r="D78">
            <v>0</v>
          </cell>
        </row>
        <row r="79">
          <cell r="C79">
            <v>115.162819496</v>
          </cell>
          <cell r="D79">
            <v>108.53856411943498</v>
          </cell>
        </row>
        <row r="80">
          <cell r="C80">
            <v>146.35017726325</v>
          </cell>
          <cell r="D80">
            <v>1020.230827046666</v>
          </cell>
        </row>
        <row r="81">
          <cell r="C81">
            <v>2555.8663981762661</v>
          </cell>
          <cell r="D81">
            <v>1186.929835384622</v>
          </cell>
        </row>
        <row r="82">
          <cell r="C82">
            <v>6165.5961732581418</v>
          </cell>
          <cell r="D82">
            <v>186.27346474884658</v>
          </cell>
        </row>
        <row r="83">
          <cell r="C83">
            <v>43.656394042999956</v>
          </cell>
          <cell r="D83">
            <v>38.700000000000003</v>
          </cell>
        </row>
        <row r="84">
          <cell r="E84">
            <v>0</v>
          </cell>
          <cell r="F84">
            <v>122.7637082221308</v>
          </cell>
          <cell r="G84">
            <v>0</v>
          </cell>
          <cell r="H84">
            <v>368.95824333039496</v>
          </cell>
          <cell r="I84">
            <v>0</v>
          </cell>
          <cell r="J84">
            <v>278.43360686102881</v>
          </cell>
          <cell r="K84">
            <v>0</v>
          </cell>
          <cell r="L84">
            <v>2334.9907123861731</v>
          </cell>
          <cell r="M84">
            <v>0</v>
          </cell>
          <cell r="N84">
            <v>1126.3348238411113</v>
          </cell>
          <cell r="O84">
            <v>0.65657880000000013</v>
          </cell>
          <cell r="P84">
            <v>2368.8554614257309</v>
          </cell>
        </row>
        <row r="86">
          <cell r="C86">
            <v>3906.3700349094397</v>
          </cell>
          <cell r="D86">
            <v>3202.4878050210482</v>
          </cell>
        </row>
        <row r="89">
          <cell r="C89">
            <v>2.2710701260000001</v>
          </cell>
          <cell r="D89">
            <v>276.28409116597669</v>
          </cell>
        </row>
        <row r="92">
          <cell r="C92">
            <v>466.77751085600005</v>
          </cell>
          <cell r="D92">
            <v>120.0926808098401</v>
          </cell>
        </row>
        <row r="93">
          <cell r="C93">
            <v>3.8191163736706994</v>
          </cell>
          <cell r="D93">
            <v>41.619775455802497</v>
          </cell>
        </row>
        <row r="95">
          <cell r="C95">
            <v>851.55986017351825</v>
          </cell>
          <cell r="D95">
            <v>757.8301244466204</v>
          </cell>
        </row>
        <row r="96">
          <cell r="C96">
            <v>196.9638312492288</v>
          </cell>
          <cell r="D96">
            <v>8.7688204420400009</v>
          </cell>
        </row>
        <row r="97">
          <cell r="C97">
            <v>705.59465340790734</v>
          </cell>
          <cell r="D97">
            <v>432.11285376837861</v>
          </cell>
        </row>
        <row r="98">
          <cell r="C98">
            <v>21470.087095079631</v>
          </cell>
          <cell r="D98">
            <v>9031.9320431736978</v>
          </cell>
          <cell r="E98">
            <v>76.014846040765988</v>
          </cell>
          <cell r="F98">
            <v>1991.4772681670179</v>
          </cell>
          <cell r="G98">
            <v>2.4207619000000003E-2</v>
          </cell>
          <cell r="H98">
            <v>530.65980190915514</v>
          </cell>
          <cell r="I98">
            <v>2.7890939999999999E-2</v>
          </cell>
          <cell r="J98">
            <v>888.12989161447058</v>
          </cell>
          <cell r="K98">
            <v>23.06548647</v>
          </cell>
          <cell r="L98">
            <v>3092.8739906721371</v>
          </cell>
          <cell r="M98">
            <v>27.548824657299996</v>
          </cell>
          <cell r="N98">
            <v>2197.5114694792701</v>
          </cell>
          <cell r="O98">
            <v>37.985935300000001</v>
          </cell>
          <cell r="P98">
            <v>7469.8794855109836</v>
          </cell>
          <cell r="Q98">
            <v>46837.218236633431</v>
          </cell>
        </row>
        <row r="100">
          <cell r="Q100">
            <v>8923.5552430720836</v>
          </cell>
        </row>
      </sheetData>
      <sheetData sheetId="1">
        <row r="15">
          <cell r="C15">
            <v>976.19551403399998</v>
          </cell>
          <cell r="D15">
            <v>386.39128194199998</v>
          </cell>
          <cell r="F15">
            <v>477.84642146702004</v>
          </cell>
          <cell r="I15">
            <v>12764.012073335916</v>
          </cell>
          <cell r="K15">
            <v>292.76948178549731</v>
          </cell>
        </row>
        <row r="16">
          <cell r="E16">
            <v>260.09353902431189</v>
          </cell>
          <cell r="G16">
            <v>1301.0395617520358</v>
          </cell>
          <cell r="H16">
            <v>980.37780717721466</v>
          </cell>
        </row>
        <row r="17">
          <cell r="E17">
            <v>0.388432528</v>
          </cell>
          <cell r="G17">
            <v>139.09075199</v>
          </cell>
          <cell r="H17">
            <v>3318.1958723070475</v>
          </cell>
        </row>
        <row r="18">
          <cell r="E18">
            <v>77.094573228999991</v>
          </cell>
          <cell r="G18">
            <v>1172.2860085399282</v>
          </cell>
          <cell r="H18">
            <v>3675.0123093453581</v>
          </cell>
        </row>
        <row r="19">
          <cell r="E19">
            <v>0</v>
          </cell>
          <cell r="G19">
            <v>0</v>
          </cell>
          <cell r="H19">
            <v>0</v>
          </cell>
        </row>
        <row r="20">
          <cell r="I20">
            <v>0</v>
          </cell>
        </row>
        <row r="21">
          <cell r="I21">
            <v>367.03604334768158</v>
          </cell>
        </row>
        <row r="23">
          <cell r="C23">
            <v>180.53066125383998</v>
          </cell>
          <cell r="D23">
            <v>72.877097162789994</v>
          </cell>
          <cell r="F23">
            <v>624.77122867027424</v>
          </cell>
          <cell r="I23">
            <v>4013.3066722395274</v>
          </cell>
          <cell r="K23">
            <v>5275.9519714437556</v>
          </cell>
        </row>
        <row r="24">
          <cell r="E24">
            <v>76.583560144802505</v>
          </cell>
          <cell r="G24">
            <v>523.5708223620511</v>
          </cell>
          <cell r="H24">
            <v>143.89184649377563</v>
          </cell>
        </row>
        <row r="25">
          <cell r="E25">
            <v>2.2669785620000003</v>
          </cell>
          <cell r="G25">
            <v>47.35864522697554</v>
          </cell>
          <cell r="H25">
            <v>121.44894379428438</v>
          </cell>
        </row>
        <row r="26">
          <cell r="E26">
            <v>160.42540323787995</v>
          </cell>
          <cell r="G26">
            <v>1063.7158560940625</v>
          </cell>
          <cell r="H26">
            <v>995.86562923679173</v>
          </cell>
        </row>
        <row r="27">
          <cell r="E27">
            <v>0</v>
          </cell>
          <cell r="G27">
            <v>0</v>
          </cell>
          <cell r="H27">
            <v>0</v>
          </cell>
        </row>
        <row r="28">
          <cell r="I28">
            <v>22.802986643000001</v>
          </cell>
        </row>
        <row r="29">
          <cell r="I29">
            <v>2.0840000000000001</v>
          </cell>
        </row>
      </sheetData>
      <sheetData sheetId="2">
        <row r="15">
          <cell r="AX15">
            <v>4546.3340909617036</v>
          </cell>
        </row>
        <row r="69">
          <cell r="AX69">
            <v>476.14323024949476</v>
          </cell>
        </row>
        <row r="86">
          <cell r="AX86">
            <v>0</v>
          </cell>
        </row>
        <row r="90">
          <cell r="AX90">
            <v>27.966397594</v>
          </cell>
        </row>
        <row r="105">
          <cell r="AX105">
            <v>112.28719902499999</v>
          </cell>
        </row>
        <row r="118">
          <cell r="AX118">
            <v>6.7205169019999991</v>
          </cell>
        </row>
        <row r="120">
          <cell r="AX120">
            <v>130.69509800999998</v>
          </cell>
        </row>
        <row r="122">
          <cell r="AX122">
            <v>1.375600266</v>
          </cell>
        </row>
        <row r="130">
          <cell r="AX130">
            <v>258.85260277901529</v>
          </cell>
        </row>
        <row r="141">
          <cell r="AX141">
            <v>506.63153335978024</v>
          </cell>
        </row>
        <row r="170">
          <cell r="AX170">
            <v>1.5859854999999892E-2</v>
          </cell>
        </row>
        <row r="186">
          <cell r="D186">
            <v>875.51991207938966</v>
          </cell>
          <cell r="E186">
            <v>11.82146475368674</v>
          </cell>
          <cell r="F186">
            <v>0</v>
          </cell>
          <cell r="G186">
            <v>7.1812853993159995E-2</v>
          </cell>
          <cell r="H186">
            <v>0</v>
          </cell>
          <cell r="I186">
            <v>349.04020911199996</v>
          </cell>
          <cell r="J186">
            <v>109.9151630099758</v>
          </cell>
          <cell r="K186">
            <v>3637.1390522124539</v>
          </cell>
          <cell r="L186">
            <v>106.67151177115764</v>
          </cell>
          <cell r="M186">
            <v>21.987273045369591</v>
          </cell>
          <cell r="N186">
            <v>91.090842854058678</v>
          </cell>
          <cell r="O186">
            <v>1.3356479501985872</v>
          </cell>
          <cell r="P186">
            <v>13048.773801681538</v>
          </cell>
          <cell r="Q186">
            <v>146.13976353139549</v>
          </cell>
          <cell r="S186">
            <v>158.69638672170893</v>
          </cell>
          <cell r="T186">
            <v>9.6383278790344688E-3</v>
          </cell>
          <cell r="U186">
            <v>1.3678360000000001E-3</v>
          </cell>
          <cell r="V186">
            <v>0.91350472029999896</v>
          </cell>
          <cell r="W186">
            <v>8.4439498000009913E-4</v>
          </cell>
          <cell r="X186">
            <v>166.64587937772944</v>
          </cell>
          <cell r="Y186">
            <v>23.420648575459957</v>
          </cell>
          <cell r="Z186">
            <v>465.99324286484216</v>
          </cell>
          <cell r="AA186">
            <v>22.741693888089873</v>
          </cell>
          <cell r="AB186">
            <v>6.2797500837445286E-2</v>
          </cell>
          <cell r="AC186">
            <v>2.6125090806258027</v>
          </cell>
          <cell r="AD186">
            <v>0.11288885652345441</v>
          </cell>
          <cell r="AE186">
            <v>829.1186914044265</v>
          </cell>
          <cell r="AF186">
            <v>21.698241638285378</v>
          </cell>
          <cell r="AI186">
            <v>-23.274023827672718</v>
          </cell>
          <cell r="AJ186">
            <v>1.1783290850763978E-3</v>
          </cell>
          <cell r="AK186">
            <v>0</v>
          </cell>
          <cell r="AL186">
            <v>0</v>
          </cell>
          <cell r="AM186">
            <v>0</v>
          </cell>
          <cell r="AN186">
            <v>204.05680929584844</v>
          </cell>
          <cell r="AO186">
            <v>0</v>
          </cell>
          <cell r="AP186">
            <v>152.80383780028356</v>
          </cell>
          <cell r="AQ186">
            <v>2.3019818520065061E-2</v>
          </cell>
          <cell r="AR186">
            <v>0</v>
          </cell>
          <cell r="AS186">
            <v>1.0187844138917525E-3</v>
          </cell>
          <cell r="AT186">
            <v>0</v>
          </cell>
          <cell r="AU186">
            <v>3572.0642831353625</v>
          </cell>
          <cell r="AV186">
            <v>2.8307346924632784E-2</v>
          </cell>
          <cell r="AX186">
            <v>23997.239220725674</v>
          </cell>
        </row>
        <row r="187">
          <cell r="AX187">
            <v>512.46008502942323</v>
          </cell>
        </row>
        <row r="188">
          <cell r="AX188">
            <v>904.39650399652237</v>
          </cell>
        </row>
        <row r="189">
          <cell r="AX189">
            <v>6328.3787794266436</v>
          </cell>
        </row>
        <row r="190">
          <cell r="AX190">
            <v>102.5134818403122</v>
          </cell>
        </row>
        <row r="191">
          <cell r="AX191">
            <v>257.01236443201509</v>
          </cell>
        </row>
        <row r="192">
          <cell r="AX192">
            <v>491.12805967859242</v>
          </cell>
        </row>
        <row r="193">
          <cell r="AX193">
            <v>6465.4870309021881</v>
          </cell>
        </row>
        <row r="199">
          <cell r="AX199">
            <v>332.49499687420592</v>
          </cell>
        </row>
        <row r="200">
          <cell r="AX200">
            <v>23.850362939396184</v>
          </cell>
        </row>
        <row r="201">
          <cell r="AX201">
            <v>54.713635714594659</v>
          </cell>
        </row>
        <row r="202">
          <cell r="AX202">
            <v>0.57333701199999998</v>
          </cell>
        </row>
        <row r="203">
          <cell r="AX203">
            <v>157.69008216999993</v>
          </cell>
        </row>
        <row r="204">
          <cell r="AX204">
            <v>493.81116299889186</v>
          </cell>
        </row>
        <row r="229">
          <cell r="AX229">
            <v>537.68565862048331</v>
          </cell>
        </row>
        <row r="272">
          <cell r="D272">
            <v>6986.858333406286</v>
          </cell>
          <cell r="E272">
            <v>331.51191943854815</v>
          </cell>
          <cell r="F272">
            <v>1.0317422299840633</v>
          </cell>
          <cell r="G272">
            <v>298.95139325487844</v>
          </cell>
          <cell r="H272">
            <v>4.4700937124999996E-3</v>
          </cell>
          <cell r="I272">
            <v>2561.4936952655376</v>
          </cell>
          <cell r="J272">
            <v>1704.0000316155779</v>
          </cell>
          <cell r="K272">
            <v>6805.4568274115481</v>
          </cell>
          <cell r="L272">
            <v>1078.1788456636466</v>
          </cell>
          <cell r="M272">
            <v>21.988346898686274</v>
          </cell>
          <cell r="N272">
            <v>334.27903561150805</v>
          </cell>
          <cell r="O272">
            <v>1.59504011702624</v>
          </cell>
          <cell r="P272">
            <v>13339.312738404036</v>
          </cell>
          <cell r="Q272">
            <v>1069.5971472443134</v>
          </cell>
          <cell r="S272">
            <v>3650.8273411819837</v>
          </cell>
          <cell r="T272">
            <v>57.247240572885971</v>
          </cell>
          <cell r="U272">
            <v>1.3678360000000001E-3</v>
          </cell>
          <cell r="V272">
            <v>20.339995648454405</v>
          </cell>
          <cell r="W272">
            <v>1.1730292581462222E-2</v>
          </cell>
          <cell r="X272">
            <v>276.57230953571644</v>
          </cell>
          <cell r="Y272">
            <v>18.607548728607966</v>
          </cell>
          <cell r="Z272">
            <v>903.91410659529117</v>
          </cell>
          <cell r="AA272">
            <v>23.319903909691543</v>
          </cell>
          <cell r="AB272">
            <v>6.8573842736935287E-2</v>
          </cell>
          <cell r="AC272">
            <v>3.6346538112981066</v>
          </cell>
          <cell r="AD272">
            <v>-3.1075896475044752E-2</v>
          </cell>
          <cell r="AE272">
            <v>832.51859707218</v>
          </cell>
          <cell r="AF272">
            <v>33.551106498885005</v>
          </cell>
          <cell r="AI272">
            <v>2053.7881709368321</v>
          </cell>
          <cell r="AJ272">
            <v>2.0113405155779706E-2</v>
          </cell>
          <cell r="AK272">
            <v>9.3013255649899203E-4</v>
          </cell>
          <cell r="AL272">
            <v>0.25125329417838982</v>
          </cell>
          <cell r="AM272">
            <v>-5.0281584738558985E-4</v>
          </cell>
          <cell r="AN272">
            <v>481.5928688527485</v>
          </cell>
          <cell r="AO272">
            <v>2.0359249973223532</v>
          </cell>
          <cell r="AP272">
            <v>179.75835862002563</v>
          </cell>
          <cell r="AQ272">
            <v>2.6832929674278385</v>
          </cell>
          <cell r="AR272">
            <v>0</v>
          </cell>
          <cell r="AS272">
            <v>0.20853676181543659</v>
          </cell>
          <cell r="AT272">
            <v>0</v>
          </cell>
          <cell r="AU272">
            <v>3751.8899331011944</v>
          </cell>
          <cell r="AV272">
            <v>10.290188413423186</v>
          </cell>
        </row>
      </sheetData>
      <sheetData sheetId="3">
        <row r="15">
          <cell r="AH15">
            <v>3066.1068107111041</v>
          </cell>
        </row>
        <row r="69">
          <cell r="AH69">
            <v>1024.3338778798689</v>
          </cell>
        </row>
        <row r="86">
          <cell r="AH86">
            <v>0</v>
          </cell>
        </row>
        <row r="90">
          <cell r="AH90">
            <v>0</v>
          </cell>
        </row>
        <row r="105">
          <cell r="AH105">
            <v>0</v>
          </cell>
        </row>
        <row r="118">
          <cell r="AH118">
            <v>1.1896040000000001E-3</v>
          </cell>
        </row>
        <row r="120">
          <cell r="AH120">
            <v>0</v>
          </cell>
        </row>
        <row r="122">
          <cell r="AH122">
            <v>4.9709999999999995E-6</v>
          </cell>
        </row>
        <row r="130">
          <cell r="AH130">
            <v>1042.5515467708262</v>
          </cell>
        </row>
        <row r="141">
          <cell r="AH141">
            <v>801.1132378051791</v>
          </cell>
        </row>
        <row r="170">
          <cell r="AH170">
            <v>53.267711134990002</v>
          </cell>
        </row>
        <row r="186">
          <cell r="D186">
            <v>231.13028843685299</v>
          </cell>
          <cell r="E186">
            <v>63.507361095999983</v>
          </cell>
          <cell r="F186">
            <v>0</v>
          </cell>
          <cell r="G186">
            <v>0</v>
          </cell>
          <cell r="H186">
            <v>0</v>
          </cell>
          <cell r="I186">
            <v>824.25032157199985</v>
          </cell>
          <cell r="J186">
            <v>0.22440398000000003</v>
          </cell>
          <cell r="K186">
            <v>3764.4674647936358</v>
          </cell>
          <cell r="L186">
            <v>11.367539236679299</v>
          </cell>
          <cell r="M186">
            <v>1.6003174420928201</v>
          </cell>
          <cell r="N186">
            <v>-35.117856788980625</v>
          </cell>
          <cell r="O186">
            <v>30.556519954761416</v>
          </cell>
          <cell r="P186">
            <v>9654.927418817897</v>
          </cell>
          <cell r="Q186">
            <v>13.006394307760655</v>
          </cell>
          <cell r="S186">
            <v>1879.904104842311</v>
          </cell>
          <cell r="T186">
            <v>5.0317002455324538</v>
          </cell>
          <cell r="U186">
            <v>1.5506075785322671E-3</v>
          </cell>
          <cell r="V186">
            <v>19.00159181701488</v>
          </cell>
          <cell r="W186">
            <v>2.0259048595276896</v>
          </cell>
          <cell r="X186">
            <v>6579.8368319485999</v>
          </cell>
          <cell r="Y186">
            <v>7.2879633050241299</v>
          </cell>
          <cell r="Z186">
            <v>2730.1917285241989</v>
          </cell>
          <cell r="AA186">
            <v>144.62846030932863</v>
          </cell>
          <cell r="AB186">
            <v>9.6248249658894947E-2</v>
          </cell>
          <cell r="AC186">
            <v>24.073671729753293</v>
          </cell>
          <cell r="AD186">
            <v>0.10595982982489963</v>
          </cell>
          <cell r="AE186">
            <v>4391.8992958713188</v>
          </cell>
          <cell r="AF186">
            <v>158.07208476488179</v>
          </cell>
          <cell r="AH186">
            <v>30502.077269753252</v>
          </cell>
        </row>
        <row r="187">
          <cell r="AH187">
            <v>0</v>
          </cell>
        </row>
        <row r="188">
          <cell r="AH188">
            <v>197.99263649846648</v>
          </cell>
        </row>
        <row r="189">
          <cell r="AH189">
            <v>2067.4854032229109</v>
          </cell>
        </row>
        <row r="190">
          <cell r="AH190">
            <v>530.70470802858665</v>
          </cell>
        </row>
        <row r="191">
          <cell r="AH191">
            <v>888.18429837648557</v>
          </cell>
        </row>
        <row r="192">
          <cell r="AH192">
            <v>3115.9699557826261</v>
          </cell>
        </row>
        <row r="193">
          <cell r="AH193">
            <v>2225.1689121473009</v>
          </cell>
        </row>
        <row r="199">
          <cell r="AH199">
            <v>75.04453973396204</v>
          </cell>
        </row>
        <row r="200">
          <cell r="AH200">
            <v>1.4903351547000001</v>
          </cell>
        </row>
        <row r="201">
          <cell r="AH201">
            <v>2.8798950000000567E-3</v>
          </cell>
        </row>
        <row r="202">
          <cell r="AH202">
            <v>0</v>
          </cell>
        </row>
        <row r="203">
          <cell r="AH203">
            <v>-1.8423714999999997E-2</v>
          </cell>
        </row>
        <row r="204">
          <cell r="AH204">
            <v>860.7304774647796</v>
          </cell>
        </row>
        <row r="229">
          <cell r="AH229">
            <v>254.56583122716196</v>
          </cell>
        </row>
        <row r="272">
          <cell r="D272">
            <v>1822.2205997838562</v>
          </cell>
          <cell r="E272">
            <v>278.10915839777289</v>
          </cell>
          <cell r="F272">
            <v>66.065218822999995</v>
          </cell>
          <cell r="G272">
            <v>82.039690460178718</v>
          </cell>
          <cell r="H272">
            <v>0.44327348099999997</v>
          </cell>
          <cell r="I272">
            <v>825.3821976459999</v>
          </cell>
          <cell r="J272">
            <v>136.86032963718066</v>
          </cell>
          <cell r="K272">
            <v>6714.2229544718084</v>
          </cell>
          <cell r="L272">
            <v>467.15118389743088</v>
          </cell>
          <cell r="M272">
            <v>7.5142275221188193</v>
          </cell>
          <cell r="N272">
            <v>357.00777399419945</v>
          </cell>
          <cell r="O272">
            <v>61.839380335639319</v>
          </cell>
          <cell r="P272">
            <v>9810.2439405446621</v>
          </cell>
          <cell r="Q272">
            <v>1367.5402148907394</v>
          </cell>
          <cell r="S272">
            <v>4214.2633343203306</v>
          </cell>
          <cell r="T272">
            <v>206.96560854899391</v>
          </cell>
          <cell r="U272">
            <v>6.0421744537987356</v>
          </cell>
          <cell r="V272">
            <v>28.030233715061961</v>
          </cell>
          <cell r="W272">
            <v>2.8145488965262029</v>
          </cell>
          <cell r="X272">
            <v>6593.7820026769004</v>
          </cell>
          <cell r="Y272">
            <v>295.42454348755439</v>
          </cell>
          <cell r="Z272">
            <v>8539.4918191185207</v>
          </cell>
          <cell r="AA272">
            <v>319.38300881199211</v>
          </cell>
          <cell r="AB272">
            <v>0.10202459155838495</v>
          </cell>
          <cell r="AC272">
            <v>63.340690411222084</v>
          </cell>
          <cell r="AD272">
            <v>-34.928850537623823</v>
          </cell>
          <cell r="AE272">
            <v>4405.302736336318</v>
          </cell>
          <cell r="AF272">
            <v>200.89088534577846</v>
          </cell>
          <cell r="AH272">
            <v>46837.54490406251</v>
          </cell>
        </row>
      </sheetData>
      <sheetData sheetId="4">
        <row r="14">
          <cell r="D14">
            <v>21243.358884013149</v>
          </cell>
          <cell r="G14">
            <v>21634.709029028072</v>
          </cell>
        </row>
        <row r="16">
          <cell r="D16">
            <v>20580.5967051404</v>
          </cell>
          <cell r="G16">
            <v>21290.077163081245</v>
          </cell>
        </row>
        <row r="17">
          <cell r="D17">
            <v>657.66592440984095</v>
          </cell>
          <cell r="G17">
            <v>530.31854389556747</v>
          </cell>
        </row>
        <row r="18">
          <cell r="D18">
            <v>23.090628293503176</v>
          </cell>
          <cell r="G18">
            <v>79.723135816388208</v>
          </cell>
        </row>
        <row r="19">
          <cell r="D19">
            <v>1.5782136587733824</v>
          </cell>
          <cell r="G19">
            <v>30.168051474787692</v>
          </cell>
        </row>
        <row r="20">
          <cell r="D20">
            <v>1492.9464011721932</v>
          </cell>
          <cell r="G20">
            <v>1271.6191000140557</v>
          </cell>
        </row>
        <row r="21">
          <cell r="D21">
            <v>664.23879302503883</v>
          </cell>
          <cell r="G21">
            <v>209.18482115236813</v>
          </cell>
        </row>
        <row r="22">
          <cell r="D22">
            <v>1946.2101311943661</v>
          </cell>
          <cell r="G22">
            <v>1592.4846125574031</v>
          </cell>
        </row>
        <row r="23">
          <cell r="D23">
            <v>227.63587232795831</v>
          </cell>
          <cell r="G23">
            <v>198.98423542080099</v>
          </cell>
        </row>
        <row r="24">
          <cell r="G24">
            <v>46837.268692440688</v>
          </cell>
        </row>
      </sheetData>
      <sheetData sheetId="5">
        <row r="11">
          <cell r="D11">
            <v>5343.8891406394723</v>
          </cell>
          <cell r="F11">
            <v>462.14933301688632</v>
          </cell>
        </row>
        <row r="12">
          <cell r="D12">
            <v>34.002224542662432</v>
          </cell>
          <cell r="F12">
            <v>1.0632636349999998</v>
          </cell>
        </row>
        <row r="13">
          <cell r="D13">
            <v>76.184285915287489</v>
          </cell>
          <cell r="F13">
            <v>0</v>
          </cell>
        </row>
        <row r="14">
          <cell r="D14">
            <v>1260.2781985316306</v>
          </cell>
          <cell r="F14">
            <v>28.865185369877153</v>
          </cell>
        </row>
        <row r="15">
          <cell r="D15">
            <v>269.70530874790677</v>
          </cell>
          <cell r="F15">
            <v>0.85638725000000004</v>
          </cell>
        </row>
        <row r="16">
          <cell r="D16">
            <v>44.291999766201066</v>
          </cell>
          <cell r="F16">
            <v>0</v>
          </cell>
        </row>
        <row r="17">
          <cell r="D17">
            <v>705.1762236847311</v>
          </cell>
          <cell r="F17">
            <v>114.87902980402112</v>
          </cell>
        </row>
        <row r="18">
          <cell r="D18">
            <v>601.8225625093072</v>
          </cell>
          <cell r="F18">
            <v>98.119915003086987</v>
          </cell>
        </row>
        <row r="19">
          <cell r="D19">
            <v>61.240414564884077</v>
          </cell>
          <cell r="F19">
            <v>6.3991785029999999</v>
          </cell>
        </row>
        <row r="20">
          <cell r="D20">
            <v>198.49357589193474</v>
          </cell>
          <cell r="F20">
            <v>32.179514147000006</v>
          </cell>
        </row>
        <row r="21">
          <cell r="D21">
            <v>134.59535310670981</v>
          </cell>
          <cell r="F21">
            <v>1.0596883049999999</v>
          </cell>
        </row>
        <row r="22">
          <cell r="D22">
            <v>224.90682399524437</v>
          </cell>
          <cell r="F22">
            <v>12.543686269000002</v>
          </cell>
        </row>
        <row r="23">
          <cell r="D23">
            <v>739.05829693695966</v>
          </cell>
          <cell r="F23">
            <v>35.892722907740001</v>
          </cell>
        </row>
        <row r="24">
          <cell r="D24">
            <v>18.445736504557221</v>
          </cell>
          <cell r="F24">
            <v>4.8133859980810003</v>
          </cell>
        </row>
        <row r="25">
          <cell r="D25">
            <v>0.5</v>
          </cell>
          <cell r="F25">
            <v>0.3</v>
          </cell>
        </row>
        <row r="26">
          <cell r="D26">
            <v>36.03</v>
          </cell>
          <cell r="F26">
            <v>0</v>
          </cell>
        </row>
        <row r="27">
          <cell r="D27">
            <v>29.246413539999985</v>
          </cell>
          <cell r="F27">
            <v>1.2194730479999998</v>
          </cell>
        </row>
        <row r="28">
          <cell r="D28">
            <v>41.179281597199996</v>
          </cell>
          <cell r="F28">
            <v>2.1972792079999999</v>
          </cell>
        </row>
        <row r="29">
          <cell r="D29">
            <v>10.409999442041508</v>
          </cell>
          <cell r="F29">
            <v>7.2383148410000011</v>
          </cell>
        </row>
        <row r="30">
          <cell r="D30">
            <v>833.65916223901081</v>
          </cell>
          <cell r="F30">
            <v>114.45337119808005</v>
          </cell>
        </row>
        <row r="31">
          <cell r="D31">
            <v>24.663279123203651</v>
          </cell>
          <cell r="F31">
            <v>6.8937529999999914E-2</v>
          </cell>
        </row>
        <row r="32">
          <cell r="D32">
            <v>0</v>
          </cell>
          <cell r="F32">
            <v>0</v>
          </cell>
        </row>
        <row r="56">
          <cell r="D56">
            <v>6223.446525454322</v>
          </cell>
        </row>
        <row r="57">
          <cell r="D57">
            <v>3237.0904083058713</v>
          </cell>
        </row>
        <row r="58">
          <cell r="D58">
            <v>92.527283514092161</v>
          </cell>
        </row>
        <row r="59">
          <cell r="D59">
            <v>195.34646144166976</v>
          </cell>
        </row>
        <row r="60">
          <cell r="D60">
            <v>1770.4018047086461</v>
          </cell>
        </row>
        <row r="61">
          <cell r="D61">
            <v>116.38361534375952</v>
          </cell>
        </row>
        <row r="62">
          <cell r="D62">
            <v>811.69695214028366</v>
          </cell>
        </row>
        <row r="63">
          <cell r="D63">
            <v>1667.9905686220291</v>
          </cell>
        </row>
        <row r="66">
          <cell r="D66">
            <v>13235.326234715823</v>
          </cell>
        </row>
      </sheetData>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1"/>
      <sheetName val="2"/>
      <sheetName val="3A"/>
      <sheetName val="3B"/>
      <sheetName val="4"/>
      <sheetName val="5"/>
      <sheetName val="6A"/>
      <sheetName val="6B"/>
      <sheetName val="7"/>
      <sheetName val="8"/>
    </sheetNames>
    <sheetDataSet>
      <sheetData sheetId="0">
        <row r="14">
          <cell r="C14">
            <v>27.161844842999997</v>
          </cell>
          <cell r="D14">
            <v>0</v>
          </cell>
        </row>
        <row r="18">
          <cell r="C18">
            <v>421.17991680203505</v>
          </cell>
          <cell r="D18">
            <v>1195.8244638255906</v>
          </cell>
        </row>
        <row r="23">
          <cell r="C23">
            <v>1391.2134872830866</v>
          </cell>
          <cell r="D23">
            <v>156.70744848947999</v>
          </cell>
        </row>
        <row r="24">
          <cell r="C24">
            <v>289.94452787889594</v>
          </cell>
          <cell r="D24">
            <v>63.584245859714002</v>
          </cell>
        </row>
        <row r="25">
          <cell r="C25">
            <v>205.53865974244508</v>
          </cell>
          <cell r="D25">
            <v>236.09353917889737</v>
          </cell>
        </row>
        <row r="26">
          <cell r="C26">
            <v>383.15115522957996</v>
          </cell>
          <cell r="D26">
            <v>804.41118221463705</v>
          </cell>
        </row>
        <row r="27">
          <cell r="C27">
            <v>2633.0231801975879</v>
          </cell>
          <cell r="D27">
            <v>1865.736262561855</v>
          </cell>
        </row>
        <row r="28">
          <cell r="C28">
            <v>8062.6440548459377</v>
          </cell>
          <cell r="D28">
            <v>1298.7453818579879</v>
          </cell>
        </row>
        <row r="29">
          <cell r="C29">
            <v>468.32046976503</v>
          </cell>
          <cell r="D29">
            <v>49.884736031620001</v>
          </cell>
        </row>
        <row r="30">
          <cell r="C30">
            <v>0</v>
          </cell>
          <cell r="D30">
            <v>0</v>
          </cell>
        </row>
        <row r="31">
          <cell r="C31">
            <v>1.4</v>
          </cell>
          <cell r="D31">
            <v>18.707755147852104</v>
          </cell>
        </row>
        <row r="33">
          <cell r="C33">
            <v>145.79718036973011</v>
          </cell>
          <cell r="D33">
            <v>63.851168133136994</v>
          </cell>
        </row>
        <row r="34">
          <cell r="C34">
            <v>2783.5215191979046</v>
          </cell>
          <cell r="D34">
            <v>194.36420074068556</v>
          </cell>
        </row>
        <row r="36">
          <cell r="C36">
            <v>1123.9659845453455</v>
          </cell>
          <cell r="D36">
            <v>-28.477158688631476</v>
          </cell>
        </row>
        <row r="37">
          <cell r="C37">
            <v>384.5813302544509</v>
          </cell>
          <cell r="D37">
            <v>407.42422884200926</v>
          </cell>
        </row>
        <row r="38">
          <cell r="C38">
            <v>18321.443310955034</v>
          </cell>
          <cell r="D38">
            <v>6326.8574541948337</v>
          </cell>
          <cell r="E38">
            <v>118.14006672041872</v>
          </cell>
          <cell r="F38">
            <v>6436.5856793875737</v>
          </cell>
          <cell r="G38">
            <v>25.046352698043215</v>
          </cell>
          <cell r="H38">
            <v>77.938285705500093</v>
          </cell>
          <cell r="I38">
            <v>16.678087068194696</v>
          </cell>
          <cell r="J38">
            <v>209.9728361592355</v>
          </cell>
          <cell r="K38">
            <v>52.728360267960106</v>
          </cell>
          <cell r="L38">
            <v>238.1161244137673</v>
          </cell>
          <cell r="M38">
            <v>2081.4689058617114</v>
          </cell>
          <cell r="N38">
            <v>3921.3271459610878</v>
          </cell>
          <cell r="O38">
            <v>687.33112161063809</v>
          </cell>
          <cell r="P38">
            <v>8623.3726148008336</v>
          </cell>
          <cell r="Q38">
            <v>47137.006345804817</v>
          </cell>
        </row>
        <row r="40">
          <cell r="Q40">
            <v>9024.1486665267403</v>
          </cell>
        </row>
        <row r="68">
          <cell r="C68">
            <v>167.4510775719331</v>
          </cell>
          <cell r="D68">
            <v>68.321599862065781</v>
          </cell>
        </row>
        <row r="69">
          <cell r="C69">
            <v>4699.5478857413154</v>
          </cell>
          <cell r="D69">
            <v>11.120495811</v>
          </cell>
        </row>
        <row r="72">
          <cell r="C72">
            <v>526.5194028161236</v>
          </cell>
          <cell r="D72">
            <v>425.79318641920622</v>
          </cell>
        </row>
        <row r="76">
          <cell r="C76">
            <v>9527.3370476631571</v>
          </cell>
          <cell r="D76">
            <v>3897.6149144904734</v>
          </cell>
        </row>
        <row r="77">
          <cell r="C77">
            <v>463.2839008410001</v>
          </cell>
          <cell r="D77">
            <v>1218.4541431222201</v>
          </cell>
        </row>
        <row r="78">
          <cell r="C78">
            <v>0</v>
          </cell>
          <cell r="D78">
            <v>0</v>
          </cell>
        </row>
        <row r="79">
          <cell r="C79">
            <v>115.12308745</v>
          </cell>
          <cell r="D79">
            <v>118.22378858364701</v>
          </cell>
        </row>
        <row r="80">
          <cell r="C80">
            <v>149.02468912235</v>
          </cell>
          <cell r="D80">
            <v>1097.04020787164</v>
          </cell>
        </row>
        <row r="81">
          <cell r="C81">
            <v>2544.8304018806075</v>
          </cell>
          <cell r="D81">
            <v>1238.0580070912993</v>
          </cell>
        </row>
        <row r="82">
          <cell r="C82">
            <v>6207.7410301782011</v>
          </cell>
          <cell r="D82">
            <v>186.93876782166734</v>
          </cell>
        </row>
        <row r="83">
          <cell r="C83">
            <v>47.333938190999888</v>
          </cell>
          <cell r="D83">
            <v>38.9</v>
          </cell>
        </row>
        <row r="84">
          <cell r="E84">
            <v>5.9</v>
          </cell>
          <cell r="F84">
            <v>121.57624179505278</v>
          </cell>
          <cell r="G84">
            <v>0</v>
          </cell>
          <cell r="H84">
            <v>375.28965886395508</v>
          </cell>
          <cell r="I84">
            <v>0</v>
          </cell>
          <cell r="J84">
            <v>281.80022105888781</v>
          </cell>
          <cell r="K84">
            <v>0</v>
          </cell>
          <cell r="L84">
            <v>2365.9871753069469</v>
          </cell>
          <cell r="M84">
            <v>0</v>
          </cell>
          <cell r="N84">
            <v>1152.2397560803611</v>
          </cell>
          <cell r="O84">
            <v>0</v>
          </cell>
          <cell r="P84">
            <v>2302.6581811365445</v>
          </cell>
        </row>
        <row r="86">
          <cell r="C86">
            <v>3799.2945818408393</v>
          </cell>
          <cell r="D86">
            <v>3195.4191659706821</v>
          </cell>
        </row>
        <row r="89">
          <cell r="C89">
            <v>2.2823653739999998</v>
          </cell>
          <cell r="D89">
            <v>291.23955893277991</v>
          </cell>
        </row>
        <row r="92">
          <cell r="C92">
            <v>483.6375107849999</v>
          </cell>
          <cell r="D92">
            <v>121.19483618337783</v>
          </cell>
        </row>
        <row r="93">
          <cell r="C93">
            <v>1.2596003563868394</v>
          </cell>
          <cell r="D93">
            <v>45.698635463464953</v>
          </cell>
        </row>
        <row r="95">
          <cell r="C95">
            <v>998.52996097741755</v>
          </cell>
          <cell r="D95">
            <v>788.56507444548538</v>
          </cell>
        </row>
        <row r="96">
          <cell r="C96">
            <v>196.33700888127879</v>
          </cell>
          <cell r="D96">
            <v>8.6996986985499998</v>
          </cell>
        </row>
        <row r="97">
          <cell r="C97">
            <v>623.92074945210834</v>
          </cell>
          <cell r="D97">
            <v>339.75588582626574</v>
          </cell>
        </row>
        <row r="98">
          <cell r="C98">
            <v>21026.117191459562</v>
          </cell>
          <cell r="D98">
            <v>9193.4230521033514</v>
          </cell>
          <cell r="E98">
            <v>68.20280422863101</v>
          </cell>
          <cell r="F98">
            <v>2015.2801210642569</v>
          </cell>
          <cell r="G98">
            <v>2.2461237000000002E-2</v>
          </cell>
          <cell r="H98">
            <v>535.5016468600769</v>
          </cell>
          <cell r="I98">
            <v>2.8438836999999998E-2</v>
          </cell>
          <cell r="J98">
            <v>924.82104952053862</v>
          </cell>
          <cell r="K98">
            <v>52.890815805000003</v>
          </cell>
          <cell r="L98">
            <v>3128.8400355133658</v>
          </cell>
          <cell r="M98">
            <v>7.2937418540000003</v>
          </cell>
          <cell r="N98">
            <v>2311.7446614182036</v>
          </cell>
          <cell r="O98">
            <v>33.504338736000001</v>
          </cell>
          <cell r="P98">
            <v>7839.3013544544538</v>
          </cell>
          <cell r="Q98">
            <v>47136.971713091443</v>
          </cell>
        </row>
        <row r="100">
          <cell r="Q100">
            <v>9045.3700204372126</v>
          </cell>
        </row>
      </sheetData>
      <sheetData sheetId="1">
        <row r="15">
          <cell r="C15">
            <v>1067.4035283169583</v>
          </cell>
          <cell r="D15">
            <v>289.94452787889594</v>
          </cell>
          <cell r="F15">
            <v>383.01643195857997</v>
          </cell>
          <cell r="I15">
            <v>13066.490748145061</v>
          </cell>
          <cell r="K15">
            <v>297.92529833306099</v>
          </cell>
        </row>
        <row r="16">
          <cell r="E16">
            <v>134.74022705838607</v>
          </cell>
          <cell r="G16">
            <v>1372.0195008899173</v>
          </cell>
          <cell r="H16">
            <v>1344.3684369794696</v>
          </cell>
        </row>
        <row r="17">
          <cell r="E17">
            <v>0.89314399581600001</v>
          </cell>
          <cell r="G17">
            <v>80.379063771543002</v>
          </cell>
          <cell r="H17">
            <v>3489.9185630446418</v>
          </cell>
        </row>
        <row r="18">
          <cell r="E18">
            <v>69.927608894242994</v>
          </cell>
          <cell r="G18">
            <v>1149.809311482257</v>
          </cell>
          <cell r="H18">
            <v>3684.0704038743529</v>
          </cell>
        </row>
        <row r="19">
          <cell r="E19">
            <v>0</v>
          </cell>
          <cell r="G19">
            <v>0</v>
          </cell>
          <cell r="H19">
            <v>0</v>
          </cell>
        </row>
        <row r="20">
          <cell r="I20">
            <v>0</v>
          </cell>
        </row>
        <row r="21">
          <cell r="I21">
            <v>367.31063827112848</v>
          </cell>
        </row>
        <row r="23">
          <cell r="C23">
            <v>156.70744848947999</v>
          </cell>
          <cell r="D23">
            <v>63.584245859714002</v>
          </cell>
          <cell r="F23">
            <v>802.93318221463721</v>
          </cell>
          <cell r="I23">
            <v>4437.4695441694203</v>
          </cell>
          <cell r="K23">
            <v>5024.5142711003309</v>
          </cell>
        </row>
        <row r="24">
          <cell r="E24">
            <v>86.186311727993342</v>
          </cell>
          <cell r="G24">
            <v>592.31495215603422</v>
          </cell>
          <cell r="H24">
            <v>137.89176954251121</v>
          </cell>
        </row>
        <row r="25">
          <cell r="E25">
            <v>1.4979976971539997</v>
          </cell>
          <cell r="G25">
            <v>88.194693180124162</v>
          </cell>
          <cell r="H25">
            <v>120.21095822915379</v>
          </cell>
        </row>
        <row r="26">
          <cell r="E26">
            <v>112.81080653576998</v>
          </cell>
          <cell r="G26">
            <v>1185.0955741456664</v>
          </cell>
          <cell r="H26">
            <v>1090.0416043911814</v>
          </cell>
        </row>
        <row r="27">
          <cell r="E27">
            <v>0</v>
          </cell>
          <cell r="G27">
            <v>0</v>
          </cell>
          <cell r="H27">
            <v>0</v>
          </cell>
        </row>
        <row r="28">
          <cell r="I28">
            <v>35.612210090000005</v>
          </cell>
        </row>
        <row r="29">
          <cell r="I29">
            <v>2.0880000000000001</v>
          </cell>
        </row>
      </sheetData>
      <sheetData sheetId="2">
        <row r="15">
          <cell r="AX15">
            <v>4443.5127463352483</v>
          </cell>
        </row>
        <row r="69">
          <cell r="AX69">
            <v>491.77051877327506</v>
          </cell>
        </row>
        <row r="86">
          <cell r="AX86">
            <v>0</v>
          </cell>
        </row>
        <row r="90">
          <cell r="AX90">
            <v>26.399156037000004</v>
          </cell>
        </row>
        <row r="105">
          <cell r="AX105">
            <v>115.94934530675901</v>
          </cell>
        </row>
        <row r="118">
          <cell r="AX118">
            <v>6.3829916380000009</v>
          </cell>
        </row>
        <row r="120">
          <cell r="AX120">
            <v>138.233360957</v>
          </cell>
        </row>
        <row r="122">
          <cell r="AX122">
            <v>1.3128421229920002</v>
          </cell>
        </row>
        <row r="130">
          <cell r="AX130">
            <v>261.12011333964477</v>
          </cell>
        </row>
        <row r="141">
          <cell r="AX141">
            <v>742.86840370893412</v>
          </cell>
        </row>
        <row r="170">
          <cell r="AX170">
            <v>1.5588569149999936E-2</v>
          </cell>
        </row>
        <row r="186">
          <cell r="D186">
            <v>976.45026434826195</v>
          </cell>
          <cell r="E186">
            <v>9.3177369878287806</v>
          </cell>
          <cell r="F186">
            <v>0</v>
          </cell>
          <cell r="G186">
            <v>7.2610859850120002E-2</v>
          </cell>
          <cell r="H186">
            <v>0</v>
          </cell>
          <cell r="I186">
            <v>368.73863787903497</v>
          </cell>
          <cell r="J186">
            <v>54.815889912140683</v>
          </cell>
          <cell r="K186">
            <v>4059.4050286876627</v>
          </cell>
          <cell r="L186">
            <v>125.66577991327843</v>
          </cell>
          <cell r="M186">
            <v>24.043549647831121</v>
          </cell>
          <cell r="N186">
            <v>93.309236039594154</v>
          </cell>
          <cell r="O186">
            <v>1.1597692729695686</v>
          </cell>
          <cell r="P186">
            <v>13121.783904074702</v>
          </cell>
          <cell r="Q186">
            <v>162.64304929369467</v>
          </cell>
          <cell r="S186">
            <v>220.97088140679855</v>
          </cell>
          <cell r="T186">
            <v>5.424488981211467E-3</v>
          </cell>
          <cell r="U186">
            <v>1.424577E-3</v>
          </cell>
          <cell r="V186">
            <v>0.92238829123999999</v>
          </cell>
          <cell r="W186">
            <v>8.4439498000009913E-4</v>
          </cell>
          <cell r="X186">
            <v>150.22743186225577</v>
          </cell>
          <cell r="Y186">
            <v>26.095464092589467</v>
          </cell>
          <cell r="Z186">
            <v>376.05986995534266</v>
          </cell>
          <cell r="AA186">
            <v>23.580570073757755</v>
          </cell>
          <cell r="AB186">
            <v>6.4342534703272891E-2</v>
          </cell>
          <cell r="AC186">
            <v>2.8221678738821283</v>
          </cell>
          <cell r="AD186">
            <v>8.3507676786445245E-2</v>
          </cell>
          <cell r="AE186">
            <v>748.32088378197273</v>
          </cell>
          <cell r="AF186">
            <v>28.288748980552882</v>
          </cell>
          <cell r="AI186">
            <v>-9.5828321993513814</v>
          </cell>
          <cell r="AJ186">
            <v>1.1826432999672682E-3</v>
          </cell>
          <cell r="AK186">
            <v>0</v>
          </cell>
          <cell r="AL186">
            <v>0</v>
          </cell>
          <cell r="AM186">
            <v>0</v>
          </cell>
          <cell r="AN186">
            <v>206.32242369149276</v>
          </cell>
          <cell r="AO186">
            <v>0</v>
          </cell>
          <cell r="AP186">
            <v>150.52920715782142</v>
          </cell>
          <cell r="AQ186">
            <v>2.1537003838748042E-2</v>
          </cell>
          <cell r="AR186">
            <v>0</v>
          </cell>
          <cell r="AS186">
            <v>1.0146144893771857E-3</v>
          </cell>
          <cell r="AT186">
            <v>0</v>
          </cell>
          <cell r="AU186">
            <v>3726.0517728454424</v>
          </cell>
          <cell r="AV186">
            <v>1.6932831955962846E-2</v>
          </cell>
          <cell r="AX186">
            <v>24648.210645496685</v>
          </cell>
        </row>
        <row r="187">
          <cell r="AX187">
            <v>514.22352051376856</v>
          </cell>
        </row>
        <row r="188">
          <cell r="AX188">
            <v>848.79651432025764</v>
          </cell>
        </row>
        <row r="189">
          <cell r="AX189">
            <v>6554.7067327069935</v>
          </cell>
        </row>
        <row r="190">
          <cell r="AX190">
            <v>102.96146713354331</v>
          </cell>
        </row>
        <row r="191">
          <cell r="AX191">
            <v>226.66243748743022</v>
          </cell>
        </row>
        <row r="192">
          <cell r="AX192">
            <v>290.8330263487274</v>
          </cell>
        </row>
        <row r="193">
          <cell r="AX193">
            <v>6002.8451257227962</v>
          </cell>
        </row>
        <row r="199">
          <cell r="AX199">
            <v>340.55906433776209</v>
          </cell>
        </row>
        <row r="200">
          <cell r="AX200">
            <v>28.663024602854662</v>
          </cell>
        </row>
        <row r="201">
          <cell r="AX201">
            <v>56.151985604334868</v>
          </cell>
        </row>
        <row r="202">
          <cell r="AX202">
            <v>0.589184445</v>
          </cell>
        </row>
        <row r="203">
          <cell r="AX203">
            <v>138.99115841499997</v>
          </cell>
        </row>
        <row r="204">
          <cell r="AX204">
            <v>452.31724853571257</v>
          </cell>
        </row>
        <row r="229">
          <cell r="AX229">
            <v>559.97147637876617</v>
          </cell>
        </row>
        <row r="272">
          <cell r="D272">
            <v>7054.8672145437258</v>
          </cell>
          <cell r="E272">
            <v>376.96287613371828</v>
          </cell>
          <cell r="F272">
            <v>29.691684800964577</v>
          </cell>
          <cell r="G272">
            <v>177.02062431873119</v>
          </cell>
          <cell r="H272">
            <v>4.562775081339657E-3</v>
          </cell>
          <cell r="I272">
            <v>2538.4856115063258</v>
          </cell>
          <cell r="J272">
            <v>1680.1406921809844</v>
          </cell>
          <cell r="K272">
            <v>7213.2333741629691</v>
          </cell>
          <cell r="L272">
            <v>912.00555075119928</v>
          </cell>
          <cell r="M272">
            <v>24.044640354046006</v>
          </cell>
          <cell r="N272">
            <v>368.91928594377276</v>
          </cell>
          <cell r="O272">
            <v>1.4226726853413527</v>
          </cell>
          <cell r="P272">
            <v>13421.744809176766</v>
          </cell>
          <cell r="Q272">
            <v>1035.5107126813414</v>
          </cell>
          <cell r="S272">
            <v>3633.0537973471642</v>
          </cell>
          <cell r="T272">
            <v>83.210602737706836</v>
          </cell>
          <cell r="U272">
            <v>1.424577E-3</v>
          </cell>
          <cell r="V272">
            <v>38.908611387180954</v>
          </cell>
          <cell r="W272">
            <v>0.12453847025108453</v>
          </cell>
          <cell r="X272">
            <v>215.16086705837574</v>
          </cell>
          <cell r="Y272">
            <v>27.90576187198015</v>
          </cell>
          <cell r="Z272">
            <v>784.91172240012713</v>
          </cell>
          <cell r="AA272">
            <v>25.847781630679922</v>
          </cell>
          <cell r="AB272">
            <v>6.4342534703272891E-2</v>
          </cell>
          <cell r="AC272">
            <v>3.8833166859046893</v>
          </cell>
          <cell r="AD272">
            <v>35.329757807485073</v>
          </cell>
          <cell r="AE272">
            <v>757.03329730031987</v>
          </cell>
          <cell r="AF272">
            <v>39.118656339780983</v>
          </cell>
          <cell r="AI272">
            <v>2092.420283522159</v>
          </cell>
          <cell r="AJ272">
            <v>0.39396406293296421</v>
          </cell>
          <cell r="AK272">
            <v>2.2749269494798727E-4</v>
          </cell>
          <cell r="AL272">
            <v>0.26238460043857464</v>
          </cell>
          <cell r="AM272">
            <v>3.5653291900830154E-4</v>
          </cell>
          <cell r="AN272">
            <v>463.16779516784186</v>
          </cell>
          <cell r="AO272">
            <v>2.251280287185665</v>
          </cell>
          <cell r="AP272">
            <v>179.39311992457374</v>
          </cell>
          <cell r="AQ272">
            <v>2.6915502076922548</v>
          </cell>
          <cell r="AR272">
            <v>0</v>
          </cell>
          <cell r="AS272">
            <v>0.20929237721708241</v>
          </cell>
          <cell r="AT272">
            <v>0</v>
          </cell>
          <cell r="AU272">
            <v>3907.3105085832403</v>
          </cell>
          <cell r="AV272">
            <v>10.280038800109502</v>
          </cell>
        </row>
      </sheetData>
      <sheetData sheetId="3">
        <row r="15">
          <cell r="AH15">
            <v>3191.9103287211742</v>
          </cell>
        </row>
        <row r="69">
          <cell r="AH69">
            <v>1148.979778312842</v>
          </cell>
        </row>
        <row r="86">
          <cell r="AH86">
            <v>0</v>
          </cell>
        </row>
        <row r="90">
          <cell r="AH90">
            <v>0</v>
          </cell>
        </row>
        <row r="105">
          <cell r="AH105">
            <v>0</v>
          </cell>
        </row>
        <row r="118">
          <cell r="AH118">
            <v>1.1979E-3</v>
          </cell>
        </row>
        <row r="120">
          <cell r="AH120">
            <v>0</v>
          </cell>
        </row>
        <row r="122">
          <cell r="AH122">
            <v>4.9989999999999999E-6</v>
          </cell>
        </row>
        <row r="130">
          <cell r="AH130">
            <v>1212.3492500971831</v>
          </cell>
        </row>
        <row r="141">
          <cell r="AH141">
            <v>759.87547549869828</v>
          </cell>
        </row>
        <row r="170">
          <cell r="AH170">
            <v>46.447929131720002</v>
          </cell>
        </row>
        <row r="186">
          <cell r="D186">
            <v>266.56395897147803</v>
          </cell>
          <cell r="E186">
            <v>59.322750997000014</v>
          </cell>
          <cell r="F186">
            <v>0</v>
          </cell>
          <cell r="G186">
            <v>0</v>
          </cell>
          <cell r="H186">
            <v>0</v>
          </cell>
          <cell r="I186">
            <v>699.94022773600011</v>
          </cell>
          <cell r="J186">
            <v>2.5524116110000001</v>
          </cell>
          <cell r="K186">
            <v>3887.6678908505896</v>
          </cell>
          <cell r="L186">
            <v>12.438385405185125</v>
          </cell>
          <cell r="M186">
            <v>1.48909849801271</v>
          </cell>
          <cell r="N186">
            <v>2.2505110974628781</v>
          </cell>
          <cell r="O186">
            <v>30.10162115635055</v>
          </cell>
          <cell r="P186">
            <v>9587.1592991178895</v>
          </cell>
          <cell r="Q186">
            <v>24.090614314221355</v>
          </cell>
          <cell r="S186">
            <v>1933.6474931868333</v>
          </cell>
          <cell r="T186">
            <v>4.8695606341890141</v>
          </cell>
          <cell r="U186">
            <v>4.5746492110056879E-5</v>
          </cell>
          <cell r="V186">
            <v>19.52275008272364</v>
          </cell>
          <cell r="W186">
            <v>2.3169686647652998</v>
          </cell>
          <cell r="X186">
            <v>6559.9065963354515</v>
          </cell>
          <cell r="Y186">
            <v>13.120877357600037</v>
          </cell>
          <cell r="Z186">
            <v>2712.5877306518028</v>
          </cell>
          <cell r="AA186">
            <v>127.58128146915321</v>
          </cell>
          <cell r="AB186">
            <v>0.13437092680976592</v>
          </cell>
          <cell r="AC186">
            <v>-12.729144880758925</v>
          </cell>
          <cell r="AD186">
            <v>0.13838545749681064</v>
          </cell>
          <cell r="AE186">
            <v>4174.3245215211273</v>
          </cell>
          <cell r="AF186">
            <v>110.58253969610197</v>
          </cell>
          <cell r="AH186">
            <v>30219.580746604977</v>
          </cell>
        </row>
        <row r="187">
          <cell r="AH187">
            <v>0</v>
          </cell>
        </row>
        <row r="188">
          <cell r="AH188">
            <v>200.64819922954342</v>
          </cell>
        </row>
        <row r="189">
          <cell r="AH189">
            <v>2083.4948618137737</v>
          </cell>
        </row>
        <row r="190">
          <cell r="AH190">
            <v>535.48366051816276</v>
          </cell>
        </row>
        <row r="191">
          <cell r="AH191">
            <v>924.89619251107229</v>
          </cell>
        </row>
        <row r="192">
          <cell r="AH192">
            <v>3181.7426139591967</v>
          </cell>
        </row>
        <row r="193">
          <cell r="AH193">
            <v>2319.0162444128459</v>
          </cell>
        </row>
        <row r="199">
          <cell r="AH199">
            <v>74.913649826823885</v>
          </cell>
        </row>
        <row r="200">
          <cell r="AH200">
            <v>1.5149992827000001</v>
          </cell>
        </row>
        <row r="201">
          <cell r="AH201">
            <v>0</v>
          </cell>
        </row>
        <row r="202">
          <cell r="AH202">
            <v>0</v>
          </cell>
        </row>
        <row r="203">
          <cell r="AH203">
            <v>1.79E-6</v>
          </cell>
        </row>
        <row r="204">
          <cell r="AH204">
            <v>813.28723506436893</v>
          </cell>
        </row>
        <row r="229">
          <cell r="AH229">
            <v>299.51225827507091</v>
          </cell>
        </row>
        <row r="272">
          <cell r="D272">
            <v>2167.0890346362116</v>
          </cell>
          <cell r="E272">
            <v>247.11446278512165</v>
          </cell>
          <cell r="F272">
            <v>82.359856203999982</v>
          </cell>
          <cell r="G272">
            <v>-16.142078339559106</v>
          </cell>
          <cell r="H272">
            <v>0.55475303599999992</v>
          </cell>
          <cell r="I272">
            <v>703.6895042750001</v>
          </cell>
          <cell r="J272">
            <v>163.11649075302142</v>
          </cell>
          <cell r="K272">
            <v>6955.5206565558192</v>
          </cell>
          <cell r="L272">
            <v>456.25756055365878</v>
          </cell>
          <cell r="M272">
            <v>7.4928121619997103</v>
          </cell>
          <cell r="N272">
            <v>405.14333165497976</v>
          </cell>
          <cell r="O272">
            <v>62.047519704789977</v>
          </cell>
          <cell r="P272">
            <v>9735.2223446916578</v>
          </cell>
          <cell r="Q272">
            <v>1388.584778826875</v>
          </cell>
          <cell r="S272">
            <v>4456.3931862242525</v>
          </cell>
          <cell r="T272">
            <v>252.72571115778504</v>
          </cell>
          <cell r="U272">
            <v>6.1162329497446537</v>
          </cell>
          <cell r="V272">
            <v>69.357347082473296</v>
          </cell>
          <cell r="W272">
            <v>2.6315834045245086</v>
          </cell>
          <cell r="X272">
            <v>6564.3432475983163</v>
          </cell>
          <cell r="Y272">
            <v>264.67341562183822</v>
          </cell>
          <cell r="Z272">
            <v>8467.2930338203441</v>
          </cell>
          <cell r="AA272">
            <v>312.16565385805563</v>
          </cell>
          <cell r="AB272">
            <v>0.13437092680976592</v>
          </cell>
          <cell r="AC272">
            <v>40.907453126092378</v>
          </cell>
          <cell r="AD272">
            <v>0.25905580748935864</v>
          </cell>
          <cell r="AE272">
            <v>4184.7545235339885</v>
          </cell>
          <cell r="AF272">
            <v>157.14303055682785</v>
          </cell>
          <cell r="AH272">
            <v>47136.948873168127</v>
          </cell>
        </row>
      </sheetData>
      <sheetData sheetId="4">
        <row r="14">
          <cell r="D14">
            <v>21302.901760413308</v>
          </cell>
          <cell r="G14">
            <v>21188.034898253194</v>
          </cell>
        </row>
        <row r="16">
          <cell r="D16">
            <v>20957.900872812614</v>
          </cell>
          <cell r="G16">
            <v>22046.26946437166</v>
          </cell>
        </row>
        <row r="17">
          <cell r="D17">
            <v>589.20369428614288</v>
          </cell>
          <cell r="G17">
            <v>499.27442279197606</v>
          </cell>
        </row>
        <row r="18">
          <cell r="D18">
            <v>53.802406559576738</v>
          </cell>
          <cell r="G18">
            <v>96.103169083114764</v>
          </cell>
        </row>
        <row r="19">
          <cell r="D19">
            <v>36.881854974478856</v>
          </cell>
          <cell r="G19">
            <v>65.492402693392165</v>
          </cell>
        </row>
        <row r="20">
          <cell r="D20">
            <v>1401.1127110825992</v>
          </cell>
          <cell r="G20">
            <v>1268.2878778963293</v>
          </cell>
        </row>
        <row r="21">
          <cell r="D21">
            <v>554.05104052334855</v>
          </cell>
          <cell r="G21">
            <v>159.0607815406286</v>
          </cell>
        </row>
        <row r="22">
          <cell r="D22">
            <v>2010.5865893538867</v>
          </cell>
          <cell r="G22">
            <v>1633.6953091771677</v>
          </cell>
        </row>
        <row r="23">
          <cell r="D23">
            <v>230.56675949003093</v>
          </cell>
          <cell r="G23">
            <v>180.75180463809187</v>
          </cell>
        </row>
        <row r="24">
          <cell r="G24">
            <v>47136.970130445552</v>
          </cell>
        </row>
      </sheetData>
      <sheetData sheetId="5">
        <row r="11">
          <cell r="D11">
            <v>5481.6750776174067</v>
          </cell>
          <cell r="F11">
            <v>451.69885835223437</v>
          </cell>
        </row>
        <row r="12">
          <cell r="D12">
            <v>33.861617776180267</v>
          </cell>
          <cell r="F12">
            <v>0.93668110899999968</v>
          </cell>
        </row>
        <row r="13">
          <cell r="D13">
            <v>76.345135405246154</v>
          </cell>
          <cell r="F13">
            <v>0</v>
          </cell>
        </row>
        <row r="14">
          <cell r="D14">
            <v>1347.8604010479312</v>
          </cell>
          <cell r="F14">
            <v>28.683661232844706</v>
          </cell>
        </row>
        <row r="15">
          <cell r="D15">
            <v>302.34675534229336</v>
          </cell>
          <cell r="F15">
            <v>0.84423882299999997</v>
          </cell>
        </row>
        <row r="16">
          <cell r="D16">
            <v>42.50172362173651</v>
          </cell>
          <cell r="F16">
            <v>0</v>
          </cell>
        </row>
        <row r="17">
          <cell r="D17">
            <v>716.12346274053493</v>
          </cell>
          <cell r="F17">
            <v>115.28242305402108</v>
          </cell>
        </row>
        <row r="18">
          <cell r="D18">
            <v>598.01120651710733</v>
          </cell>
          <cell r="F18">
            <v>97.721835673248691</v>
          </cell>
        </row>
        <row r="19">
          <cell r="D19">
            <v>65.023774788056841</v>
          </cell>
          <cell r="F19">
            <v>7.4298804360000013</v>
          </cell>
        </row>
        <row r="20">
          <cell r="D20">
            <v>198.74795174553529</v>
          </cell>
          <cell r="F20">
            <v>32.055222219000001</v>
          </cell>
        </row>
        <row r="21">
          <cell r="D21">
            <v>134.90052439849973</v>
          </cell>
          <cell r="F21">
            <v>1.1696532740000003</v>
          </cell>
        </row>
        <row r="22">
          <cell r="D22">
            <v>235.28019359531945</v>
          </cell>
          <cell r="F22">
            <v>11.639373101</v>
          </cell>
        </row>
        <row r="23">
          <cell r="D23">
            <v>738.65640304569013</v>
          </cell>
          <cell r="F23">
            <v>28.944231570529997</v>
          </cell>
        </row>
        <row r="24">
          <cell r="D24">
            <v>17.942622053992991</v>
          </cell>
          <cell r="F24">
            <v>4.6870226230170005</v>
          </cell>
        </row>
        <row r="25">
          <cell r="D25">
            <v>0.4</v>
          </cell>
          <cell r="F25">
            <v>0.3</v>
          </cell>
        </row>
        <row r="26">
          <cell r="D26">
            <v>36.119999999999997</v>
          </cell>
          <cell r="F26">
            <v>0</v>
          </cell>
        </row>
        <row r="27">
          <cell r="D27">
            <v>31.253795707999998</v>
          </cell>
          <cell r="F27">
            <v>1.2207807679999998</v>
          </cell>
        </row>
        <row r="28">
          <cell r="D28">
            <v>41.528373451199997</v>
          </cell>
          <cell r="F28">
            <v>2.0629205929999999</v>
          </cell>
        </row>
        <row r="29">
          <cell r="D29">
            <v>8.5548103650001543</v>
          </cell>
          <cell r="F29">
            <v>7.2871661660000004</v>
          </cell>
        </row>
        <row r="30">
          <cell r="D30">
            <v>831.34941328866364</v>
          </cell>
          <cell r="F30">
            <v>111.34882483357285</v>
          </cell>
        </row>
        <row r="31">
          <cell r="D31">
            <v>24.866912726418658</v>
          </cell>
          <cell r="F31">
            <v>8.4942875999999903E-2</v>
          </cell>
        </row>
        <row r="32">
          <cell r="D32">
            <v>0</v>
          </cell>
          <cell r="F32">
            <v>0</v>
          </cell>
        </row>
        <row r="56">
          <cell r="D56">
            <v>6261.7301555454515</v>
          </cell>
        </row>
        <row r="57">
          <cell r="D57">
            <v>3239.457883219945</v>
          </cell>
        </row>
        <row r="58">
          <cell r="D58">
            <v>91.237511691619403</v>
          </cell>
        </row>
        <row r="59">
          <cell r="D59">
            <v>198.5620805291334</v>
          </cell>
        </row>
        <row r="60">
          <cell r="D60">
            <v>1755.0926727060571</v>
          </cell>
        </row>
        <row r="61">
          <cell r="D61">
            <v>115.29061393478158</v>
          </cell>
        </row>
        <row r="62">
          <cell r="D62">
            <v>862.08939346391617</v>
          </cell>
        </row>
        <row r="63">
          <cell r="D63">
            <v>1681.7340780914819</v>
          </cell>
        </row>
        <row r="66">
          <cell r="D66">
            <v>13425.139311254341</v>
          </cell>
        </row>
      </sheetData>
      <sheetData sheetId="6"/>
      <sheetData sheetId="7"/>
      <sheetData sheetId="8"/>
      <sheetData sheetId="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14">
          <cell r="C14">
            <v>37.314741529000003</v>
          </cell>
          <cell r="D14">
            <v>0</v>
          </cell>
        </row>
        <row r="18">
          <cell r="C18">
            <v>306.66952672227296</v>
          </cell>
          <cell r="D18">
            <v>1287.7556118420566</v>
          </cell>
        </row>
        <row r="23">
          <cell r="C23">
            <v>1430.4968871701517</v>
          </cell>
          <cell r="D23">
            <v>154.91229473975301</v>
          </cell>
        </row>
        <row r="24">
          <cell r="C24">
            <v>317.32441915095092</v>
          </cell>
          <cell r="D24">
            <v>63.876601436933001</v>
          </cell>
        </row>
        <row r="25">
          <cell r="C25">
            <v>226.59563594226611</v>
          </cell>
          <cell r="D25">
            <v>273.41243758747532</v>
          </cell>
        </row>
        <row r="26">
          <cell r="C26">
            <v>360.46369181018986</v>
          </cell>
          <cell r="D26">
            <v>821.55961131464596</v>
          </cell>
        </row>
        <row r="27">
          <cell r="C27">
            <v>2667.2731306743099</v>
          </cell>
          <cell r="D27">
            <v>1865.31644456869</v>
          </cell>
        </row>
        <row r="28">
          <cell r="C28">
            <v>8042.5790251230992</v>
          </cell>
          <cell r="D28">
            <v>1285.7042382195641</v>
          </cell>
        </row>
        <row r="29">
          <cell r="C29">
            <v>364.85820597603004</v>
          </cell>
          <cell r="D29">
            <v>49.67819718562</v>
          </cell>
        </row>
        <row r="30">
          <cell r="C30">
            <v>0</v>
          </cell>
          <cell r="D30">
            <v>0</v>
          </cell>
        </row>
        <row r="31">
          <cell r="C31">
            <v>0.60000000000000009</v>
          </cell>
          <cell r="D31">
            <v>19.892371994368492</v>
          </cell>
        </row>
        <row r="33">
          <cell r="C33">
            <v>124.62669309668992</v>
          </cell>
          <cell r="D33">
            <v>116.2003313539203</v>
          </cell>
        </row>
        <row r="34">
          <cell r="C34">
            <v>2802.8653838927348</v>
          </cell>
          <cell r="D34">
            <v>194.56504314600002</v>
          </cell>
        </row>
        <row r="36">
          <cell r="C36">
            <v>1144.1329492530986</v>
          </cell>
          <cell r="D36">
            <v>-28.865547326907475</v>
          </cell>
        </row>
        <row r="37">
          <cell r="C37">
            <v>463.31049422129638</v>
          </cell>
          <cell r="D37">
            <v>450.27160237782761</v>
          </cell>
        </row>
        <row r="38">
          <cell r="C38">
            <v>18289.110784562094</v>
          </cell>
          <cell r="D38">
            <v>6554.2792384399463</v>
          </cell>
          <cell r="E38">
            <v>121.23203977129606</v>
          </cell>
          <cell r="F38">
            <v>6285.6640537026096</v>
          </cell>
          <cell r="G38">
            <v>22.646348126733223</v>
          </cell>
          <cell r="H38">
            <v>80.983747159162931</v>
          </cell>
          <cell r="I38">
            <v>16.468625932713564</v>
          </cell>
          <cell r="J38">
            <v>251.08042177968332</v>
          </cell>
          <cell r="K38">
            <v>50.464909255837334</v>
          </cell>
          <cell r="L38">
            <v>358.11076982283043</v>
          </cell>
          <cell r="M38">
            <v>1996.4177877808586</v>
          </cell>
          <cell r="N38">
            <v>3954.3701002812195</v>
          </cell>
          <cell r="O38">
            <v>702.82034378378626</v>
          </cell>
          <cell r="P38">
            <v>8363.203351215423</v>
          </cell>
          <cell r="Q38">
            <v>47046.852521614201</v>
          </cell>
        </row>
        <row r="40">
          <cell r="Q40">
            <v>9515.5079829719598</v>
          </cell>
        </row>
        <row r="68">
          <cell r="C68">
            <v>273.36817389585775</v>
          </cell>
          <cell r="D68">
            <v>72.887210501644631</v>
          </cell>
        </row>
        <row r="69">
          <cell r="C69">
            <v>4532.0038678253795</v>
          </cell>
          <cell r="D69">
            <v>7.5200000009999997</v>
          </cell>
        </row>
        <row r="72">
          <cell r="C72">
            <v>456.200395976295</v>
          </cell>
          <cell r="D72">
            <v>376.01242795630941</v>
          </cell>
        </row>
        <row r="76">
          <cell r="C76">
            <v>9600.6663078669881</v>
          </cell>
          <cell r="D76">
            <v>3815.091829885198</v>
          </cell>
        </row>
        <row r="77">
          <cell r="C77">
            <v>477.34443203599994</v>
          </cell>
          <cell r="D77">
            <v>1214.06031040783</v>
          </cell>
        </row>
        <row r="78">
          <cell r="C78">
            <v>0</v>
          </cell>
          <cell r="D78">
            <v>0</v>
          </cell>
        </row>
        <row r="79">
          <cell r="C79">
            <v>126.37409550299998</v>
          </cell>
          <cell r="D79">
            <v>115.45419656221199</v>
          </cell>
        </row>
        <row r="80">
          <cell r="C80">
            <v>156.01877966068989</v>
          </cell>
          <cell r="D80">
            <v>958.01808287183007</v>
          </cell>
        </row>
        <row r="81">
          <cell r="C81">
            <v>2545.1112278027522</v>
          </cell>
          <cell r="D81">
            <v>1301.2457432187603</v>
          </cell>
        </row>
        <row r="82">
          <cell r="C82">
            <v>6248.4818774535443</v>
          </cell>
          <cell r="D82">
            <v>187.21349682456542</v>
          </cell>
        </row>
        <row r="83">
          <cell r="C83">
            <v>47.335895410999996</v>
          </cell>
          <cell r="D83">
            <v>39.1</v>
          </cell>
        </row>
        <row r="84">
          <cell r="E84">
            <v>0</v>
          </cell>
          <cell r="F84">
            <v>146.57250848064888</v>
          </cell>
          <cell r="G84">
            <v>0</v>
          </cell>
          <cell r="H84">
            <v>310.52459166894118</v>
          </cell>
          <cell r="I84">
            <v>0</v>
          </cell>
          <cell r="J84">
            <v>281.22859339863578</v>
          </cell>
          <cell r="K84">
            <v>0</v>
          </cell>
          <cell r="L84">
            <v>2256.9464667285274</v>
          </cell>
          <cell r="M84">
            <v>-4.4643649999999997E-3</v>
          </cell>
          <cell r="N84">
            <v>1150.2247473176565</v>
          </cell>
          <cell r="O84">
            <v>0</v>
          </cell>
          <cell r="P84">
            <v>2276.6083316039444</v>
          </cell>
        </row>
        <row r="86">
          <cell r="C86">
            <v>3782.8218613098206</v>
          </cell>
          <cell r="D86">
            <v>3169.0924283103031</v>
          </cell>
        </row>
        <row r="89">
          <cell r="C89">
            <v>2.1924237039999999</v>
          </cell>
          <cell r="D89">
            <v>289.39868444891675</v>
          </cell>
        </row>
        <row r="92">
          <cell r="C92">
            <v>486.95950795099998</v>
          </cell>
          <cell r="D92">
            <v>121.02882410362548</v>
          </cell>
        </row>
        <row r="93">
          <cell r="C93">
            <v>0.21374199799999993</v>
          </cell>
          <cell r="D93">
            <v>25.634198440509252</v>
          </cell>
        </row>
        <row r="95">
          <cell r="C95">
            <v>1007.1124792650205</v>
          </cell>
          <cell r="D95">
            <v>777.68892111664491</v>
          </cell>
        </row>
        <row r="96">
          <cell r="C96">
            <v>198.1822009743538</v>
          </cell>
          <cell r="D96">
            <v>8.738599511487001</v>
          </cell>
        </row>
        <row r="97">
          <cell r="C97">
            <v>734.57499770356242</v>
          </cell>
          <cell r="D97">
            <v>401.51490501423825</v>
          </cell>
        </row>
        <row r="98">
          <cell r="C98">
            <v>21074.295958470277</v>
          </cell>
          <cell r="D98">
            <v>9064.6080292898769</v>
          </cell>
          <cell r="E98">
            <v>70.685368150654995</v>
          </cell>
          <cell r="F98">
            <v>2056.9910587846807</v>
          </cell>
          <cell r="G98">
            <v>2.4688780000000004E-2</v>
          </cell>
          <cell r="H98">
            <v>422.38475213692851</v>
          </cell>
          <cell r="I98">
            <v>2.8725404E-2</v>
          </cell>
          <cell r="J98">
            <v>976.74207807456708</v>
          </cell>
          <cell r="K98">
            <v>22.958572562022002</v>
          </cell>
          <cell r="L98">
            <v>3026.3508937456736</v>
          </cell>
          <cell r="M98">
            <v>43.368011048300005</v>
          </cell>
          <cell r="N98">
            <v>2369.9307193515733</v>
          </cell>
          <cell r="O98">
            <v>30.536963438000001</v>
          </cell>
          <cell r="P98">
            <v>7887.9551648024872</v>
          </cell>
          <cell r="Q98">
            <v>47046.860984039027</v>
          </cell>
        </row>
        <row r="100">
          <cell r="Q100">
            <v>9516.9520362060248</v>
          </cell>
        </row>
      </sheetData>
      <sheetData sheetId="1">
        <row r="15">
          <cell r="C15">
            <v>1112.376474218785</v>
          </cell>
          <cell r="D15">
            <v>317.31391095633199</v>
          </cell>
          <cell r="F15">
            <v>360.33651525118995</v>
          </cell>
          <cell r="I15">
            <v>13045.472115987479</v>
          </cell>
          <cell r="K15">
            <v>303.16220092853217</v>
          </cell>
        </row>
        <row r="16">
          <cell r="E16">
            <v>160.50098298065808</v>
          </cell>
          <cell r="G16">
            <v>1356.0692915527627</v>
          </cell>
          <cell r="H16">
            <v>1325.402879906281</v>
          </cell>
        </row>
        <row r="17">
          <cell r="E17">
            <v>0.299427159469</v>
          </cell>
          <cell r="G17">
            <v>86.210245614290031</v>
          </cell>
          <cell r="H17">
            <v>3396.1504970193164</v>
          </cell>
        </row>
        <row r="18">
          <cell r="E18">
            <v>65.822029008138998</v>
          </cell>
          <cell r="G18">
            <v>1192.0702894533649</v>
          </cell>
          <cell r="H18">
            <v>3672.9195728668906</v>
          </cell>
        </row>
        <row r="19">
          <cell r="E19">
            <v>0</v>
          </cell>
          <cell r="G19">
            <v>0</v>
          </cell>
          <cell r="H19">
            <v>0</v>
          </cell>
        </row>
        <row r="20">
          <cell r="I20">
            <v>0</v>
          </cell>
        </row>
        <row r="21">
          <cell r="I21">
            <v>364.10223133298553</v>
          </cell>
        </row>
        <row r="23">
          <cell r="C23">
            <v>154.91229473975298</v>
          </cell>
          <cell r="D23">
            <v>63.876601436933001</v>
          </cell>
          <cell r="F23">
            <v>820.08461131464605</v>
          </cell>
          <cell r="I23">
            <v>4473.1190430449742</v>
          </cell>
          <cell r="K23">
            <v>5045.1933185499183</v>
          </cell>
        </row>
        <row r="24">
          <cell r="E24">
            <v>123.25803208615577</v>
          </cell>
          <cell r="G24">
            <v>534.72998727066897</v>
          </cell>
          <cell r="H24">
            <v>142.3119495572351</v>
          </cell>
        </row>
        <row r="25">
          <cell r="E25">
            <v>1.6252453941460001</v>
          </cell>
          <cell r="G25">
            <v>51.884261458942646</v>
          </cell>
          <cell r="H25">
            <v>122.89805147360559</v>
          </cell>
        </row>
        <row r="26">
          <cell r="E26">
            <v>109.35772313717351</v>
          </cell>
          <cell r="G26">
            <v>1278.5328316080684</v>
          </cell>
          <cell r="H26">
            <v>1069.6474535676457</v>
          </cell>
        </row>
        <row r="27">
          <cell r="E27">
            <v>0</v>
          </cell>
          <cell r="G27">
            <v>0</v>
          </cell>
          <cell r="H27">
            <v>0</v>
          </cell>
        </row>
        <row r="28">
          <cell r="I28">
            <v>39.251511439999994</v>
          </cell>
        </row>
        <row r="29">
          <cell r="I29">
            <v>2.165</v>
          </cell>
        </row>
      </sheetData>
      <sheetData sheetId="2">
        <row r="15">
          <cell r="AX15">
            <v>4203.9108348350946</v>
          </cell>
        </row>
        <row r="69">
          <cell r="AX69">
            <v>493.10052426981599</v>
          </cell>
        </row>
        <row r="86">
          <cell r="AX86">
            <v>0</v>
          </cell>
        </row>
        <row r="90">
          <cell r="AX90">
            <v>28.147027432999998</v>
          </cell>
        </row>
        <row r="105">
          <cell r="AX105">
            <v>117.757242470897</v>
          </cell>
        </row>
        <row r="118">
          <cell r="AX118">
            <v>5.0916193590000001</v>
          </cell>
        </row>
        <row r="120">
          <cell r="AX120">
            <v>155.69595982900003</v>
          </cell>
        </row>
        <row r="122">
          <cell r="AX122">
            <v>0.741428713824</v>
          </cell>
        </row>
        <row r="130">
          <cell r="AX130">
            <v>138.7200909487976</v>
          </cell>
        </row>
        <row r="141">
          <cell r="AX141">
            <v>730.17906614529693</v>
          </cell>
        </row>
        <row r="170">
          <cell r="AX170">
            <v>1.8499495299999918E-2</v>
          </cell>
        </row>
        <row r="186">
          <cell r="D186">
            <v>1006.1153610409872</v>
          </cell>
          <cell r="E186">
            <v>9.3129363165110597</v>
          </cell>
          <cell r="F186">
            <v>0</v>
          </cell>
          <cell r="G186">
            <v>7.1926245851040002E-2</v>
          </cell>
          <cell r="H186">
            <v>0</v>
          </cell>
          <cell r="I186">
            <v>275.21589866427303</v>
          </cell>
          <cell r="J186">
            <v>123.15337061647942</v>
          </cell>
          <cell r="K186">
            <v>4035.2577705557851</v>
          </cell>
          <cell r="L186">
            <v>162.06508561164759</v>
          </cell>
          <cell r="M186">
            <v>23.989957676130818</v>
          </cell>
          <cell r="N186">
            <v>97.045796973911536</v>
          </cell>
          <cell r="O186">
            <v>1.0935501986378111</v>
          </cell>
          <cell r="P186">
            <v>13119.307508972764</v>
          </cell>
          <cell r="Q186">
            <v>145.27045813688738</v>
          </cell>
          <cell r="S186">
            <v>311.28888916771132</v>
          </cell>
          <cell r="T186">
            <v>6.8064268688006347E-3</v>
          </cell>
          <cell r="U186">
            <v>1.406261E-3</v>
          </cell>
          <cell r="V186">
            <v>1.0230575093200005</v>
          </cell>
          <cell r="W186">
            <v>8.4439498000009913E-4</v>
          </cell>
          <cell r="X186">
            <v>130.43464796860493</v>
          </cell>
          <cell r="Y186">
            <v>20.896199309919982</v>
          </cell>
          <cell r="Z186">
            <v>414.76235564041639</v>
          </cell>
          <cell r="AA186">
            <v>23.601385240686298</v>
          </cell>
          <cell r="AB186">
            <v>7.9370439010630289E-2</v>
          </cell>
          <cell r="AC186">
            <v>3.7035554241055122</v>
          </cell>
          <cell r="AD186">
            <v>1.9950001668492738</v>
          </cell>
          <cell r="AE186">
            <v>795.5792519186673</v>
          </cell>
          <cell r="AF186">
            <v>29.473145148281542</v>
          </cell>
          <cell r="AI186">
            <v>-17.328796084817615</v>
          </cell>
          <cell r="AJ186">
            <v>3.2464118500544393E-4</v>
          </cell>
          <cell r="AK186">
            <v>0</v>
          </cell>
          <cell r="AL186">
            <v>0</v>
          </cell>
          <cell r="AM186">
            <v>0</v>
          </cell>
          <cell r="AN186">
            <v>206.1017164546773</v>
          </cell>
          <cell r="AO186">
            <v>0.02</v>
          </cell>
          <cell r="AP186">
            <v>153.070145539538</v>
          </cell>
          <cell r="AQ186">
            <v>2.6201116429917223E-2</v>
          </cell>
          <cell r="AR186">
            <v>0</v>
          </cell>
          <cell r="AS186">
            <v>1.0000716666732714E-3</v>
          </cell>
          <cell r="AT186">
            <v>4.6543614112960772E-5</v>
          </cell>
          <cell r="AU186">
            <v>3770.7869966911544</v>
          </cell>
          <cell r="AV186">
            <v>2.057399147644931E-2</v>
          </cell>
          <cell r="AX186">
            <v>24843.443744991215</v>
          </cell>
        </row>
        <row r="187">
          <cell r="AX187">
            <v>513.02882525917403</v>
          </cell>
        </row>
        <row r="188">
          <cell r="AX188">
            <v>895.13507416547145</v>
          </cell>
        </row>
        <row r="189">
          <cell r="AX189">
            <v>6406.9293720639071</v>
          </cell>
        </row>
        <row r="190">
          <cell r="AX190">
            <v>103.61470164589613</v>
          </cell>
        </row>
        <row r="191">
          <cell r="AX191">
            <v>267.55664556239691</v>
          </cell>
        </row>
        <row r="192">
          <cell r="AX192">
            <v>408.5642207456678</v>
          </cell>
        </row>
        <row r="193">
          <cell r="AX193">
            <v>5950.8284108237867</v>
          </cell>
        </row>
        <row r="199">
          <cell r="AX199">
            <v>337.52373605588457</v>
          </cell>
        </row>
        <row r="200">
          <cell r="AX200">
            <v>23.78758743346603</v>
          </cell>
        </row>
        <row r="201">
          <cell r="AX201">
            <v>55.754565179484743</v>
          </cell>
        </row>
        <row r="202">
          <cell r="AX202">
            <v>0.48918444500000002</v>
          </cell>
        </row>
        <row r="203">
          <cell r="AX203">
            <v>160.79309417999997</v>
          </cell>
        </row>
        <row r="204">
          <cell r="AX204">
            <v>396.71936224749095</v>
          </cell>
        </row>
        <row r="229">
          <cell r="AX229">
            <v>552.56995710007789</v>
          </cell>
        </row>
        <row r="272">
          <cell r="D272">
            <v>7050.0102224826969</v>
          </cell>
          <cell r="E272">
            <v>397.30586733515122</v>
          </cell>
          <cell r="F272">
            <v>32.794723639107744</v>
          </cell>
          <cell r="G272">
            <v>55.398364557665701</v>
          </cell>
          <cell r="H272">
            <v>4.5779619407285924E-3</v>
          </cell>
          <cell r="I272">
            <v>2372.2557936732919</v>
          </cell>
          <cell r="J272">
            <v>1739.3556709783086</v>
          </cell>
          <cell r="K272">
            <v>7431.9087096980102</v>
          </cell>
          <cell r="L272">
            <v>798.04932671840595</v>
          </cell>
          <cell r="M272">
            <v>23.991029411323094</v>
          </cell>
          <cell r="N272">
            <v>376.38352361822524</v>
          </cell>
          <cell r="O272">
            <v>1.6444238363337813</v>
          </cell>
          <cell r="P272">
            <v>13414.444497119299</v>
          </cell>
          <cell r="Q272">
            <v>1062.8513617336853</v>
          </cell>
          <cell r="S272">
            <v>3534.0799038240521</v>
          </cell>
          <cell r="T272">
            <v>89.850420628003121</v>
          </cell>
          <cell r="U272">
            <v>1.406261E-3</v>
          </cell>
          <cell r="V272">
            <v>7.5310741583841381</v>
          </cell>
          <cell r="W272">
            <v>6.271825309004038E-2</v>
          </cell>
          <cell r="X272">
            <v>188.13923281716495</v>
          </cell>
          <cell r="Y272">
            <v>22.364738516476127</v>
          </cell>
          <cell r="Z272">
            <v>825.66646404209132</v>
          </cell>
          <cell r="AA272">
            <v>24.037472501376957</v>
          </cell>
          <cell r="AB272">
            <v>7.9370439010630289E-2</v>
          </cell>
          <cell r="AC272">
            <v>4.6829759533255926</v>
          </cell>
          <cell r="AD272">
            <v>35.723306846044395</v>
          </cell>
          <cell r="AE272">
            <v>802.48720357492368</v>
          </cell>
          <cell r="AF272">
            <v>38.636077079889212</v>
          </cell>
          <cell r="AI272">
            <v>2097.0477735227837</v>
          </cell>
          <cell r="AJ272">
            <v>-4.8225105730325714E-2</v>
          </cell>
          <cell r="AK272">
            <v>4.3796207168270189E-4</v>
          </cell>
          <cell r="AL272">
            <v>9.6597668698586089E-2</v>
          </cell>
          <cell r="AM272">
            <v>1.8595228138569151E-2</v>
          </cell>
          <cell r="AN272">
            <v>469.54911073267743</v>
          </cell>
          <cell r="AO272">
            <v>2.0119004219499352</v>
          </cell>
          <cell r="AP272">
            <v>183.08242818118586</v>
          </cell>
          <cell r="AQ272">
            <v>2.7406163584530669</v>
          </cell>
          <cell r="AR272">
            <v>0</v>
          </cell>
          <cell r="AS272">
            <v>1.514521827162793E-2</v>
          </cell>
          <cell r="AT272">
            <v>4.6543614112960772E-5</v>
          </cell>
          <cell r="AU272">
            <v>3952.3172740090117</v>
          </cell>
          <cell r="AV272">
            <v>10.377298029947031</v>
          </cell>
        </row>
      </sheetData>
      <sheetData sheetId="3">
        <row r="15">
          <cell r="AH15">
            <v>3201.0532246816292</v>
          </cell>
        </row>
        <row r="69">
          <cell r="AH69">
            <v>1102.4108315489302</v>
          </cell>
        </row>
        <row r="86">
          <cell r="AH86">
            <v>0</v>
          </cell>
        </row>
        <row r="90">
          <cell r="AH90">
            <v>0</v>
          </cell>
        </row>
        <row r="105">
          <cell r="AH105">
            <v>0</v>
          </cell>
        </row>
        <row r="118">
          <cell r="AH118">
            <v>1.2061959999999999E-3</v>
          </cell>
        </row>
        <row r="120">
          <cell r="AH120">
            <v>0</v>
          </cell>
        </row>
        <row r="122">
          <cell r="AH122">
            <v>0.10000495700000001</v>
          </cell>
        </row>
        <row r="130">
          <cell r="AH130">
            <v>1237.3258478668886</v>
          </cell>
        </row>
        <row r="141">
          <cell r="AH141">
            <v>832.12571138574094</v>
          </cell>
        </row>
        <row r="170">
          <cell r="AH170">
            <v>37.369231391320007</v>
          </cell>
        </row>
        <row r="186">
          <cell r="D186">
            <v>235.33327578400002</v>
          </cell>
          <cell r="E186">
            <v>48.295024315999996</v>
          </cell>
          <cell r="F186">
            <v>0</v>
          </cell>
          <cell r="G186">
            <v>0</v>
          </cell>
          <cell r="H186">
            <v>0</v>
          </cell>
          <cell r="I186">
            <v>561.58517148370015</v>
          </cell>
          <cell r="J186">
            <v>0.63570113000000006</v>
          </cell>
          <cell r="K186">
            <v>3815.1676887917351</v>
          </cell>
          <cell r="L186">
            <v>8.6329489107038739</v>
          </cell>
          <cell r="M186">
            <v>1.4861220552434</v>
          </cell>
          <cell r="N186">
            <v>2.1485694874079058</v>
          </cell>
          <cell r="O186">
            <v>29.750135387134502</v>
          </cell>
          <cell r="P186">
            <v>9630.1852899345104</v>
          </cell>
          <cell r="Q186">
            <v>14.887451196021484</v>
          </cell>
          <cell r="S186">
            <v>1959.6862780384461</v>
          </cell>
          <cell r="T186">
            <v>5.2847725533380592</v>
          </cell>
          <cell r="U186">
            <v>2.1756273981301576E-3</v>
          </cell>
          <cell r="V186">
            <v>21.126753075929997</v>
          </cell>
          <cell r="W186">
            <v>1.4959970011353552</v>
          </cell>
          <cell r="X186">
            <v>6534.608808054054</v>
          </cell>
          <cell r="Y186">
            <v>6.4138298248577703</v>
          </cell>
          <cell r="Z186">
            <v>2694.8704680859487</v>
          </cell>
          <cell r="AA186">
            <v>139.98137772600597</v>
          </cell>
          <cell r="AB186">
            <v>0.1173084403295258</v>
          </cell>
          <cell r="AC186">
            <v>6.8278984551437905</v>
          </cell>
          <cell r="AD186">
            <v>0.12299726349478907</v>
          </cell>
          <cell r="AE186">
            <v>4304.762155957731</v>
          </cell>
          <cell r="AF186">
            <v>115.5029558844258</v>
          </cell>
          <cell r="AH186">
            <v>30138.911154464695</v>
          </cell>
        </row>
        <row r="187">
          <cell r="AH187">
            <v>0</v>
          </cell>
        </row>
        <row r="188">
          <cell r="AH188">
            <v>202.23348344005018</v>
          </cell>
        </row>
        <row r="189">
          <cell r="AH189">
            <v>2127.6839417409055</v>
          </cell>
        </row>
        <row r="190">
          <cell r="AH190">
            <v>422.36834864933729</v>
          </cell>
        </row>
        <row r="191">
          <cell r="AH191">
            <v>976.72359268876266</v>
          </cell>
        </row>
        <row r="192">
          <cell r="AH192">
            <v>3049.3279355666937</v>
          </cell>
        </row>
        <row r="193">
          <cell r="AH193">
            <v>2413.2826533385041</v>
          </cell>
        </row>
        <row r="199">
          <cell r="AH199">
            <v>77.548883991824596</v>
          </cell>
        </row>
        <row r="200">
          <cell r="AH200">
            <v>1.5067303475999998</v>
          </cell>
        </row>
        <row r="201">
          <cell r="AH201">
            <v>0</v>
          </cell>
        </row>
        <row r="202">
          <cell r="AH202">
            <v>0.1</v>
          </cell>
        </row>
        <row r="203">
          <cell r="AH203">
            <v>9.9999999999999995E-7</v>
          </cell>
        </row>
        <row r="204">
          <cell r="AH204">
            <v>782.91196940480302</v>
          </cell>
        </row>
        <row r="229">
          <cell r="AH229">
            <v>324.50894749330575</v>
          </cell>
        </row>
        <row r="272">
          <cell r="D272">
            <v>2091.6360741174203</v>
          </cell>
          <cell r="E272">
            <v>318.89128180195917</v>
          </cell>
          <cell r="F272">
            <v>44.294278167000002</v>
          </cell>
          <cell r="G272">
            <v>90.249632448443421</v>
          </cell>
          <cell r="H272">
            <v>0.70720131999999991</v>
          </cell>
          <cell r="I272">
            <v>564.00480858470019</v>
          </cell>
          <cell r="J272">
            <v>104.9806489504484</v>
          </cell>
          <cell r="K272">
            <v>7007.3378560001611</v>
          </cell>
          <cell r="L272">
            <v>448.39487448121207</v>
          </cell>
          <cell r="M272">
            <v>7.3940916554124003</v>
          </cell>
          <cell r="N272">
            <v>376.05901560171606</v>
          </cell>
          <cell r="O272">
            <v>62.432298399229801</v>
          </cell>
          <cell r="P272">
            <v>9819.7734667542973</v>
          </cell>
          <cell r="Q272">
            <v>1414.3943705427137</v>
          </cell>
          <cell r="S272">
            <v>4372.3968612730141</v>
          </cell>
          <cell r="T272">
            <v>250.27255591777129</v>
          </cell>
          <cell r="U272">
            <v>8.4270937561670767</v>
          </cell>
          <cell r="V272">
            <v>47.086445476484506</v>
          </cell>
          <cell r="W272">
            <v>2.0550793225766166</v>
          </cell>
          <cell r="X272">
            <v>6545.3100677953544</v>
          </cell>
          <cell r="Y272">
            <v>305.53677935025888</v>
          </cell>
          <cell r="Z272">
            <v>8247.9270577894204</v>
          </cell>
          <cell r="AA272">
            <v>388.55693326018059</v>
          </cell>
          <cell r="AB272">
            <v>0.1173084947525858</v>
          </cell>
          <cell r="AC272">
            <v>59.678530067375739</v>
          </cell>
          <cell r="AD272">
            <v>2.0104025527491491</v>
          </cell>
          <cell r="AE272">
            <v>4312.692189511481</v>
          </cell>
          <cell r="AF272">
            <v>154.23391513636687</v>
          </cell>
          <cell r="AH272">
            <v>47046.851118528662</v>
          </cell>
        </row>
      </sheetData>
      <sheetData sheetId="4">
        <row r="14">
          <cell r="D14">
            <v>21199.168333778434</v>
          </cell>
          <cell r="G14">
            <v>21241.788852795875</v>
          </cell>
        </row>
        <row r="16">
          <cell r="D16">
            <v>21121.737793217762</v>
          </cell>
          <cell r="G16">
            <v>21719.267682167927</v>
          </cell>
        </row>
        <row r="17">
          <cell r="D17">
            <v>444.10738323707102</v>
          </cell>
          <cell r="G17">
            <v>573.05596599385285</v>
          </cell>
        </row>
        <row r="18">
          <cell r="D18">
            <v>56.867303193711599</v>
          </cell>
          <cell r="G18">
            <v>60.224262851007623</v>
          </cell>
        </row>
        <row r="19">
          <cell r="D19">
            <v>37.453097078157093</v>
          </cell>
          <cell r="G19">
            <v>67.20543645452311</v>
          </cell>
        </row>
        <row r="20">
          <cell r="D20">
            <v>1311.9356288468841</v>
          </cell>
          <cell r="G20">
            <v>1406.1152672768317</v>
          </cell>
        </row>
        <row r="21">
          <cell r="D21">
            <v>637.84898849468277</v>
          </cell>
          <cell r="G21">
            <v>140.84903095750852</v>
          </cell>
        </row>
        <row r="22">
          <cell r="D22">
            <v>2007.5237937771603</v>
          </cell>
          <cell r="G22">
            <v>1651.1501386887271</v>
          </cell>
        </row>
        <row r="23">
          <cell r="D23">
            <v>230.22045892802436</v>
          </cell>
          <cell r="G23">
            <v>187.191030112281</v>
          </cell>
        </row>
        <row r="24">
          <cell r="G24">
            <v>47046.847667298542</v>
          </cell>
        </row>
      </sheetData>
      <sheetData sheetId="5">
        <row r="11">
          <cell r="D11">
            <v>5424.3490585852251</v>
          </cell>
          <cell r="F11">
            <v>452.70808265629029</v>
          </cell>
        </row>
        <row r="12">
          <cell r="D12">
            <v>34.07791598613953</v>
          </cell>
          <cell r="F12">
            <v>2.7307196939999998</v>
          </cell>
        </row>
        <row r="13">
          <cell r="D13">
            <v>74.350546234118056</v>
          </cell>
          <cell r="F13">
            <v>0</v>
          </cell>
        </row>
        <row r="14">
          <cell r="D14">
            <v>1284.2465579808597</v>
          </cell>
          <cell r="F14">
            <v>29.059335359903734</v>
          </cell>
        </row>
        <row r="15">
          <cell r="D15">
            <v>296.34331107441847</v>
          </cell>
          <cell r="F15">
            <v>0.83209040499999998</v>
          </cell>
        </row>
        <row r="16">
          <cell r="D16">
            <v>42.856731809387753</v>
          </cell>
          <cell r="F16">
            <v>0</v>
          </cell>
        </row>
        <row r="17">
          <cell r="D17">
            <v>706.51009399645659</v>
          </cell>
          <cell r="F17">
            <v>112.39910352024999</v>
          </cell>
        </row>
        <row r="18">
          <cell r="D18">
            <v>585.1207047581114</v>
          </cell>
          <cell r="F18">
            <v>97.869080680546489</v>
          </cell>
        </row>
        <row r="19">
          <cell r="D19">
            <v>94.621220276344332</v>
          </cell>
          <cell r="F19">
            <v>7.7225444910606988</v>
          </cell>
        </row>
        <row r="20">
          <cell r="D20">
            <v>198.87370171154831</v>
          </cell>
          <cell r="F20">
            <v>32.220915549999994</v>
          </cell>
        </row>
        <row r="21">
          <cell r="D21">
            <v>133.82703630507095</v>
          </cell>
          <cell r="F21">
            <v>1.3011188150000002</v>
          </cell>
        </row>
        <row r="22">
          <cell r="D22">
            <v>243.07503015228875</v>
          </cell>
          <cell r="F22">
            <v>13.111575918</v>
          </cell>
        </row>
        <row r="23">
          <cell r="D23">
            <v>749.57881995022785</v>
          </cell>
          <cell r="F23">
            <v>29.416684730650001</v>
          </cell>
        </row>
        <row r="24">
          <cell r="D24">
            <v>18.298305419224114</v>
          </cell>
          <cell r="F24">
            <v>4.8397760729140007</v>
          </cell>
        </row>
        <row r="25">
          <cell r="D25">
            <v>0.3</v>
          </cell>
          <cell r="F25">
            <v>0.3</v>
          </cell>
        </row>
        <row r="26">
          <cell r="D26">
            <v>36.03</v>
          </cell>
          <cell r="F26">
            <v>0</v>
          </cell>
        </row>
        <row r="27">
          <cell r="D27">
            <v>32.731969644999992</v>
          </cell>
          <cell r="F27">
            <v>1.1580783659999998</v>
          </cell>
        </row>
        <row r="28">
          <cell r="D28">
            <v>44.113545838199997</v>
          </cell>
          <cell r="F28">
            <v>2.2265387240000001</v>
          </cell>
        </row>
        <row r="29">
          <cell r="D29">
            <v>10.496179174716726</v>
          </cell>
          <cell r="F29">
            <v>7.3375826550000021</v>
          </cell>
        </row>
        <row r="30">
          <cell r="D30">
            <v>813.62837196443206</v>
          </cell>
          <cell r="F30">
            <v>110.09131285896538</v>
          </cell>
        </row>
        <row r="31">
          <cell r="D31">
            <v>25.269016308680445</v>
          </cell>
          <cell r="F31">
            <v>9.1624814999999915E-2</v>
          </cell>
        </row>
        <row r="32">
          <cell r="D32">
            <v>0</v>
          </cell>
          <cell r="F32">
            <v>0</v>
          </cell>
        </row>
        <row r="56">
          <cell r="D56">
            <v>6300.0311509675703</v>
          </cell>
        </row>
        <row r="57">
          <cell r="D57">
            <v>3262.4410355428663</v>
          </cell>
        </row>
        <row r="58">
          <cell r="D58">
            <v>91.229336750800201</v>
          </cell>
        </row>
        <row r="59">
          <cell r="D59">
            <v>185.2698021575888</v>
          </cell>
        </row>
        <row r="60">
          <cell r="D60">
            <v>1757.7705677660203</v>
          </cell>
        </row>
        <row r="61">
          <cell r="D61">
            <v>124.91508135623411</v>
          </cell>
        </row>
        <row r="62">
          <cell r="D62">
            <v>878.40532739406035</v>
          </cell>
        </row>
        <row r="63">
          <cell r="D63">
            <v>1691.3949895626502</v>
          </cell>
        </row>
        <row r="66">
          <cell r="D66">
            <v>13415.775199115447</v>
          </cell>
        </row>
      </sheetData>
      <sheetData sheetId="6"/>
      <sheetData sheetId="7"/>
      <sheetData sheetId="8"/>
      <sheetData sheetId="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6A"/>
      <sheetName val="6B"/>
    </sheetNames>
    <sheetDataSet>
      <sheetData sheetId="0">
        <row r="17">
          <cell r="B17">
            <v>0.19870341726279336</v>
          </cell>
        </row>
        <row r="20">
          <cell r="C20">
            <v>2.1476951446100152</v>
          </cell>
          <cell r="D20">
            <v>1.9511669101766729</v>
          </cell>
          <cell r="E20">
            <v>2.1509768907584985</v>
          </cell>
        </row>
        <row r="61">
          <cell r="E61">
            <v>8.039291938088903</v>
          </cell>
          <cell r="I61">
            <v>6.4424597582757546</v>
          </cell>
          <cell r="M61">
            <v>6.8865673871224091</v>
          </cell>
          <cell r="Q61">
            <v>6.9175915551320282</v>
          </cell>
          <cell r="S61">
            <v>6.597520196513238</v>
          </cell>
          <cell r="T61">
            <v>6.991144564038632</v>
          </cell>
        </row>
        <row r="101">
          <cell r="E101">
            <v>5.1909032311184031</v>
          </cell>
          <cell r="I101">
            <v>5.3573639225390997</v>
          </cell>
          <cell r="M101">
            <v>5.5172887318765786</v>
          </cell>
          <cell r="Q101">
            <v>4.907995819298006</v>
          </cell>
          <cell r="R101">
            <v>21.063376540277918</v>
          </cell>
          <cell r="T101">
            <v>4.938767689781181</v>
          </cell>
        </row>
      </sheetData>
      <sheetData sheetId="1">
        <row r="17">
          <cell r="B17">
            <v>6.998536002820778E-2</v>
          </cell>
        </row>
        <row r="20">
          <cell r="C20">
            <v>2.0652469040851811</v>
          </cell>
          <cell r="D20">
            <v>2.5474222429589117</v>
          </cell>
          <cell r="E20">
            <v>2.6837541850458515</v>
          </cell>
        </row>
        <row r="61">
          <cell r="E61">
            <v>7.0722419832337504</v>
          </cell>
          <cell r="I61">
            <v>8.1463337928738149</v>
          </cell>
          <cell r="M61">
            <v>6.0053727679715792</v>
          </cell>
          <cell r="Q61">
            <v>7.0664367928475373</v>
          </cell>
          <cell r="S61">
            <v>6.9472610275935978</v>
          </cell>
          <cell r="T61">
            <v>7.0772207334504085</v>
          </cell>
        </row>
        <row r="101">
          <cell r="E101">
            <v>5.1292081373590213</v>
          </cell>
          <cell r="I101">
            <v>5.6769390443696137</v>
          </cell>
          <cell r="M101">
            <v>6.4422328346276929</v>
          </cell>
          <cell r="Q101">
            <v>5.2846593752654778</v>
          </cell>
          <cell r="R101">
            <v>19.533190880820197</v>
          </cell>
          <cell r="S101">
            <v>5.7739304314997115</v>
          </cell>
          <cell r="T101">
            <v>5.7642394435130537</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6A"/>
      <sheetName val="6B"/>
    </sheetNames>
    <sheetDataSet>
      <sheetData sheetId="0">
        <row r="17">
          <cell r="B17">
            <v>0.19534462820873605</v>
          </cell>
        </row>
        <row r="20">
          <cell r="C20">
            <v>2.1204023636845637</v>
          </cell>
          <cell r="D20">
            <v>2.2109575896194391</v>
          </cell>
          <cell r="E20">
            <v>2.0971800529924325</v>
          </cell>
        </row>
        <row r="61">
          <cell r="E61">
            <v>8.4082392457902984</v>
          </cell>
          <cell r="I61">
            <v>6.4960039337307318</v>
          </cell>
          <cell r="M61">
            <v>6.0496608584432909</v>
          </cell>
          <cell r="Q61">
            <v>7.1818185784837762</v>
          </cell>
          <cell r="S61">
            <v>7.1813520101087711</v>
          </cell>
          <cell r="T61">
            <v>3.8602723930162339</v>
          </cell>
        </row>
        <row r="101">
          <cell r="E101">
            <v>5.1194393961276896</v>
          </cell>
          <cell r="I101">
            <v>5.2687022887725155</v>
          </cell>
          <cell r="M101">
            <v>5.5034785944535116</v>
          </cell>
          <cell r="Q101">
            <v>5.0159889116568941</v>
          </cell>
          <cell r="R101">
            <v>20.971282832512873</v>
          </cell>
          <cell r="T101">
            <v>5.0383692400273041</v>
          </cell>
        </row>
      </sheetData>
      <sheetData sheetId="1">
        <row r="17">
          <cell r="B17">
            <v>6.9965295542776737E-2</v>
          </cell>
        </row>
        <row r="20">
          <cell r="C20">
            <v>2.0498767816047523</v>
          </cell>
          <cell r="D20">
            <v>2.5280624568053378</v>
          </cell>
          <cell r="E20">
            <v>2.659308140894078</v>
          </cell>
        </row>
        <row r="61">
          <cell r="E61">
            <v>6.9188624413689688</v>
          </cell>
          <cell r="I61">
            <v>8.1036338305718321</v>
          </cell>
          <cell r="M61">
            <v>6.861157246945254</v>
          </cell>
          <cell r="Q61">
            <v>6.8469469269436445</v>
          </cell>
          <cell r="S61">
            <v>6.9620100546866039</v>
          </cell>
          <cell r="T61">
            <v>7.0783245111283977</v>
          </cell>
        </row>
        <row r="101">
          <cell r="E101">
            <v>4.9647361227345401</v>
          </cell>
          <cell r="I101">
            <v>5.2638008998386869</v>
          </cell>
          <cell r="M101">
            <v>5.5839412290277259</v>
          </cell>
          <cell r="Q101">
            <v>5.3060324396765406</v>
          </cell>
          <cell r="R101">
            <v>19.413547371908294</v>
          </cell>
          <cell r="S101">
            <v>5.3937896496784727</v>
          </cell>
          <cell r="T101">
            <v>5.4183819659251515</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6A"/>
      <sheetName val="6B"/>
    </sheetNames>
    <sheetDataSet>
      <sheetData sheetId="0">
        <row r="17">
          <cell r="B17">
            <v>0.18964901574957505</v>
          </cell>
        </row>
        <row r="20">
          <cell r="C20">
            <v>2.1239469013761241</v>
          </cell>
          <cell r="D20">
            <v>1.9559707844783119</v>
          </cell>
          <cell r="E20">
            <v>1.8498043556026853</v>
          </cell>
        </row>
        <row r="61">
          <cell r="E61">
            <v>7.6748186050173421</v>
          </cell>
          <cell r="I61">
            <v>5.5504520914067275</v>
          </cell>
          <cell r="M61">
            <v>6.2772730129242129</v>
          </cell>
          <cell r="Q61">
            <v>7.693876363725269</v>
          </cell>
          <cell r="S61">
            <v>6.1039724355591334</v>
          </cell>
          <cell r="T61">
            <v>7.4319283289444078</v>
          </cell>
        </row>
        <row r="101">
          <cell r="E101">
            <v>5.2003380320048933</v>
          </cell>
          <cell r="I101">
            <v>4.7862516405316748</v>
          </cell>
          <cell r="M101">
            <v>5.5</v>
          </cell>
          <cell r="Q101">
            <v>4.8788703019663284</v>
          </cell>
          <cell r="R101">
            <v>20.858804255031423</v>
          </cell>
          <cell r="T101">
            <v>4.9335346291373243</v>
          </cell>
        </row>
      </sheetData>
      <sheetData sheetId="1">
        <row r="17">
          <cell r="B17">
            <v>7.0252265079156273E-2</v>
          </cell>
        </row>
        <row r="20">
          <cell r="C20">
            <v>1.9964332694963318</v>
          </cell>
          <cell r="D20">
            <v>2.4807432063697963</v>
          </cell>
          <cell r="E20">
            <v>2.6218846694914939</v>
          </cell>
        </row>
        <row r="61">
          <cell r="E61">
            <v>7.1973008497470774</v>
          </cell>
          <cell r="I61">
            <v>7.7913884616473981</v>
          </cell>
          <cell r="M61">
            <v>6.5823178386870582</v>
          </cell>
          <cell r="Q61">
            <v>6.0202800218032211</v>
          </cell>
          <cell r="S61">
            <v>6.7097405552295353</v>
          </cell>
          <cell r="T61">
            <v>7.0260568045091478</v>
          </cell>
        </row>
        <row r="101">
          <cell r="E101">
            <v>5.567522278911035</v>
          </cell>
          <cell r="I101">
            <v>5.6205077848000684</v>
          </cell>
          <cell r="M101">
            <v>5.2973428260331668</v>
          </cell>
          <cell r="Q101">
            <v>5.1506930939588953</v>
          </cell>
          <cell r="R101">
            <v>19.489806046221776</v>
          </cell>
          <cell r="S101">
            <v>5.3217789248639349</v>
          </cell>
          <cell r="T101">
            <v>5.4331041715404673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34">
          <cell r="Q34">
            <v>19022.02823444661</v>
          </cell>
        </row>
        <row r="36">
          <cell r="Q36">
            <v>11682.353697035289</v>
          </cell>
        </row>
      </sheetData>
      <sheetData sheetId="1"/>
      <sheetData sheetId="2"/>
      <sheetData sheetId="3"/>
      <sheetData sheetId="4"/>
      <sheetData sheetId="5"/>
      <sheetData sheetId="6"/>
      <sheetData sheetId="7"/>
      <sheetData sheetId="8"/>
      <sheetData sheetId="9"/>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6A"/>
      <sheetName val="6B"/>
    </sheetNames>
    <sheetDataSet>
      <sheetData sheetId="0">
        <row r="17">
          <cell r="B17">
            <v>0.19844027570018405</v>
          </cell>
        </row>
        <row r="20">
          <cell r="C20">
            <v>2.0907100697198406</v>
          </cell>
          <cell r="D20">
            <v>1.8632965112164808</v>
          </cell>
          <cell r="E20">
            <v>2.0101091771880517</v>
          </cell>
        </row>
        <row r="61">
          <cell r="E61">
            <v>8.5</v>
          </cell>
          <cell r="I61">
            <v>5.5390605839633489</v>
          </cell>
          <cell r="M61">
            <v>7.4476440350095876</v>
          </cell>
          <cell r="Q61">
            <v>6.9247683731168372</v>
          </cell>
          <cell r="S61">
            <v>6.0520034513959535</v>
          </cell>
          <cell r="T61">
            <v>6.3158040666138184</v>
          </cell>
        </row>
        <row r="101">
          <cell r="E101">
            <v>5.2570056359857036</v>
          </cell>
          <cell r="I101">
            <v>5.0250618019302911</v>
          </cell>
          <cell r="M101">
            <v>5.6093601686098369</v>
          </cell>
          <cell r="Q101">
            <v>4.8047669723258366</v>
          </cell>
          <cell r="R101">
            <v>20.855640165296695</v>
          </cell>
          <cell r="T101">
            <v>4.8709867170648486</v>
          </cell>
        </row>
      </sheetData>
      <sheetData sheetId="1">
        <row r="17">
          <cell r="B17">
            <v>7.1041095499979362E-2</v>
          </cell>
        </row>
        <row r="20">
          <cell r="C20">
            <v>1.9810578650108477</v>
          </cell>
          <cell r="D20">
            <v>2.4004020753007764</v>
          </cell>
          <cell r="E20">
            <v>2.5291907588431801</v>
          </cell>
        </row>
        <row r="61">
          <cell r="E61">
            <v>7.7005115298605959</v>
          </cell>
          <cell r="I61">
            <v>6.9251697688130944</v>
          </cell>
          <cell r="M61">
            <v>6.7176618723111767</v>
          </cell>
          <cell r="Q61">
            <v>6.8391451127305114</v>
          </cell>
          <cell r="S61">
            <v>7.0855114698477806</v>
          </cell>
          <cell r="T61">
            <v>7.2975378784382583</v>
          </cell>
        </row>
        <row r="101">
          <cell r="E101">
            <v>5.0734761224267713</v>
          </cell>
          <cell r="I101">
            <v>5.7121180110710821</v>
          </cell>
          <cell r="M101">
            <v>4.8357924438619246</v>
          </cell>
          <cell r="Q101">
            <v>5.2366551899740461</v>
          </cell>
          <cell r="R101">
            <v>19.511887008799551</v>
          </cell>
          <cell r="S101">
            <v>5.1761365280206295</v>
          </cell>
          <cell r="T101">
            <v>5.3181538001015936</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6A"/>
      <sheetName val="6B"/>
    </sheetNames>
    <sheetDataSet>
      <sheetData sheetId="0">
        <row r="17">
          <cell r="B17">
            <v>0.19975959201642851</v>
          </cell>
        </row>
        <row r="20">
          <cell r="C20">
            <v>1.6586414323645056</v>
          </cell>
          <cell r="D20">
            <v>1.8313123866212344</v>
          </cell>
          <cell r="E20">
            <v>1.9881735830544431</v>
          </cell>
        </row>
        <row r="61">
          <cell r="E61">
            <v>7.9322285895952938</v>
          </cell>
          <cell r="I61">
            <v>5.4012901560900639</v>
          </cell>
          <cell r="M61">
            <v>6.3173697378416334</v>
          </cell>
          <cell r="Q61">
            <v>5.6018329101056326</v>
          </cell>
          <cell r="S61">
            <v>5.7550374578125831</v>
          </cell>
          <cell r="T61">
            <v>6.3496198129993875</v>
          </cell>
        </row>
        <row r="101">
          <cell r="E101">
            <v>5.174744460299614</v>
          </cell>
          <cell r="I101">
            <v>4.9948774212943929</v>
          </cell>
          <cell r="M101">
            <v>5.9866190849947101</v>
          </cell>
          <cell r="Q101">
            <v>4.775960779523075</v>
          </cell>
          <cell r="R101">
            <v>20.917505618250949</v>
          </cell>
          <cell r="T101">
            <v>4.8469145996336085</v>
          </cell>
        </row>
      </sheetData>
      <sheetData sheetId="1">
        <row r="17">
          <cell r="B17">
            <v>7.0749016511049062E-2</v>
          </cell>
        </row>
        <row r="20">
          <cell r="C20">
            <v>1.9413204972772444</v>
          </cell>
          <cell r="D20">
            <v>2.2788977397342425</v>
          </cell>
          <cell r="E20">
            <v>2.3954312559420732</v>
          </cell>
        </row>
        <row r="61">
          <cell r="E61">
            <v>6.3542382923520142</v>
          </cell>
          <cell r="I61">
            <v>7.5493777416445074</v>
          </cell>
          <cell r="M61">
            <v>7.6932221537891836</v>
          </cell>
          <cell r="Q61">
            <v>5.8060277943705891</v>
          </cell>
          <cell r="S61">
            <v>6.3443793175910326</v>
          </cell>
          <cell r="T61">
            <v>6.4095847204295264</v>
          </cell>
        </row>
        <row r="101">
          <cell r="E101">
            <v>5.5272864559014927</v>
          </cell>
          <cell r="I101">
            <v>5.7643189509822825</v>
          </cell>
          <cell r="M101">
            <v>4.6380474802679501</v>
          </cell>
          <cell r="Q101">
            <v>5.2729519117562287</v>
          </cell>
          <cell r="R101">
            <v>19.410609413768118</v>
          </cell>
          <cell r="S101">
            <v>5.0291504774318163</v>
          </cell>
          <cell r="T101">
            <v>5.3611761618152913</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6A"/>
      <sheetName val="6B"/>
    </sheetNames>
    <sheetDataSet>
      <sheetData sheetId="0">
        <row r="17">
          <cell r="B17">
            <v>0.20380561803101349</v>
          </cell>
        </row>
        <row r="20">
          <cell r="C20">
            <v>2.0248730675777655</v>
          </cell>
          <cell r="D20">
            <v>2.0546627578564394</v>
          </cell>
          <cell r="E20">
            <v>1.9919827046080072</v>
          </cell>
        </row>
        <row r="61">
          <cell r="E61">
            <v>7.8512752185682224</v>
          </cell>
          <cell r="I61">
            <v>6.4124961587347826</v>
          </cell>
          <cell r="M61">
            <v>6.5953596298885424</v>
          </cell>
          <cell r="Q61">
            <v>5.7543394266461796</v>
          </cell>
          <cell r="S61">
            <v>6.1509866635727368</v>
          </cell>
          <cell r="T61">
            <v>6.5826779507096997</v>
          </cell>
        </row>
        <row r="101">
          <cell r="E101">
            <v>5.1593985448716282</v>
          </cell>
          <cell r="I101">
            <v>4.9228146675733475</v>
          </cell>
          <cell r="M101">
            <v>6.2338706455757773</v>
          </cell>
          <cell r="Q101">
            <v>4.8810185433849131</v>
          </cell>
          <cell r="R101">
            <v>20.903482203044149</v>
          </cell>
          <cell r="T101">
            <v>4.9235713749866576</v>
          </cell>
        </row>
      </sheetData>
      <sheetData sheetId="1">
        <row r="17">
          <cell r="B17">
            <v>7.1008631813144124E-2</v>
          </cell>
        </row>
        <row r="20">
          <cell r="C20">
            <v>1.9056902144383328</v>
          </cell>
          <cell r="D20">
            <v>2.2614018209685556</v>
          </cell>
          <cell r="E20">
            <v>2.3499092179266263</v>
          </cell>
        </row>
        <row r="61">
          <cell r="E61">
            <v>7.1715188237146057</v>
          </cell>
          <cell r="I61">
            <v>7.8749540383181502</v>
          </cell>
          <cell r="M61">
            <v>7.2932541406482798</v>
          </cell>
          <cell r="Q61">
            <v>6.7058793711866729</v>
          </cell>
          <cell r="S61">
            <v>7.0039181585576333</v>
          </cell>
          <cell r="T61">
            <v>7.1158674161721489</v>
          </cell>
        </row>
        <row r="101">
          <cell r="E101">
            <v>4.9629576958972246</v>
          </cell>
          <cell r="I101">
            <v>5.7802789486064352</v>
          </cell>
          <cell r="M101">
            <v>5.3509145550602506</v>
          </cell>
          <cell r="Q101">
            <v>5.7472258875450528</v>
          </cell>
          <cell r="R101">
            <v>19.003952799251881</v>
          </cell>
          <cell r="S101">
            <v>5.1550836296680949</v>
          </cell>
          <cell r="T101">
            <v>5.4917500142952065</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6A"/>
      <sheetName val="6B"/>
    </sheetNames>
    <sheetDataSet>
      <sheetData sheetId="0">
        <row r="17">
          <cell r="B17">
            <v>0.20731435582787755</v>
          </cell>
        </row>
        <row r="20">
          <cell r="C20">
            <v>1.9080781430480023</v>
          </cell>
          <cell r="D20">
            <v>1.7286255023026085</v>
          </cell>
          <cell r="E20">
            <v>1.9382274763750591</v>
          </cell>
        </row>
        <row r="61">
          <cell r="E61">
            <v>7.5813132930714202</v>
          </cell>
          <cell r="I61">
            <v>5.5144296954051288</v>
          </cell>
          <cell r="M61">
            <v>6.4591939823169779</v>
          </cell>
          <cell r="Q61">
            <v>5.5917462824835189</v>
          </cell>
          <cell r="S61">
            <v>5.6573786144805753</v>
          </cell>
          <cell r="T61">
            <v>6.2159971354246055</v>
          </cell>
        </row>
        <row r="101">
          <cell r="E101">
            <v>4.5582581864423508</v>
          </cell>
          <cell r="I101">
            <v>5.2972754615444382</v>
          </cell>
          <cell r="M101">
            <v>5.5060844064622243</v>
          </cell>
          <cell r="Q101">
            <v>5.3032770464507717</v>
          </cell>
          <cell r="R101">
            <v>20.887059623336487</v>
          </cell>
          <cell r="T101">
            <v>5.1640006237482581</v>
          </cell>
        </row>
      </sheetData>
      <sheetData sheetId="1">
        <row r="17">
          <cell r="B17">
            <v>7.0825249191634701E-2</v>
          </cell>
        </row>
        <row r="20">
          <cell r="C20">
            <v>1.901619732615818</v>
          </cell>
          <cell r="D20">
            <v>2.3138874730217802</v>
          </cell>
          <cell r="E20">
            <v>2.363100685474202</v>
          </cell>
        </row>
        <row r="61">
          <cell r="E61">
            <v>6.8133831091705677</v>
          </cell>
          <cell r="I61">
            <v>7.0582703639143674</v>
          </cell>
          <cell r="M61">
            <v>7.4329159217722767</v>
          </cell>
          <cell r="Q61">
            <v>6.9804352173306592</v>
          </cell>
          <cell r="S61">
            <v>7.0691539066463154</v>
          </cell>
          <cell r="T61">
            <v>7.2411910467210481</v>
          </cell>
        </row>
        <row r="101">
          <cell r="E101">
            <v>5.3084419362701949</v>
          </cell>
          <cell r="I101">
            <v>5.3872015900711121</v>
          </cell>
          <cell r="M101">
            <v>5.9343888522438233</v>
          </cell>
          <cell r="Q101">
            <v>5.471844791684763</v>
          </cell>
          <cell r="R101">
            <v>18.161846969695315</v>
          </cell>
          <cell r="S101">
            <v>5.2391380000930559</v>
          </cell>
          <cell r="T101">
            <v>5.4990273949324964</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6A"/>
      <sheetName val="6B"/>
    </sheetNames>
    <sheetDataSet>
      <sheetData sheetId="0">
        <row r="17">
          <cell r="B17">
            <v>0.1978784696426204</v>
          </cell>
        </row>
        <row r="20">
          <cell r="C20">
            <v>1.8958201662768852</v>
          </cell>
          <cell r="D20">
            <v>1.940791141378337</v>
          </cell>
          <cell r="E20">
            <v>1.9839080343970741</v>
          </cell>
        </row>
        <row r="61">
          <cell r="E61">
            <v>8.1806116742967916</v>
          </cell>
          <cell r="I61">
            <v>5.6209777182471612</v>
          </cell>
          <cell r="M61">
            <v>6.7488634917529025</v>
          </cell>
          <cell r="Q61">
            <v>5.7713784911499175</v>
          </cell>
          <cell r="S61">
            <v>6.1264548030801187</v>
          </cell>
          <cell r="T61">
            <v>6.4857481222257078</v>
          </cell>
        </row>
        <row r="101">
          <cell r="E101">
            <v>4.7619905108632157</v>
          </cell>
          <cell r="I101">
            <v>4.8643365974260471</v>
          </cell>
          <cell r="M101">
            <v>5.6140127989329871</v>
          </cell>
          <cell r="Q101">
            <v>4.8515772341593433</v>
          </cell>
          <cell r="R101">
            <v>20.998037009495828</v>
          </cell>
          <cell r="T101">
            <v>4.8333793244804202</v>
          </cell>
        </row>
      </sheetData>
      <sheetData sheetId="1">
        <row r="17">
          <cell r="B17">
            <v>7.0741167769630658E-2</v>
          </cell>
        </row>
        <row r="20">
          <cell r="C20">
            <v>1.8785699025460101</v>
          </cell>
          <cell r="D20">
            <v>2.2622727508594709</v>
          </cell>
          <cell r="E20">
            <v>2.3422506501438929</v>
          </cell>
        </row>
        <row r="61">
          <cell r="E61">
            <v>6.5227291408816139</v>
          </cell>
          <cell r="I61">
            <v>7.0636857654352534</v>
          </cell>
          <cell r="M61">
            <v>7.4726611652286206</v>
          </cell>
          <cell r="Q61">
            <v>6.6633540704884959</v>
          </cell>
          <cell r="S61">
            <v>6.590715614912348</v>
          </cell>
          <cell r="T61">
            <v>6.6204693259291743</v>
          </cell>
        </row>
        <row r="101">
          <cell r="E101">
            <v>5.1446024795886887</v>
          </cell>
          <cell r="I101">
            <v>5.982346349999152</v>
          </cell>
          <cell r="M101">
            <v>5.3889601860452414</v>
          </cell>
          <cell r="Q101">
            <v>5.7982406747327113</v>
          </cell>
          <cell r="R101">
            <v>18.815808258004314</v>
          </cell>
          <cell r="S101">
            <v>5.1558749022093666</v>
          </cell>
          <cell r="T101">
            <v>5.5337543255699222</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6A"/>
      <sheetName val="6B"/>
    </sheetNames>
    <sheetDataSet>
      <sheetData sheetId="0">
        <row r="17">
          <cell r="B17">
            <v>0.19797218175253914</v>
          </cell>
        </row>
        <row r="20">
          <cell r="C20">
            <v>1.890034363373855</v>
          </cell>
          <cell r="D20">
            <v>1.9892154190325035</v>
          </cell>
          <cell r="E20">
            <v>1.9871718086741645</v>
          </cell>
        </row>
        <row r="61">
          <cell r="E61">
            <v>8.4622246648080583</v>
          </cell>
          <cell r="I61">
            <v>5.8529928443025723</v>
          </cell>
          <cell r="M61">
            <v>6.938479822117098</v>
          </cell>
          <cell r="Q61">
            <v>6.7971193098656393</v>
          </cell>
          <cell r="S61">
            <v>7.0893378779158436</v>
          </cell>
          <cell r="T61">
            <v>7.0636016106345965</v>
          </cell>
        </row>
        <row r="101">
          <cell r="E101">
            <v>4.848993205008056</v>
          </cell>
          <cell r="I101">
            <v>5.1132219083482022</v>
          </cell>
          <cell r="M101">
            <v>6.4007550511984137</v>
          </cell>
          <cell r="Q101">
            <v>4.8523889119240513</v>
          </cell>
          <cell r="R101">
            <v>20.839409664529018</v>
          </cell>
          <cell r="T101">
            <v>4.8561851321661331</v>
          </cell>
        </row>
      </sheetData>
      <sheetData sheetId="1">
        <row r="17">
          <cell r="B17">
            <v>7.0279270177912648E-2</v>
          </cell>
        </row>
        <row r="20">
          <cell r="C20">
            <v>1.8602897977653983</v>
          </cell>
          <cell r="D20">
            <v>2.2539322629636542</v>
          </cell>
          <cell r="E20">
            <v>2.2856083172751251</v>
          </cell>
        </row>
        <row r="61">
          <cell r="E61">
            <v>7.0174531520775334</v>
          </cell>
          <cell r="I61">
            <v>6.7937383988460418</v>
          </cell>
          <cell r="M61">
            <v>7.4669773348196884</v>
          </cell>
          <cell r="Q61">
            <v>6.7252055925354046</v>
          </cell>
          <cell r="S61">
            <v>6.9763126343367494</v>
          </cell>
          <cell r="T61">
            <v>7.063679680160682</v>
          </cell>
        </row>
        <row r="101">
          <cell r="E101">
            <v>5.8309296693861681</v>
          </cell>
          <cell r="I101">
            <v>5.3596768626612468</v>
          </cell>
          <cell r="M101">
            <v>4.9668230521095396</v>
          </cell>
          <cell r="Q101">
            <v>5.530127962584884</v>
          </cell>
          <cell r="R101">
            <v>18.882805536909665</v>
          </cell>
          <cell r="S101">
            <v>5.0688739946768466</v>
          </cell>
          <cell r="T101">
            <v>5.4692473065215248</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6A"/>
      <sheetName val="6B"/>
    </sheetNames>
    <sheetDataSet>
      <sheetData sheetId="0">
        <row r="17">
          <cell r="B17">
            <v>0.18450203205720334</v>
          </cell>
        </row>
        <row r="20">
          <cell r="C20">
            <v>1.8524084688996421</v>
          </cell>
          <cell r="D20">
            <v>2.0115785216296636</v>
          </cell>
          <cell r="E20">
            <v>2.0011417253796924</v>
          </cell>
        </row>
        <row r="61">
          <cell r="E61">
            <v>8.2348896103371647</v>
          </cell>
          <cell r="I61">
            <v>5.4829130039390144</v>
          </cell>
          <cell r="M61">
            <v>6.8928395175370438</v>
          </cell>
          <cell r="Q61">
            <v>6.4347538558717634</v>
          </cell>
          <cell r="S61">
            <v>5.7441138146038107</v>
          </cell>
          <cell r="T61">
            <v>6.281938040703233</v>
          </cell>
        </row>
        <row r="101">
          <cell r="E101">
            <v>5.0147060343395857</v>
          </cell>
          <cell r="I101">
            <v>4.7020697591065037</v>
          </cell>
          <cell r="M101">
            <v>5.5</v>
          </cell>
          <cell r="Q101">
            <v>4.776535183122145</v>
          </cell>
          <cell r="R101">
            <v>20.790520853765006</v>
          </cell>
          <cell r="T101">
            <v>4.8236317035349936</v>
          </cell>
        </row>
      </sheetData>
      <sheetData sheetId="1">
        <row r="17">
          <cell r="B17">
            <v>6.3572586890487864E-2</v>
          </cell>
        </row>
        <row r="20">
          <cell r="C20">
            <v>1.8761719805886794</v>
          </cell>
          <cell r="D20">
            <v>2.2387425847975</v>
          </cell>
          <cell r="E20">
            <v>2.2986112318806242</v>
          </cell>
        </row>
        <row r="61">
          <cell r="E61">
            <v>7.3718267655545944</v>
          </cell>
          <cell r="I61">
            <v>5.5699138820932648</v>
          </cell>
          <cell r="M61">
            <v>7.0329152276549038</v>
          </cell>
          <cell r="Q61">
            <v>5.9468380654943793</v>
          </cell>
          <cell r="S61">
            <v>6.1783671541083018</v>
          </cell>
          <cell r="T61">
            <v>6.3605160414978927</v>
          </cell>
        </row>
        <row r="101">
          <cell r="E101">
            <v>4.8444622838168616</v>
          </cell>
          <cell r="I101">
            <v>5.0868773852680338</v>
          </cell>
          <cell r="M101">
            <v>5.2679304458129534</v>
          </cell>
          <cell r="Q101">
            <v>5.1427330076851439</v>
          </cell>
          <cell r="R101">
            <v>19.371103833449745</v>
          </cell>
          <cell r="S101">
            <v>5.0989100616058751</v>
          </cell>
          <cell r="T101">
            <v>5.2431497216853495</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6A"/>
      <sheetName val="6B"/>
    </sheetNames>
    <sheetDataSet>
      <sheetData sheetId="0">
        <row r="17">
          <cell r="B17">
            <v>0.1756617035188916</v>
          </cell>
        </row>
        <row r="20">
          <cell r="C20">
            <v>1.8677881183153926</v>
          </cell>
          <cell r="D20">
            <v>2.0316798019689655</v>
          </cell>
          <cell r="E20">
            <v>1.9671156764576194</v>
          </cell>
        </row>
        <row r="61">
          <cell r="E61">
            <v>7.5710530511741156</v>
          </cell>
          <cell r="I61">
            <v>4.8466186297786109</v>
          </cell>
          <cell r="M61">
            <v>7.1332020341071267</v>
          </cell>
          <cell r="Q61">
            <v>5.3559758815597736</v>
          </cell>
          <cell r="S61">
            <v>5.8336813577509048</v>
          </cell>
          <cell r="T61">
            <v>6.4620042673744731</v>
          </cell>
        </row>
        <row r="101">
          <cell r="E101">
            <v>5.121638398425219</v>
          </cell>
          <cell r="I101">
            <v>4.950126980029693</v>
          </cell>
          <cell r="M101">
            <v>7.2291364832829643</v>
          </cell>
          <cell r="Q101">
            <v>4.7637281705870089</v>
          </cell>
          <cell r="R101">
            <v>20.750639655198317</v>
          </cell>
          <cell r="T101">
            <v>4.855554708843238</v>
          </cell>
        </row>
      </sheetData>
      <sheetData sheetId="1">
        <row r="17">
          <cell r="B17">
            <v>6.4351641691984776E-2</v>
          </cell>
        </row>
        <row r="20">
          <cell r="C20">
            <v>2.2179539668825217</v>
          </cell>
          <cell r="D20">
            <v>2.6483560609920098</v>
          </cell>
          <cell r="E20">
            <v>2.7072130102667655</v>
          </cell>
        </row>
        <row r="61">
          <cell r="E61">
            <v>6.5215166893163019</v>
          </cell>
          <cell r="I61">
            <v>6.6684476115029945</v>
          </cell>
          <cell r="M61">
            <v>7.1997731473034765</v>
          </cell>
          <cell r="Q61">
            <v>6.1183728798842907</v>
          </cell>
          <cell r="S61">
            <v>6.4886355825022317</v>
          </cell>
          <cell r="T61">
            <v>6.5566394767061649</v>
          </cell>
        </row>
        <row r="101">
          <cell r="E101">
            <v>5.3065457214564073</v>
          </cell>
          <cell r="I101">
            <v>6.7583827239402154</v>
          </cell>
          <cell r="M101">
            <v>5.5038324402662324</v>
          </cell>
          <cell r="Q101">
            <v>5.1137210016018972</v>
          </cell>
          <cell r="R101">
            <v>19.398732102766363</v>
          </cell>
          <cell r="S101">
            <v>5.0994446639349622</v>
          </cell>
          <cell r="T101">
            <v>5.3995217913437923</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6A"/>
      <sheetName val="6B"/>
    </sheetNames>
    <sheetDataSet>
      <sheetData sheetId="0">
        <row r="17">
          <cell r="B17">
            <v>0.18229690835013998</v>
          </cell>
        </row>
        <row r="20">
          <cell r="C20">
            <v>2.5586223991848716</v>
          </cell>
          <cell r="D20">
            <v>2.5136779831419522</v>
          </cell>
          <cell r="E20">
            <v>2.5488685496009964</v>
          </cell>
        </row>
        <row r="61">
          <cell r="E61">
            <v>8.025516692669461</v>
          </cell>
          <cell r="I61">
            <v>5.8298422533336609</v>
          </cell>
          <cell r="M61">
            <v>7.3345152861057468</v>
          </cell>
          <cell r="Q61">
            <v>7.5518920058110073</v>
          </cell>
          <cell r="S61">
            <v>7.1293233378434744</v>
          </cell>
          <cell r="T61">
            <v>6.7276302097273906</v>
          </cell>
        </row>
        <row r="101">
          <cell r="E101">
            <v>4.9959555140167495</v>
          </cell>
          <cell r="I101">
            <v>4.9960415378199414</v>
          </cell>
          <cell r="M101">
            <v>6.5075741743873428</v>
          </cell>
          <cell r="Q101">
            <v>4.8232484929206434</v>
          </cell>
          <cell r="R101">
            <v>20.802076735716437</v>
          </cell>
          <cell r="T101">
            <v>4.8657495606941623</v>
          </cell>
        </row>
      </sheetData>
      <sheetData sheetId="1">
        <row r="17">
          <cell r="B17">
            <v>6.4814201563200322E-2</v>
          </cell>
        </row>
        <row r="20">
          <cell r="C20">
            <v>1.9917946435688325</v>
          </cell>
          <cell r="D20">
            <v>2.5720260592019737</v>
          </cell>
          <cell r="E20">
            <v>2.7256404834306815</v>
          </cell>
        </row>
        <row r="61">
          <cell r="E61">
            <v>7.4674272207607908</v>
          </cell>
          <cell r="I61">
            <v>4.0956258201112741</v>
          </cell>
          <cell r="M61">
            <v>6.9216986531949303</v>
          </cell>
          <cell r="Q61">
            <v>6.9295477551333304</v>
          </cell>
          <cell r="S61">
            <v>6.408576124798933</v>
          </cell>
          <cell r="T61">
            <v>6.6221992686712747</v>
          </cell>
        </row>
        <row r="101">
          <cell r="E101">
            <v>4.8717464923463059</v>
          </cell>
          <cell r="I101">
            <v>4.9820058732963464</v>
          </cell>
          <cell r="M101">
            <v>5.487847121342174</v>
          </cell>
          <cell r="Q101">
            <v>4.8048374529436142</v>
          </cell>
          <cell r="R101">
            <v>18.639447135392828</v>
          </cell>
          <cell r="S101">
            <v>5.3067489000751573</v>
          </cell>
          <cell r="T101">
            <v>5.2444235808297881</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
      <sheetName val="4"/>
      <sheetName val="5"/>
      <sheetName val="6"/>
      <sheetName val="7"/>
    </sheetNames>
    <sheetDataSet>
      <sheetData sheetId="0"/>
      <sheetData sheetId="1">
        <row r="15">
          <cell r="C15">
            <v>771.83524296299993</v>
          </cell>
          <cell r="D15">
            <v>777.09543138499998</v>
          </cell>
          <cell r="F15">
            <v>185.23229052799996</v>
          </cell>
          <cell r="I15">
            <v>8945.4228765860389</v>
          </cell>
          <cell r="K15">
            <v>158.0261041832</v>
          </cell>
        </row>
        <row r="16">
          <cell r="E16">
            <v>89.321079119809994</v>
          </cell>
          <cell r="G16">
            <v>1165.5245317700401</v>
          </cell>
          <cell r="H16">
            <v>857.81721651943042</v>
          </cell>
        </row>
        <row r="17">
          <cell r="E17">
            <v>0.34383147000000003</v>
          </cell>
          <cell r="G17">
            <v>41.71857037857</v>
          </cell>
          <cell r="H17">
            <v>2400.9784231919998</v>
          </cell>
        </row>
        <row r="18">
          <cell r="E18">
            <v>115.49876107599999</v>
          </cell>
          <cell r="G18">
            <v>898.11308899267976</v>
          </cell>
          <cell r="H18">
            <v>1641.94440919151</v>
          </cell>
        </row>
        <row r="19">
          <cell r="E19">
            <v>0</v>
          </cell>
          <cell r="G19">
            <v>0</v>
          </cell>
          <cell r="H19">
            <v>0</v>
          </cell>
        </row>
        <row r="23">
          <cell r="C23">
            <v>243.79303609900001</v>
          </cell>
          <cell r="D23">
            <v>56.089986359999997</v>
          </cell>
          <cell r="F23">
            <v>49.184208332620003</v>
          </cell>
          <cell r="I23">
            <v>2536.0047625307066</v>
          </cell>
          <cell r="K23">
            <v>4928.5634138900705</v>
          </cell>
        </row>
        <row r="24">
          <cell r="E24">
            <v>89.254344083114233</v>
          </cell>
          <cell r="G24">
            <v>362.99208277837397</v>
          </cell>
          <cell r="H24">
            <v>144.8630685201648</v>
          </cell>
        </row>
        <row r="25">
          <cell r="E25">
            <v>0.10932616000000001</v>
          </cell>
          <cell r="G25">
            <v>22.02760313249</v>
          </cell>
          <cell r="H25">
            <v>161.74886746499999</v>
          </cell>
        </row>
        <row r="26">
          <cell r="E26">
            <v>192.82457288399999</v>
          </cell>
          <cell r="G26">
            <v>463.3196466388647</v>
          </cell>
          <cell r="H26">
            <v>749.77802007707885</v>
          </cell>
        </row>
        <row r="27">
          <cell r="E27">
            <v>0</v>
          </cell>
          <cell r="G27">
            <v>0</v>
          </cell>
          <cell r="H27">
            <v>0</v>
          </cell>
        </row>
      </sheetData>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34">
          <cell r="Q34">
            <v>19330.905311686707</v>
          </cell>
        </row>
        <row r="36">
          <cell r="Q36">
            <v>12087.533689959469</v>
          </cell>
        </row>
      </sheetData>
      <sheetData sheetId="1"/>
      <sheetData sheetId="2"/>
      <sheetData sheetId="3"/>
      <sheetData sheetId="4"/>
      <sheetData sheetId="5"/>
      <sheetData sheetId="6"/>
      <sheetData sheetId="7"/>
      <sheetData sheetId="8"/>
      <sheetData sheetId="9"/>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
      <sheetName val="4"/>
      <sheetName val="5"/>
      <sheetName val="6"/>
      <sheetName val="7"/>
    </sheetNames>
    <sheetDataSet>
      <sheetData sheetId="0"/>
      <sheetData sheetId="1">
        <row r="15">
          <cell r="C15">
            <v>803.33928062999996</v>
          </cell>
          <cell r="D15">
            <v>855.20085713000003</v>
          </cell>
          <cell r="F15">
            <v>214.97248899299998</v>
          </cell>
          <cell r="I15">
            <v>9154.6105311625506</v>
          </cell>
          <cell r="K15">
            <v>172.2957792652</v>
          </cell>
        </row>
        <row r="16">
          <cell r="E16">
            <v>86.017707337399997</v>
          </cell>
          <cell r="G16">
            <v>1194.9364395580001</v>
          </cell>
          <cell r="H16">
            <v>828.23073181399991</v>
          </cell>
        </row>
        <row r="17">
          <cell r="E17">
            <v>10.233110792000002</v>
          </cell>
          <cell r="G17">
            <v>120.38602502500002</v>
          </cell>
          <cell r="H17">
            <v>2555.6391096630005</v>
          </cell>
        </row>
        <row r="18">
          <cell r="E18">
            <v>84.326244695999989</v>
          </cell>
          <cell r="G18">
            <v>825.40198025599977</v>
          </cell>
          <cell r="H18">
            <v>1575.9265552681502</v>
          </cell>
        </row>
        <row r="19">
          <cell r="E19">
            <v>0</v>
          </cell>
          <cell r="G19">
            <v>0</v>
          </cell>
          <cell r="H19">
            <v>0</v>
          </cell>
        </row>
        <row r="23">
          <cell r="C23">
            <v>204.782890415</v>
          </cell>
          <cell r="D23">
            <v>52.815176188999999</v>
          </cell>
          <cell r="F23">
            <v>130.90342815618001</v>
          </cell>
          <cell r="I23">
            <v>2829.2279251805007</v>
          </cell>
          <cell r="K23">
            <v>4827.4509329550283</v>
          </cell>
        </row>
        <row r="24">
          <cell r="E24">
            <v>107.78996233773979</v>
          </cell>
          <cell r="G24">
            <v>391.18780115280742</v>
          </cell>
          <cell r="H24">
            <v>152.60593091659314</v>
          </cell>
        </row>
        <row r="25">
          <cell r="E25">
            <v>0.63183057899999995</v>
          </cell>
          <cell r="G25">
            <v>14.813602531999999</v>
          </cell>
          <cell r="H25">
            <v>198.30776364600001</v>
          </cell>
        </row>
        <row r="26">
          <cell r="E26">
            <v>191.42099357422381</v>
          </cell>
          <cell r="G26">
            <v>461.38633834875174</v>
          </cell>
          <cell r="H26">
            <v>922.58220733320502</v>
          </cell>
        </row>
        <row r="27">
          <cell r="E27">
            <v>0</v>
          </cell>
          <cell r="G27">
            <v>0</v>
          </cell>
          <cell r="H27">
            <v>0</v>
          </cell>
        </row>
      </sheetData>
      <sheetData sheetId="2"/>
      <sheetData sheetId="3"/>
      <sheetData sheetId="4"/>
      <sheetData sheetId="5"/>
      <sheetData sheetId="6"/>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
      <sheetName val="4"/>
      <sheetName val="5"/>
      <sheetName val="6"/>
      <sheetName val="7"/>
    </sheetNames>
    <sheetDataSet>
      <sheetData sheetId="0"/>
      <sheetData sheetId="1">
        <row r="15">
          <cell r="C15">
            <v>706.18529423300004</v>
          </cell>
          <cell r="D15">
            <v>774.15469221499995</v>
          </cell>
          <cell r="F15">
            <v>190.02386837400002</v>
          </cell>
          <cell r="I15">
            <v>8999.2318269643474</v>
          </cell>
          <cell r="K15">
            <v>199.76937123637001</v>
          </cell>
        </row>
        <row r="16">
          <cell r="E16">
            <v>141.45468416329999</v>
          </cell>
          <cell r="G16">
            <v>1215.8150781044851</v>
          </cell>
          <cell r="H16">
            <v>727.28451308370597</v>
          </cell>
        </row>
        <row r="17">
          <cell r="E17">
            <v>4.6160646310000004</v>
          </cell>
          <cell r="G17">
            <v>106.22294083399998</v>
          </cell>
          <cell r="H17">
            <v>2546.0268271237251</v>
          </cell>
        </row>
        <row r="18">
          <cell r="E18">
            <v>65.929677300999998</v>
          </cell>
          <cell r="G18">
            <v>828.08547260799992</v>
          </cell>
          <cell r="H18">
            <v>1693.4227142931297</v>
          </cell>
        </row>
        <row r="19">
          <cell r="E19">
            <v>0</v>
          </cell>
          <cell r="G19">
            <v>0</v>
          </cell>
          <cell r="H19">
            <v>0</v>
          </cell>
        </row>
        <row r="23">
          <cell r="C23">
            <v>203.50688994999999</v>
          </cell>
          <cell r="D23">
            <v>87.054268771000011</v>
          </cell>
          <cell r="F23">
            <v>182.71705961967999</v>
          </cell>
          <cell r="I23">
            <v>3088.8479488886733</v>
          </cell>
          <cell r="K23">
            <v>5565.815441740473</v>
          </cell>
        </row>
        <row r="24">
          <cell r="E24">
            <v>87.100326850178817</v>
          </cell>
          <cell r="G24">
            <v>483.1382508142791</v>
          </cell>
          <cell r="H24">
            <v>121.86546418244293</v>
          </cell>
        </row>
        <row r="25">
          <cell r="E25">
            <v>1.0242759530000001</v>
          </cell>
          <cell r="G25">
            <v>17.60604846</v>
          </cell>
          <cell r="H25">
            <v>176.26980785000003</v>
          </cell>
        </row>
        <row r="26">
          <cell r="E26">
            <v>336.8072482692213</v>
          </cell>
          <cell r="G26">
            <v>627.59189852435543</v>
          </cell>
          <cell r="H26">
            <v>764.16640964451551</v>
          </cell>
        </row>
        <row r="27">
          <cell r="E27">
            <v>0</v>
          </cell>
          <cell r="G27">
            <v>0</v>
          </cell>
          <cell r="H27">
            <v>0</v>
          </cell>
        </row>
      </sheetData>
      <sheetData sheetId="2"/>
      <sheetData sheetId="3"/>
      <sheetData sheetId="4"/>
      <sheetData sheetId="5"/>
      <sheetData sheetId="6"/>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
      <sheetName val="4"/>
      <sheetName val="5"/>
      <sheetName val="6"/>
      <sheetName val="7"/>
    </sheetNames>
    <sheetDataSet>
      <sheetData sheetId="0"/>
      <sheetData sheetId="1">
        <row r="15">
          <cell r="C15">
            <v>698.52755358400009</v>
          </cell>
          <cell r="D15">
            <v>558.6066655044591</v>
          </cell>
          <cell r="F15">
            <v>271.323407944</v>
          </cell>
          <cell r="I15">
            <v>9699.9410967920885</v>
          </cell>
          <cell r="K15">
            <v>210.41152702788196</v>
          </cell>
        </row>
        <row r="16">
          <cell r="E16">
            <v>72.538852386299993</v>
          </cell>
          <cell r="G16">
            <v>1182.5785600294905</v>
          </cell>
          <cell r="H16">
            <v>747.11379760023965</v>
          </cell>
        </row>
        <row r="17">
          <cell r="E17">
            <v>4.2538285330000001</v>
          </cell>
          <cell r="G17">
            <v>206.52203513699999</v>
          </cell>
          <cell r="H17">
            <v>2783.5977792250551</v>
          </cell>
        </row>
        <row r="18">
          <cell r="E18">
            <v>72.886674142000004</v>
          </cell>
          <cell r="G18">
            <v>1054.469660341</v>
          </cell>
          <cell r="H18">
            <v>2022.3492823655438</v>
          </cell>
        </row>
        <row r="19">
          <cell r="E19">
            <v>0</v>
          </cell>
          <cell r="G19">
            <v>0</v>
          </cell>
          <cell r="H19">
            <v>25.2</v>
          </cell>
        </row>
        <row r="23">
          <cell r="C23">
            <v>248.21218756499999</v>
          </cell>
          <cell r="D23">
            <v>110.17582932704217</v>
          </cell>
          <cell r="F23">
            <v>190.53312204503001</v>
          </cell>
          <cell r="I23">
            <v>3432.6044391320747</v>
          </cell>
          <cell r="K23">
            <v>4621.4441194674582</v>
          </cell>
        </row>
        <row r="24">
          <cell r="E24">
            <v>142.79323487448758</v>
          </cell>
          <cell r="G24">
            <v>512.46282317872124</v>
          </cell>
          <cell r="H24">
            <v>114.49115206894062</v>
          </cell>
        </row>
        <row r="25">
          <cell r="E25">
            <v>0.84649872100000001</v>
          </cell>
          <cell r="G25">
            <v>32.282101093000001</v>
          </cell>
          <cell r="H25">
            <v>157.28127069699988</v>
          </cell>
        </row>
        <row r="26">
          <cell r="E26">
            <v>322.91479839397857</v>
          </cell>
          <cell r="G26">
            <v>789.11586969002599</v>
          </cell>
          <cell r="H26">
            <v>811.49555147784849</v>
          </cell>
        </row>
        <row r="27">
          <cell r="E27">
            <v>0</v>
          </cell>
          <cell r="G27">
            <v>0</v>
          </cell>
          <cell r="H27">
            <v>0</v>
          </cell>
        </row>
      </sheetData>
      <sheetData sheetId="2"/>
      <sheetData sheetId="3"/>
      <sheetData sheetId="4"/>
      <sheetData sheetId="5"/>
      <sheetData sheetId="6"/>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
      <sheetName val="4"/>
      <sheetName val="5"/>
      <sheetName val="6"/>
      <sheetName val="7"/>
    </sheetNames>
    <sheetDataSet>
      <sheetData sheetId="0"/>
      <sheetData sheetId="1">
        <row r="15">
          <cell r="C15">
            <v>682.17158525279001</v>
          </cell>
          <cell r="D15">
            <v>399.78544649288</v>
          </cell>
          <cell r="F15">
            <v>289.20237251664997</v>
          </cell>
          <cell r="I15">
            <v>10446.005760592454</v>
          </cell>
          <cell r="K15">
            <v>331.57058985018591</v>
          </cell>
        </row>
        <row r="16">
          <cell r="E16">
            <v>82.527538703570002</v>
          </cell>
          <cell r="G16">
            <v>1252.5340232619103</v>
          </cell>
          <cell r="H16">
            <v>886.46878171919241</v>
          </cell>
        </row>
        <row r="17">
          <cell r="E17">
            <v>2.5271846449899997</v>
          </cell>
          <cell r="G17">
            <v>165.86217078403996</v>
          </cell>
          <cell r="H17">
            <v>3297.0023708485851</v>
          </cell>
        </row>
        <row r="18">
          <cell r="E18">
            <v>174.65468410150996</v>
          </cell>
          <cell r="G18">
            <v>1025.1614498979088</v>
          </cell>
          <cell r="H18">
            <v>2175.5081523684271</v>
          </cell>
        </row>
        <row r="19">
          <cell r="E19">
            <v>0</v>
          </cell>
          <cell r="G19">
            <v>0</v>
          </cell>
          <cell r="H19">
            <v>12.6</v>
          </cell>
        </row>
        <row r="23">
          <cell r="C23">
            <v>122.42956153946</v>
          </cell>
          <cell r="D23">
            <v>101.972550978</v>
          </cell>
          <cell r="F23">
            <v>125.92103795427523</v>
          </cell>
          <cell r="I23">
            <v>3107.401454137007</v>
          </cell>
          <cell r="K23">
            <v>3023.2817317133336</v>
          </cell>
        </row>
        <row r="24">
          <cell r="E24">
            <v>106.98668978698156</v>
          </cell>
          <cell r="G24">
            <v>594.72349450400975</v>
          </cell>
          <cell r="H24">
            <v>162.59669277359541</v>
          </cell>
        </row>
        <row r="25">
          <cell r="E25">
            <v>1.6993473862000001</v>
          </cell>
          <cell r="G25">
            <v>30.911425659278883</v>
          </cell>
          <cell r="H25">
            <v>191.53300823091084</v>
          </cell>
        </row>
        <row r="26">
          <cell r="E26">
            <v>161.09594801313963</v>
          </cell>
          <cell r="G26">
            <v>711.66885016020979</v>
          </cell>
          <cell r="H26">
            <v>795.86284715094541</v>
          </cell>
        </row>
        <row r="27">
          <cell r="E27">
            <v>0</v>
          </cell>
          <cell r="G27">
            <v>0</v>
          </cell>
          <cell r="H27">
            <v>0</v>
          </cell>
        </row>
      </sheetData>
      <sheetData sheetId="2"/>
      <sheetData sheetId="3"/>
      <sheetData sheetId="4"/>
      <sheetData sheetId="5"/>
      <sheetData sheetId="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
      <sheetName val="4"/>
      <sheetName val="5"/>
      <sheetName val="6"/>
      <sheetName val="7"/>
    </sheetNames>
    <sheetDataSet>
      <sheetData sheetId="0"/>
      <sheetData sheetId="1">
        <row r="15">
          <cell r="C15">
            <v>844.22775171789192</v>
          </cell>
          <cell r="D15">
            <v>197.243345218798</v>
          </cell>
          <cell r="F15">
            <v>200.87993872660996</v>
          </cell>
          <cell r="I15">
            <v>10817.804707164825</v>
          </cell>
          <cell r="K15">
            <v>391.01793156305098</v>
          </cell>
        </row>
        <row r="16">
          <cell r="E16">
            <v>112.448137348354</v>
          </cell>
          <cell r="G16">
            <v>1467.2032087571654</v>
          </cell>
          <cell r="H16">
            <v>1013.7795751416713</v>
          </cell>
        </row>
        <row r="17">
          <cell r="E17">
            <v>4.0236792911789996</v>
          </cell>
          <cell r="G17">
            <v>140.12031137571802</v>
          </cell>
          <cell r="H17">
            <v>3437.3343538482286</v>
          </cell>
        </row>
        <row r="18">
          <cell r="E18">
            <v>161.34655905618601</v>
          </cell>
          <cell r="G18">
            <v>1072.5918927044449</v>
          </cell>
          <cell r="H18">
            <v>2166.3044993859066</v>
          </cell>
        </row>
        <row r="19">
          <cell r="E19">
            <v>0</v>
          </cell>
          <cell r="G19">
            <v>0</v>
          </cell>
          <cell r="H19">
            <v>0.3</v>
          </cell>
        </row>
        <row r="23">
          <cell r="C23">
            <v>109.16668574800001</v>
          </cell>
          <cell r="D23">
            <v>64.582756952083002</v>
          </cell>
          <cell r="F23">
            <v>229.92373193097282</v>
          </cell>
          <cell r="I23">
            <v>3304.877526012152</v>
          </cell>
          <cell r="K23">
            <v>4190.5017962952907</v>
          </cell>
        </row>
        <row r="24">
          <cell r="E24">
            <v>125.43974274519336</v>
          </cell>
          <cell r="G24">
            <v>707.97589934397377</v>
          </cell>
          <cell r="H24">
            <v>283.85625905671333</v>
          </cell>
        </row>
        <row r="25">
          <cell r="E25">
            <v>0.68956808216999999</v>
          </cell>
          <cell r="G25">
            <v>41.212543445143638</v>
          </cell>
          <cell r="H25">
            <v>197.0334202964215</v>
          </cell>
        </row>
        <row r="26">
          <cell r="E26">
            <v>205.93095926294035</v>
          </cell>
          <cell r="G26">
            <v>631.65081977726095</v>
          </cell>
          <cell r="H26">
            <v>707.41513937127888</v>
          </cell>
        </row>
        <row r="27">
          <cell r="E27">
            <v>0</v>
          </cell>
          <cell r="G27">
            <v>0</v>
          </cell>
          <cell r="H27">
            <v>0</v>
          </cell>
        </row>
      </sheetData>
      <sheetData sheetId="2"/>
      <sheetData sheetId="3"/>
      <sheetData sheetId="4"/>
      <sheetData sheetId="5"/>
      <sheetData sheetId="6"/>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
      <sheetName val="4"/>
      <sheetName val="5"/>
      <sheetName val="6"/>
      <sheetName val="7"/>
    </sheetNames>
    <sheetDataSet>
      <sheetData sheetId="0"/>
      <sheetData sheetId="1">
        <row r="15">
          <cell r="C15">
            <v>792.65544277416302</v>
          </cell>
          <cell r="D15">
            <v>169.27805060113099</v>
          </cell>
          <cell r="F15">
            <v>411.54487677164593</v>
          </cell>
          <cell r="I15">
            <v>11176.915489381612</v>
          </cell>
          <cell r="K15">
            <v>179.09739111790901</v>
          </cell>
        </row>
        <row r="16">
          <cell r="E16">
            <v>98.476780825036741</v>
          </cell>
          <cell r="G16">
            <v>1329.3883199152031</v>
          </cell>
          <cell r="H16">
            <v>982.0668419031349</v>
          </cell>
        </row>
        <row r="17">
          <cell r="E17">
            <v>2.8850852942869998</v>
          </cell>
          <cell r="G17">
            <v>148.308021142299</v>
          </cell>
          <cell r="H17">
            <v>3198.8469274603067</v>
          </cell>
        </row>
        <row r="18">
          <cell r="E18">
            <v>145.77038344732003</v>
          </cell>
          <cell r="G18">
            <v>1265.4782164057194</v>
          </cell>
          <cell r="H18">
            <v>2571.9165428413658</v>
          </cell>
        </row>
        <row r="19">
          <cell r="E19">
            <v>0</v>
          </cell>
          <cell r="G19">
            <v>60</v>
          </cell>
          <cell r="H19">
            <v>0.3</v>
          </cell>
        </row>
        <row r="23">
          <cell r="C23">
            <v>101.41725835218</v>
          </cell>
          <cell r="D23">
            <v>80.899231527894017</v>
          </cell>
          <cell r="F23">
            <v>245.28789593356993</v>
          </cell>
          <cell r="I23">
            <v>3445.5665144298891</v>
          </cell>
          <cell r="K23">
            <v>4202.1257780628021</v>
          </cell>
        </row>
        <row r="24">
          <cell r="E24">
            <v>77.895432751098866</v>
          </cell>
          <cell r="G24">
            <v>450.06454856504433</v>
          </cell>
          <cell r="H24">
            <v>156.28291528508888</v>
          </cell>
        </row>
        <row r="25">
          <cell r="E25">
            <v>0.67402567997500007</v>
          </cell>
          <cell r="G25">
            <v>28.014461623474919</v>
          </cell>
          <cell r="H25">
            <v>170.67635236031359</v>
          </cell>
        </row>
        <row r="26">
          <cell r="E26">
            <v>267.25148960746185</v>
          </cell>
          <cell r="G26">
            <v>952.64626646663669</v>
          </cell>
          <cell r="H26">
            <v>914.45663627715089</v>
          </cell>
        </row>
        <row r="27">
          <cell r="E27">
            <v>0</v>
          </cell>
          <cell r="G27">
            <v>0</v>
          </cell>
          <cell r="H27">
            <v>0</v>
          </cell>
        </row>
      </sheetData>
      <sheetData sheetId="2"/>
      <sheetData sheetId="3"/>
      <sheetData sheetId="4"/>
      <sheetData sheetId="5"/>
      <sheetData sheetId="6"/>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oans"/>
      <sheetName val="Companies"/>
    </sheetNames>
    <sheetDataSet>
      <sheetData sheetId="0">
        <row r="29">
          <cell r="D29">
            <v>455.50196</v>
          </cell>
        </row>
        <row r="30">
          <cell r="D30">
            <v>463.52499999999998</v>
          </cell>
        </row>
        <row r="31">
          <cell r="D31">
            <v>474.12524999999999</v>
          </cell>
        </row>
        <row r="32">
          <cell r="D32">
            <v>480.35700000000003</v>
          </cell>
        </row>
        <row r="33">
          <cell r="D33">
            <v>471.315</v>
          </cell>
        </row>
        <row r="35">
          <cell r="D35">
            <v>505.82149599999997</v>
          </cell>
        </row>
        <row r="36">
          <cell r="D36">
            <v>508.60300000000001</v>
          </cell>
        </row>
        <row r="37">
          <cell r="D37">
            <v>450.98899999999998</v>
          </cell>
        </row>
        <row r="38">
          <cell r="D38">
            <v>420.44170277622788</v>
          </cell>
        </row>
        <row r="41">
          <cell r="D41">
            <v>393.97699999999998</v>
          </cell>
        </row>
        <row r="42">
          <cell r="D42">
            <v>382.32794491241521</v>
          </cell>
        </row>
        <row r="43">
          <cell r="D43">
            <v>382.32794491241521</v>
          </cell>
        </row>
        <row r="47">
          <cell r="D47">
            <v>379.860187</v>
          </cell>
        </row>
        <row r="48">
          <cell r="D48">
            <v>364.50400000000002</v>
          </cell>
        </row>
        <row r="49">
          <cell r="D49">
            <v>355.01965300000001</v>
          </cell>
        </row>
        <row r="50">
          <cell r="D50">
            <v>348.68454988992113</v>
          </cell>
        </row>
        <row r="51">
          <cell r="D51">
            <v>342.05247815859798</v>
          </cell>
        </row>
        <row r="52">
          <cell r="D52">
            <v>318.38389844100004</v>
          </cell>
        </row>
        <row r="53">
          <cell r="D53">
            <v>315.36582701250637</v>
          </cell>
        </row>
        <row r="54">
          <cell r="D54">
            <v>314.44294500000001</v>
          </cell>
        </row>
        <row r="55">
          <cell r="D55">
            <v>326.7894459863391</v>
          </cell>
        </row>
        <row r="56">
          <cell r="D56">
            <v>326.63037600000007</v>
          </cell>
        </row>
        <row r="57">
          <cell r="D57">
            <v>319.61998199999999</v>
          </cell>
        </row>
        <row r="58">
          <cell r="D58">
            <v>329.09430200000003</v>
          </cell>
        </row>
        <row r="59">
          <cell r="D59">
            <v>336.49167999999997</v>
          </cell>
        </row>
        <row r="60">
          <cell r="D60">
            <v>349.28492999999997</v>
          </cell>
        </row>
        <row r="61">
          <cell r="D61">
            <v>305.99162000000001</v>
          </cell>
        </row>
      </sheetData>
      <sheetData sheetId="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s>
    <sheetDataSet>
      <sheetData sheetId="0">
        <row r="14">
          <cell r="C14">
            <v>0</v>
          </cell>
          <cell r="D14">
            <v>0</v>
          </cell>
          <cell r="E14">
            <v>0</v>
          </cell>
          <cell r="F14">
            <v>0</v>
          </cell>
          <cell r="G14">
            <v>0</v>
          </cell>
          <cell r="H14">
            <v>0</v>
          </cell>
        </row>
        <row r="18">
          <cell r="C18">
            <v>156.44315574400002</v>
          </cell>
          <cell r="D18">
            <v>45.886792767038997</v>
          </cell>
          <cell r="E18">
            <v>0.57899999999999996</v>
          </cell>
          <cell r="F18">
            <v>63.366835993284745</v>
          </cell>
          <cell r="G18">
            <v>0</v>
          </cell>
          <cell r="H18">
            <v>0</v>
          </cell>
        </row>
        <row r="22">
          <cell r="E22">
            <v>7.8078278990000003</v>
          </cell>
          <cell r="F22">
            <v>1.2108719059899999</v>
          </cell>
          <cell r="G22">
            <v>0</v>
          </cell>
          <cell r="H22">
            <v>5.8000000000000003E-2</v>
          </cell>
        </row>
        <row r="23">
          <cell r="C23">
            <v>58.634099999999997</v>
          </cell>
          <cell r="D23">
            <v>26.56001334602</v>
          </cell>
        </row>
        <row r="24">
          <cell r="C24">
            <v>0</v>
          </cell>
          <cell r="D24">
            <v>0</v>
          </cell>
        </row>
        <row r="25">
          <cell r="C25">
            <v>13.086039730000001</v>
          </cell>
          <cell r="D25">
            <v>1.92989611498</v>
          </cell>
        </row>
        <row r="26">
          <cell r="C26">
            <v>0</v>
          </cell>
          <cell r="D26">
            <v>0</v>
          </cell>
        </row>
        <row r="27">
          <cell r="C27">
            <v>25.848718977759997</v>
          </cell>
          <cell r="D27">
            <v>6.4583752679999993</v>
          </cell>
        </row>
        <row r="28">
          <cell r="C28">
            <v>18.54242911891</v>
          </cell>
          <cell r="D28">
            <v>5.4399200382599986</v>
          </cell>
        </row>
        <row r="29">
          <cell r="C29">
            <v>0</v>
          </cell>
          <cell r="D29">
            <v>0</v>
          </cell>
        </row>
        <row r="30">
          <cell r="C30">
            <v>0</v>
          </cell>
          <cell r="D30">
            <v>0</v>
          </cell>
          <cell r="E30">
            <v>0</v>
          </cell>
          <cell r="F30">
            <v>0</v>
          </cell>
          <cell r="G30">
            <v>0</v>
          </cell>
          <cell r="H30">
            <v>0</v>
          </cell>
        </row>
        <row r="31">
          <cell r="C31">
            <v>0</v>
          </cell>
          <cell r="D31">
            <v>0</v>
          </cell>
          <cell r="E31">
            <v>0</v>
          </cell>
          <cell r="F31">
            <v>0</v>
          </cell>
          <cell r="G31">
            <v>0</v>
          </cell>
          <cell r="H31">
            <v>0</v>
          </cell>
        </row>
        <row r="32">
          <cell r="E32">
            <v>0</v>
          </cell>
          <cell r="F32">
            <v>0</v>
          </cell>
          <cell r="G32">
            <v>0</v>
          </cell>
          <cell r="H32">
            <v>0</v>
          </cell>
        </row>
        <row r="33">
          <cell r="C33">
            <v>53.600493726781082</v>
          </cell>
          <cell r="D33">
            <v>0</v>
          </cell>
          <cell r="E33">
            <v>0</v>
          </cell>
          <cell r="F33">
            <v>-5.0067163039999994E-2</v>
          </cell>
          <cell r="G33">
            <v>0</v>
          </cell>
          <cell r="H33">
            <v>0</v>
          </cell>
        </row>
        <row r="34">
          <cell r="C34">
            <v>105.69503747679751</v>
          </cell>
          <cell r="D34">
            <v>0</v>
          </cell>
          <cell r="E34">
            <v>0</v>
          </cell>
          <cell r="F34">
            <v>0</v>
          </cell>
          <cell r="G34">
            <v>0</v>
          </cell>
          <cell r="H34">
            <v>0</v>
          </cell>
        </row>
        <row r="36">
          <cell r="C36">
            <v>93.630344251452968</v>
          </cell>
          <cell r="D36">
            <v>0</v>
          </cell>
          <cell r="E36">
            <v>0</v>
          </cell>
          <cell r="F36">
            <v>0</v>
          </cell>
          <cell r="G36">
            <v>6.476</v>
          </cell>
          <cell r="H36">
            <v>0</v>
          </cell>
        </row>
        <row r="37">
          <cell r="C37">
            <v>2.7800763900000001</v>
          </cell>
          <cell r="D37">
            <v>4.0000000000000001E-3</v>
          </cell>
          <cell r="E37">
            <v>0</v>
          </cell>
          <cell r="F37">
            <v>0</v>
          </cell>
          <cell r="G37">
            <v>0</v>
          </cell>
          <cell r="H37">
            <v>0</v>
          </cell>
        </row>
        <row r="38">
          <cell r="C38">
            <v>528.26039541570162</v>
          </cell>
          <cell r="D38">
            <v>86.278997534299009</v>
          </cell>
          <cell r="E38">
            <v>8.386827899</v>
          </cell>
          <cell r="F38">
            <v>64.527640736234744</v>
          </cell>
          <cell r="G38">
            <v>6.476</v>
          </cell>
          <cell r="H38">
            <v>5.8000000000000003E-2</v>
          </cell>
          <cell r="I38">
            <v>693.98786158523535</v>
          </cell>
        </row>
        <row r="40">
          <cell r="I40">
            <v>0</v>
          </cell>
        </row>
        <row r="41">
          <cell r="I41">
            <v>0</v>
          </cell>
        </row>
        <row r="42">
          <cell r="I42">
            <v>0</v>
          </cell>
        </row>
        <row r="64">
          <cell r="C64">
            <v>0</v>
          </cell>
          <cell r="D64">
            <v>0</v>
          </cell>
        </row>
        <row r="65">
          <cell r="C65">
            <v>0</v>
          </cell>
          <cell r="D65">
            <v>0</v>
          </cell>
          <cell r="E65">
            <v>0</v>
          </cell>
          <cell r="F65">
            <v>0</v>
          </cell>
          <cell r="G65">
            <v>0</v>
          </cell>
          <cell r="H65">
            <v>0</v>
          </cell>
        </row>
        <row r="68">
          <cell r="C68">
            <v>0</v>
          </cell>
          <cell r="D68">
            <v>0</v>
          </cell>
          <cell r="E68">
            <v>0</v>
          </cell>
          <cell r="F68">
            <v>0</v>
          </cell>
          <cell r="G68">
            <v>0</v>
          </cell>
          <cell r="H68">
            <v>0</v>
          </cell>
        </row>
        <row r="72">
          <cell r="E72">
            <v>0</v>
          </cell>
          <cell r="F72">
            <v>4.524</v>
          </cell>
          <cell r="G72">
            <v>0</v>
          </cell>
          <cell r="H72">
            <v>11.804052535999999</v>
          </cell>
        </row>
        <row r="73">
          <cell r="C73">
            <v>34.96</v>
          </cell>
          <cell r="D73">
            <v>0</v>
          </cell>
        </row>
        <row r="74">
          <cell r="C74">
            <v>0</v>
          </cell>
          <cell r="D74">
            <v>0</v>
          </cell>
        </row>
        <row r="75">
          <cell r="C75">
            <v>0</v>
          </cell>
          <cell r="D75">
            <v>0</v>
          </cell>
        </row>
        <row r="76">
          <cell r="C76">
            <v>3.6940981334300482</v>
          </cell>
          <cell r="D76">
            <v>4.399</v>
          </cell>
        </row>
        <row r="77">
          <cell r="C77">
            <v>112.122202233</v>
          </cell>
          <cell r="D77">
            <v>0</v>
          </cell>
        </row>
        <row r="78">
          <cell r="C78">
            <v>535.43061719744458</v>
          </cell>
          <cell r="D78">
            <v>0</v>
          </cell>
        </row>
        <row r="79">
          <cell r="C79">
            <v>0</v>
          </cell>
          <cell r="D79">
            <v>0</v>
          </cell>
        </row>
        <row r="80">
          <cell r="E80">
            <v>0</v>
          </cell>
          <cell r="F80">
            <v>0</v>
          </cell>
          <cell r="G80">
            <v>0</v>
          </cell>
          <cell r="H80">
            <v>0</v>
          </cell>
        </row>
        <row r="82">
          <cell r="C82">
            <v>0</v>
          </cell>
          <cell r="D82">
            <v>0</v>
          </cell>
        </row>
        <row r="85">
          <cell r="C85">
            <v>0</v>
          </cell>
          <cell r="D85">
            <v>0</v>
          </cell>
        </row>
        <row r="88">
          <cell r="C88">
            <v>0</v>
          </cell>
          <cell r="D88">
            <v>0</v>
          </cell>
        </row>
        <row r="89">
          <cell r="C89">
            <v>0</v>
          </cell>
          <cell r="D89">
            <v>0</v>
          </cell>
          <cell r="E89">
            <v>0</v>
          </cell>
          <cell r="F89">
            <v>0</v>
          </cell>
          <cell r="G89">
            <v>0</v>
          </cell>
          <cell r="H89">
            <v>0</v>
          </cell>
        </row>
        <row r="90">
          <cell r="E90">
            <v>0</v>
          </cell>
          <cell r="F90">
            <v>0</v>
          </cell>
          <cell r="G90">
            <v>0</v>
          </cell>
          <cell r="H90">
            <v>0</v>
          </cell>
        </row>
        <row r="91">
          <cell r="C91">
            <v>0</v>
          </cell>
          <cell r="D91">
            <v>0</v>
          </cell>
          <cell r="E91">
            <v>0</v>
          </cell>
          <cell r="F91">
            <v>0</v>
          </cell>
          <cell r="G91">
            <v>0</v>
          </cell>
          <cell r="H91">
            <v>0</v>
          </cell>
        </row>
        <row r="92">
          <cell r="C92">
            <v>0</v>
          </cell>
          <cell r="D92">
            <v>0</v>
          </cell>
        </row>
        <row r="93">
          <cell r="C93">
            <v>11.309043816999983</v>
          </cell>
          <cell r="D93">
            <v>-1.4557218895788537E-5</v>
          </cell>
          <cell r="E93">
            <v>0</v>
          </cell>
          <cell r="F93">
            <v>-6.7163039999996961E-5</v>
          </cell>
          <cell r="G93">
            <v>0</v>
          </cell>
          <cell r="H93">
            <v>0</v>
          </cell>
        </row>
        <row r="94">
          <cell r="C94">
            <v>697.51396138087466</v>
          </cell>
          <cell r="D94">
            <v>4.3769854427811037</v>
          </cell>
          <cell r="E94">
            <v>0</v>
          </cell>
          <cell r="F94">
            <v>4.5239328369600003</v>
          </cell>
          <cell r="G94">
            <v>0</v>
          </cell>
          <cell r="H94">
            <v>11.804052535999999</v>
          </cell>
          <cell r="I94">
            <v>718.2189321966157</v>
          </cell>
        </row>
        <row r="96">
          <cell r="I96">
            <v>0</v>
          </cell>
        </row>
        <row r="97">
          <cell r="I97">
            <v>0</v>
          </cell>
        </row>
        <row r="98">
          <cell r="I98">
            <v>0</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s>
    <sheetDataSet>
      <sheetData sheetId="0">
        <row r="14">
          <cell r="C14">
            <v>0</v>
          </cell>
          <cell r="D14">
            <v>0</v>
          </cell>
          <cell r="E14">
            <v>0</v>
          </cell>
          <cell r="F14">
            <v>0</v>
          </cell>
          <cell r="G14">
            <v>0</v>
          </cell>
          <cell r="H14">
            <v>0</v>
          </cell>
        </row>
        <row r="18">
          <cell r="C18">
            <v>65.378545739000003</v>
          </cell>
          <cell r="D18">
            <v>116.06234069220119</v>
          </cell>
          <cell r="E18">
            <v>0.50600000000000001</v>
          </cell>
          <cell r="F18">
            <v>89.895397686532078</v>
          </cell>
          <cell r="G18">
            <v>0</v>
          </cell>
          <cell r="H18">
            <v>0</v>
          </cell>
        </row>
        <row r="22">
          <cell r="E22">
            <v>8.3829967730000003</v>
          </cell>
          <cell r="F22">
            <v>0.89212271395999998</v>
          </cell>
          <cell r="G22">
            <v>0</v>
          </cell>
          <cell r="H22">
            <v>5.8000000000000003E-2</v>
          </cell>
        </row>
        <row r="23">
          <cell r="C23">
            <v>44.462828999999999</v>
          </cell>
          <cell r="D23">
            <v>26.560043787999998</v>
          </cell>
        </row>
        <row r="24">
          <cell r="C24">
            <v>0</v>
          </cell>
          <cell r="D24">
            <v>0</v>
          </cell>
        </row>
        <row r="25">
          <cell r="C25">
            <v>13.306188730000001</v>
          </cell>
          <cell r="D25">
            <v>3.4388809389900001</v>
          </cell>
        </row>
        <row r="26">
          <cell r="C26">
            <v>4.5995902750002218E-2</v>
          </cell>
          <cell r="D26">
            <v>0</v>
          </cell>
        </row>
        <row r="27">
          <cell r="C27">
            <v>19.993911914910001</v>
          </cell>
          <cell r="D27">
            <v>7.1497235989999997</v>
          </cell>
        </row>
        <row r="28">
          <cell r="C28">
            <v>19.513369695169999</v>
          </cell>
          <cell r="D28">
            <v>5.3209016510899989</v>
          </cell>
        </row>
        <row r="29">
          <cell r="C29">
            <v>0</v>
          </cell>
          <cell r="D29">
            <v>0</v>
          </cell>
        </row>
        <row r="30">
          <cell r="C30">
            <v>0</v>
          </cell>
          <cell r="D30">
            <v>0</v>
          </cell>
          <cell r="E30">
            <v>0</v>
          </cell>
          <cell r="F30">
            <v>0</v>
          </cell>
          <cell r="G30">
            <v>0</v>
          </cell>
          <cell r="H30">
            <v>0</v>
          </cell>
        </row>
        <row r="31">
          <cell r="C31">
            <v>0</v>
          </cell>
          <cell r="D31">
            <v>0</v>
          </cell>
          <cell r="E31">
            <v>0</v>
          </cell>
          <cell r="F31">
            <v>0</v>
          </cell>
          <cell r="G31">
            <v>0</v>
          </cell>
          <cell r="H31">
            <v>0</v>
          </cell>
        </row>
        <row r="32">
          <cell r="E32">
            <v>0</v>
          </cell>
          <cell r="F32">
            <v>0</v>
          </cell>
          <cell r="G32">
            <v>0</v>
          </cell>
          <cell r="H32">
            <v>0</v>
          </cell>
        </row>
        <row r="33">
          <cell r="C33">
            <v>53.745184056780815</v>
          </cell>
          <cell r="D33">
            <v>0</v>
          </cell>
          <cell r="E33">
            <v>0</v>
          </cell>
          <cell r="F33">
            <v>0</v>
          </cell>
          <cell r="G33">
            <v>0</v>
          </cell>
          <cell r="H33">
            <v>0</v>
          </cell>
        </row>
        <row r="34">
          <cell r="C34">
            <v>107.50395654258385</v>
          </cell>
          <cell r="D34">
            <v>0</v>
          </cell>
          <cell r="E34">
            <v>0</v>
          </cell>
          <cell r="F34">
            <v>0</v>
          </cell>
          <cell r="G34">
            <v>0</v>
          </cell>
          <cell r="H34">
            <v>0</v>
          </cell>
        </row>
        <row r="36">
          <cell r="C36">
            <v>96.520569511163444</v>
          </cell>
          <cell r="D36">
            <v>0</v>
          </cell>
          <cell r="E36">
            <v>0</v>
          </cell>
          <cell r="F36">
            <v>0</v>
          </cell>
          <cell r="G36">
            <v>6.6269999999999998</v>
          </cell>
          <cell r="H36">
            <v>0</v>
          </cell>
        </row>
        <row r="37">
          <cell r="C37">
            <v>20.638999999999999</v>
          </cell>
          <cell r="D37">
            <v>0</v>
          </cell>
          <cell r="E37">
            <v>0</v>
          </cell>
          <cell r="F37">
            <v>0</v>
          </cell>
          <cell r="G37">
            <v>0</v>
          </cell>
          <cell r="H37">
            <v>0</v>
          </cell>
        </row>
        <row r="38">
          <cell r="C38">
            <v>441.10955109235806</v>
          </cell>
          <cell r="D38">
            <v>158.53189066928118</v>
          </cell>
          <cell r="E38">
            <v>8.8889967729999988</v>
          </cell>
          <cell r="F38">
            <v>90.78752040049207</v>
          </cell>
          <cell r="G38">
            <v>6.6269999999999998</v>
          </cell>
          <cell r="H38">
            <v>5.8000000000000003E-2</v>
          </cell>
          <cell r="I38">
            <v>706.00295893513135</v>
          </cell>
        </row>
        <row r="40">
          <cell r="I40">
            <v>0</v>
          </cell>
        </row>
        <row r="41">
          <cell r="I41">
            <v>0</v>
          </cell>
        </row>
        <row r="42">
          <cell r="I42">
            <v>0</v>
          </cell>
        </row>
        <row r="64">
          <cell r="C64">
            <v>0</v>
          </cell>
          <cell r="D64">
            <v>0</v>
          </cell>
        </row>
        <row r="65">
          <cell r="C65">
            <v>0</v>
          </cell>
          <cell r="D65">
            <v>0</v>
          </cell>
          <cell r="E65">
            <v>0</v>
          </cell>
          <cell r="F65">
            <v>0</v>
          </cell>
          <cell r="G65">
            <v>0</v>
          </cell>
          <cell r="H65">
            <v>0</v>
          </cell>
        </row>
        <row r="68">
          <cell r="C68">
            <v>0</v>
          </cell>
          <cell r="D68">
            <v>0</v>
          </cell>
          <cell r="E68">
            <v>0</v>
          </cell>
          <cell r="F68">
            <v>0</v>
          </cell>
          <cell r="G68">
            <v>0</v>
          </cell>
          <cell r="H68">
            <v>0</v>
          </cell>
        </row>
        <row r="72">
          <cell r="E72">
            <v>0</v>
          </cell>
          <cell r="F72">
            <v>4.524</v>
          </cell>
          <cell r="G72">
            <v>0</v>
          </cell>
          <cell r="H72">
            <v>12.38423182</v>
          </cell>
        </row>
        <row r="73">
          <cell r="C73">
            <v>34.96</v>
          </cell>
          <cell r="D73">
            <v>0</v>
          </cell>
        </row>
        <row r="74">
          <cell r="C74">
            <v>0</v>
          </cell>
          <cell r="D74">
            <v>0</v>
          </cell>
        </row>
        <row r="75">
          <cell r="C75">
            <v>0</v>
          </cell>
          <cell r="D75">
            <v>0</v>
          </cell>
        </row>
        <row r="76">
          <cell r="C76">
            <v>0.16228884904999985</v>
          </cell>
          <cell r="D76">
            <v>4.4320000000000004</v>
          </cell>
        </row>
        <row r="77">
          <cell r="C77">
            <v>120.39747797766999</v>
          </cell>
          <cell r="D77">
            <v>0</v>
          </cell>
        </row>
        <row r="78">
          <cell r="C78">
            <v>538.88892834248054</v>
          </cell>
          <cell r="D78">
            <v>0</v>
          </cell>
        </row>
        <row r="79">
          <cell r="C79">
            <v>0</v>
          </cell>
          <cell r="D79">
            <v>0</v>
          </cell>
        </row>
        <row r="80">
          <cell r="E80">
            <v>0</v>
          </cell>
          <cell r="F80">
            <v>0</v>
          </cell>
          <cell r="G80">
            <v>0</v>
          </cell>
          <cell r="H80">
            <v>0</v>
          </cell>
        </row>
        <row r="82">
          <cell r="C82">
            <v>0</v>
          </cell>
          <cell r="D82">
            <v>0</v>
          </cell>
        </row>
        <row r="85">
          <cell r="C85">
            <v>0</v>
          </cell>
          <cell r="D85">
            <v>0</v>
          </cell>
        </row>
        <row r="88">
          <cell r="C88">
            <v>0</v>
          </cell>
          <cell r="D88">
            <v>0</v>
          </cell>
        </row>
        <row r="89">
          <cell r="C89">
            <v>0</v>
          </cell>
          <cell r="D89">
            <v>0</v>
          </cell>
          <cell r="E89">
            <v>0</v>
          </cell>
          <cell r="F89">
            <v>0</v>
          </cell>
          <cell r="G89">
            <v>0</v>
          </cell>
          <cell r="H89">
            <v>0</v>
          </cell>
        </row>
        <row r="90">
          <cell r="E90">
            <v>0</v>
          </cell>
          <cell r="F90">
            <v>0</v>
          </cell>
          <cell r="G90">
            <v>0</v>
          </cell>
          <cell r="H90">
            <v>0</v>
          </cell>
        </row>
        <row r="91">
          <cell r="C91">
            <v>0</v>
          </cell>
          <cell r="D91">
            <v>0</v>
          </cell>
          <cell r="E91">
            <v>0</v>
          </cell>
          <cell r="F91">
            <v>0</v>
          </cell>
          <cell r="G91">
            <v>0</v>
          </cell>
          <cell r="H91">
            <v>0</v>
          </cell>
        </row>
        <row r="92">
          <cell r="C92">
            <v>0</v>
          </cell>
          <cell r="D92">
            <v>0</v>
          </cell>
        </row>
        <row r="93">
          <cell r="C93">
            <v>1.2162649540000001</v>
          </cell>
          <cell r="D93">
            <v>0</v>
          </cell>
          <cell r="E93">
            <v>0</v>
          </cell>
          <cell r="F93">
            <v>0</v>
          </cell>
          <cell r="G93">
            <v>0</v>
          </cell>
          <cell r="H93">
            <v>0</v>
          </cell>
        </row>
        <row r="94">
          <cell r="C94">
            <v>695.62496012320048</v>
          </cell>
          <cell r="D94">
            <v>4.4320000000000004</v>
          </cell>
          <cell r="E94">
            <v>0</v>
          </cell>
          <cell r="F94">
            <v>4.524</v>
          </cell>
          <cell r="G94">
            <v>0</v>
          </cell>
          <cell r="H94">
            <v>12.38423182</v>
          </cell>
          <cell r="I94">
            <v>716.96519194320047</v>
          </cell>
        </row>
        <row r="96">
          <cell r="I96">
            <v>0</v>
          </cell>
        </row>
        <row r="97">
          <cell r="I97">
            <v>0</v>
          </cell>
        </row>
        <row r="98">
          <cell r="I98">
            <v>0</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s>
    <sheetDataSet>
      <sheetData sheetId="0">
        <row r="14">
          <cell r="C14">
            <v>0</v>
          </cell>
          <cell r="D14">
            <v>0</v>
          </cell>
          <cell r="E14">
            <v>0</v>
          </cell>
          <cell r="F14">
            <v>0</v>
          </cell>
          <cell r="G14">
            <v>0</v>
          </cell>
          <cell r="H14">
            <v>0</v>
          </cell>
        </row>
        <row r="18">
          <cell r="C18">
            <v>65.737547691999936</v>
          </cell>
          <cell r="D18">
            <v>116.24352948268667</v>
          </cell>
          <cell r="E18">
            <v>0.38</v>
          </cell>
          <cell r="F18">
            <v>90.212092972588579</v>
          </cell>
          <cell r="G18">
            <v>0</v>
          </cell>
          <cell r="H18">
            <v>0</v>
          </cell>
        </row>
        <row r="22">
          <cell r="E22">
            <v>3.5060507179994135E-2</v>
          </cell>
          <cell r="F22">
            <v>0.79404442795999997</v>
          </cell>
          <cell r="G22">
            <v>8.3649967729999997</v>
          </cell>
          <cell r="H22">
            <v>5.8000000000000003E-2</v>
          </cell>
        </row>
        <row r="23">
          <cell r="C23">
            <v>44.462828999999999</v>
          </cell>
          <cell r="D23">
            <v>26.560043836999998</v>
          </cell>
        </row>
        <row r="24">
          <cell r="C24">
            <v>0</v>
          </cell>
          <cell r="D24">
            <v>0</v>
          </cell>
        </row>
        <row r="25">
          <cell r="C25">
            <v>17.591478317569756</v>
          </cell>
          <cell r="D25">
            <v>2.9819990629900004</v>
          </cell>
        </row>
        <row r="26">
          <cell r="C26">
            <v>2.6309451750000937E-2</v>
          </cell>
          <cell r="D26">
            <v>0</v>
          </cell>
        </row>
        <row r="27">
          <cell r="C27">
            <v>22.994507471840002</v>
          </cell>
          <cell r="D27">
            <v>2.6225162959999997</v>
          </cell>
        </row>
        <row r="28">
          <cell r="C28">
            <v>19.377371289149998</v>
          </cell>
          <cell r="D28">
            <v>5.2723483025100011</v>
          </cell>
        </row>
        <row r="29">
          <cell r="C29">
            <v>0</v>
          </cell>
          <cell r="D29">
            <v>0</v>
          </cell>
        </row>
        <row r="30">
          <cell r="C30">
            <v>0</v>
          </cell>
          <cell r="D30">
            <v>0</v>
          </cell>
          <cell r="E30">
            <v>0</v>
          </cell>
          <cell r="F30">
            <v>0</v>
          </cell>
          <cell r="G30">
            <v>0</v>
          </cell>
          <cell r="H30">
            <v>0</v>
          </cell>
        </row>
        <row r="31">
          <cell r="C31">
            <v>0</v>
          </cell>
          <cell r="D31">
            <v>0</v>
          </cell>
          <cell r="E31">
            <v>0</v>
          </cell>
          <cell r="F31">
            <v>0</v>
          </cell>
          <cell r="G31">
            <v>0</v>
          </cell>
          <cell r="H31">
            <v>0</v>
          </cell>
        </row>
        <row r="32">
          <cell r="E32">
            <v>0</v>
          </cell>
          <cell r="F32">
            <v>0</v>
          </cell>
          <cell r="G32">
            <v>0</v>
          </cell>
          <cell r="H32">
            <v>0</v>
          </cell>
        </row>
        <row r="33">
          <cell r="C33">
            <v>57.801159801400352</v>
          </cell>
          <cell r="D33">
            <v>0</v>
          </cell>
          <cell r="E33">
            <v>0</v>
          </cell>
          <cell r="F33">
            <v>0</v>
          </cell>
          <cell r="G33">
            <v>0</v>
          </cell>
          <cell r="H33">
            <v>0</v>
          </cell>
        </row>
        <row r="34">
          <cell r="C34">
            <v>107.71014215024658</v>
          </cell>
          <cell r="D34">
            <v>0</v>
          </cell>
          <cell r="E34">
            <v>0</v>
          </cell>
          <cell r="F34">
            <v>0</v>
          </cell>
          <cell r="G34">
            <v>0</v>
          </cell>
          <cell r="H34">
            <v>0</v>
          </cell>
        </row>
        <row r="36">
          <cell r="C36">
            <v>97.894022834067812</v>
          </cell>
          <cell r="D36">
            <v>0</v>
          </cell>
          <cell r="E36">
            <v>0</v>
          </cell>
          <cell r="F36">
            <v>0</v>
          </cell>
          <cell r="G36">
            <v>7.06</v>
          </cell>
          <cell r="H36">
            <v>0</v>
          </cell>
        </row>
        <row r="37">
          <cell r="C37">
            <v>3.2356512400000002</v>
          </cell>
          <cell r="D37">
            <v>0</v>
          </cell>
          <cell r="E37">
            <v>0</v>
          </cell>
          <cell r="F37">
            <v>0</v>
          </cell>
          <cell r="G37">
            <v>0</v>
          </cell>
          <cell r="H37">
            <v>0</v>
          </cell>
        </row>
        <row r="38">
          <cell r="C38">
            <v>436.8310192480244</v>
          </cell>
          <cell r="D38">
            <v>153.68043698118666</v>
          </cell>
          <cell r="E38">
            <v>0.41506050717999415</v>
          </cell>
          <cell r="F38">
            <v>91.006137400548582</v>
          </cell>
          <cell r="G38">
            <v>15.424996773</v>
          </cell>
          <cell r="H38">
            <v>5.8000000000000003E-2</v>
          </cell>
          <cell r="I38">
            <v>697.41565090993981</v>
          </cell>
        </row>
        <row r="40">
          <cell r="I40">
            <v>0</v>
          </cell>
        </row>
        <row r="41">
          <cell r="I41">
            <v>0</v>
          </cell>
        </row>
        <row r="42">
          <cell r="I42">
            <v>0</v>
          </cell>
        </row>
        <row r="64">
          <cell r="C64">
            <v>0</v>
          </cell>
          <cell r="D64">
            <v>0</v>
          </cell>
        </row>
        <row r="65">
          <cell r="C65">
            <v>0</v>
          </cell>
          <cell r="D65">
            <v>0</v>
          </cell>
          <cell r="E65">
            <v>0</v>
          </cell>
          <cell r="F65">
            <v>0</v>
          </cell>
          <cell r="G65">
            <v>0</v>
          </cell>
          <cell r="H65">
            <v>0</v>
          </cell>
        </row>
        <row r="68">
          <cell r="C68">
            <v>0</v>
          </cell>
          <cell r="D68">
            <v>0</v>
          </cell>
          <cell r="E68">
            <v>0</v>
          </cell>
          <cell r="F68">
            <v>0</v>
          </cell>
          <cell r="G68">
            <v>0</v>
          </cell>
          <cell r="H68">
            <v>0</v>
          </cell>
        </row>
        <row r="72">
          <cell r="E72">
            <v>0</v>
          </cell>
          <cell r="F72">
            <v>0</v>
          </cell>
          <cell r="G72">
            <v>0</v>
          </cell>
          <cell r="H72">
            <v>17.160431850999998</v>
          </cell>
        </row>
        <row r="73">
          <cell r="C73">
            <v>34.96</v>
          </cell>
          <cell r="D73">
            <v>0</v>
          </cell>
        </row>
        <row r="74">
          <cell r="C74">
            <v>0</v>
          </cell>
          <cell r="D74">
            <v>0</v>
          </cell>
        </row>
        <row r="75">
          <cell r="C75">
            <v>0</v>
          </cell>
          <cell r="D75">
            <v>0</v>
          </cell>
        </row>
        <row r="76">
          <cell r="C76">
            <v>9.4462500749999886E-2</v>
          </cell>
          <cell r="D76">
            <v>4.4539999999999997</v>
          </cell>
        </row>
        <row r="77">
          <cell r="C77">
            <v>62.172929404670001</v>
          </cell>
          <cell r="D77">
            <v>-3.7999999999999999E-2</v>
          </cell>
        </row>
        <row r="78">
          <cell r="C78">
            <v>541.12137215594964</v>
          </cell>
          <cell r="D78">
            <v>0</v>
          </cell>
        </row>
        <row r="79">
          <cell r="C79">
            <v>0</v>
          </cell>
          <cell r="D79">
            <v>0</v>
          </cell>
        </row>
        <row r="80">
          <cell r="E80">
            <v>0</v>
          </cell>
          <cell r="F80">
            <v>0</v>
          </cell>
          <cell r="G80">
            <v>0</v>
          </cell>
          <cell r="H80">
            <v>0</v>
          </cell>
        </row>
        <row r="82">
          <cell r="C82">
            <v>0</v>
          </cell>
          <cell r="D82">
            <v>0</v>
          </cell>
        </row>
        <row r="85">
          <cell r="C85">
            <v>0</v>
          </cell>
          <cell r="D85">
            <v>0</v>
          </cell>
        </row>
        <row r="88">
          <cell r="C88">
            <v>0</v>
          </cell>
          <cell r="D88">
            <v>0</v>
          </cell>
        </row>
        <row r="89">
          <cell r="C89">
            <v>0</v>
          </cell>
          <cell r="D89">
            <v>0</v>
          </cell>
          <cell r="E89">
            <v>0</v>
          </cell>
          <cell r="F89">
            <v>0</v>
          </cell>
          <cell r="G89">
            <v>0</v>
          </cell>
          <cell r="H89">
            <v>0</v>
          </cell>
        </row>
        <row r="90">
          <cell r="E90">
            <v>0</v>
          </cell>
          <cell r="F90">
            <v>0</v>
          </cell>
          <cell r="G90">
            <v>0</v>
          </cell>
          <cell r="H90">
            <v>0</v>
          </cell>
        </row>
        <row r="91">
          <cell r="C91">
            <v>0</v>
          </cell>
          <cell r="D91">
            <v>0</v>
          </cell>
          <cell r="E91">
            <v>0</v>
          </cell>
          <cell r="F91">
            <v>0</v>
          </cell>
          <cell r="G91">
            <v>0</v>
          </cell>
          <cell r="H91">
            <v>0</v>
          </cell>
        </row>
        <row r="92">
          <cell r="C92">
            <v>0</v>
          </cell>
          <cell r="D92">
            <v>0</v>
          </cell>
        </row>
        <row r="93">
          <cell r="C93">
            <v>41.177030090999999</v>
          </cell>
          <cell r="D93">
            <v>-2.296459964782116E-5</v>
          </cell>
          <cell r="E93">
            <v>0</v>
          </cell>
          <cell r="F93">
            <v>0</v>
          </cell>
          <cell r="G93">
            <v>0</v>
          </cell>
          <cell r="H93">
            <v>0</v>
          </cell>
        </row>
        <row r="94">
          <cell r="C94">
            <v>679.5257941523696</v>
          </cell>
          <cell r="D94">
            <v>4.4159770354003518</v>
          </cell>
          <cell r="E94">
            <v>0</v>
          </cell>
          <cell r="F94">
            <v>0</v>
          </cell>
          <cell r="G94">
            <v>0</v>
          </cell>
          <cell r="H94">
            <v>17.160431850999998</v>
          </cell>
          <cell r="I94">
            <v>701.10220303876997</v>
          </cell>
        </row>
        <row r="96">
          <cell r="I96">
            <v>0</v>
          </cell>
        </row>
        <row r="97">
          <cell r="I97">
            <v>0</v>
          </cell>
        </row>
        <row r="98">
          <cell r="I98">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34">
          <cell r="Q34">
            <v>19371.09303734389</v>
          </cell>
        </row>
        <row r="36">
          <cell r="Q36">
            <v>10829.294323742923</v>
          </cell>
        </row>
      </sheetData>
      <sheetData sheetId="1"/>
      <sheetData sheetId="2"/>
      <sheetData sheetId="3"/>
      <sheetData sheetId="4"/>
      <sheetData sheetId="5"/>
      <sheetData sheetId="6"/>
      <sheetData sheetId="7"/>
      <sheetData sheetId="8"/>
      <sheetData sheetId="9"/>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s>
    <sheetDataSet>
      <sheetData sheetId="0">
        <row r="14">
          <cell r="C14">
            <v>0</v>
          </cell>
          <cell r="D14">
            <v>0</v>
          </cell>
          <cell r="E14">
            <v>0</v>
          </cell>
          <cell r="F14">
            <v>0</v>
          </cell>
          <cell r="G14">
            <v>0</v>
          </cell>
          <cell r="H14">
            <v>0</v>
          </cell>
        </row>
        <row r="18">
          <cell r="C18">
            <v>60.850453873000021</v>
          </cell>
          <cell r="D18">
            <v>123.17143211661231</v>
          </cell>
          <cell r="E18">
            <v>1.06</v>
          </cell>
          <cell r="F18">
            <v>96.679575032402994</v>
          </cell>
          <cell r="G18">
            <v>0</v>
          </cell>
          <cell r="H18">
            <v>0</v>
          </cell>
        </row>
        <row r="22">
          <cell r="E22">
            <v>8.3796736541799977</v>
          </cell>
          <cell r="F22">
            <v>0.79896952995000003</v>
          </cell>
          <cell r="G22">
            <v>0</v>
          </cell>
          <cell r="H22">
            <v>5.8000000000000003E-2</v>
          </cell>
        </row>
        <row r="23">
          <cell r="C23">
            <v>44.509759555000002</v>
          </cell>
          <cell r="D23">
            <v>34.699881946990011</v>
          </cell>
        </row>
        <row r="24">
          <cell r="C24">
            <v>0</v>
          </cell>
          <cell r="D24">
            <v>0</v>
          </cell>
        </row>
        <row r="25">
          <cell r="C25">
            <v>13.963131552</v>
          </cell>
          <cell r="D25">
            <v>1.97382681</v>
          </cell>
        </row>
        <row r="26">
          <cell r="C26">
            <v>6.6309451750002801E-2</v>
          </cell>
          <cell r="D26">
            <v>0</v>
          </cell>
        </row>
        <row r="27">
          <cell r="C27">
            <v>22.262707821000003</v>
          </cell>
          <cell r="D27">
            <v>2.1100020870000002</v>
          </cell>
        </row>
        <row r="28">
          <cell r="C28">
            <v>19.488640843629998</v>
          </cell>
          <cell r="D28">
            <v>5.4654893147899992</v>
          </cell>
        </row>
        <row r="29">
          <cell r="C29">
            <v>0</v>
          </cell>
          <cell r="D29">
            <v>0</v>
          </cell>
        </row>
        <row r="30">
          <cell r="C30">
            <v>0</v>
          </cell>
          <cell r="D30">
            <v>0</v>
          </cell>
          <cell r="E30">
            <v>0</v>
          </cell>
          <cell r="F30">
            <v>0</v>
          </cell>
          <cell r="G30">
            <v>0</v>
          </cell>
          <cell r="H30">
            <v>0</v>
          </cell>
        </row>
        <row r="31">
          <cell r="C31">
            <v>0</v>
          </cell>
          <cell r="D31">
            <v>0</v>
          </cell>
          <cell r="E31">
            <v>0</v>
          </cell>
          <cell r="F31">
            <v>0</v>
          </cell>
          <cell r="G31">
            <v>0</v>
          </cell>
          <cell r="H31">
            <v>0</v>
          </cell>
        </row>
        <row r="32">
          <cell r="E32">
            <v>0</v>
          </cell>
          <cell r="F32">
            <v>0</v>
          </cell>
          <cell r="G32">
            <v>0</v>
          </cell>
          <cell r="H32">
            <v>0</v>
          </cell>
        </row>
        <row r="33">
          <cell r="C33">
            <v>57.234131430986544</v>
          </cell>
          <cell r="D33">
            <v>0</v>
          </cell>
          <cell r="E33">
            <v>0</v>
          </cell>
          <cell r="F33">
            <v>-5.0040625440000007E-2</v>
          </cell>
          <cell r="G33">
            <v>0</v>
          </cell>
          <cell r="H33">
            <v>0</v>
          </cell>
        </row>
        <row r="34">
          <cell r="C34">
            <v>101.815395985766</v>
          </cell>
          <cell r="D34">
            <v>0</v>
          </cell>
          <cell r="E34">
            <v>0</v>
          </cell>
          <cell r="F34">
            <v>0</v>
          </cell>
          <cell r="G34">
            <v>0</v>
          </cell>
          <cell r="H34">
            <v>0</v>
          </cell>
        </row>
        <row r="36">
          <cell r="C36">
            <v>93.575351455611695</v>
          </cell>
          <cell r="D36">
            <v>0</v>
          </cell>
          <cell r="E36">
            <v>0</v>
          </cell>
          <cell r="F36">
            <v>0</v>
          </cell>
          <cell r="G36">
            <v>7.3369999999999997</v>
          </cell>
          <cell r="H36">
            <v>0</v>
          </cell>
        </row>
        <row r="37">
          <cell r="C37">
            <v>3.8680000000000003</v>
          </cell>
          <cell r="D37">
            <v>0</v>
          </cell>
          <cell r="E37">
            <v>0</v>
          </cell>
          <cell r="F37">
            <v>0</v>
          </cell>
          <cell r="G37">
            <v>0</v>
          </cell>
          <cell r="H37">
            <v>0</v>
          </cell>
        </row>
        <row r="38">
          <cell r="C38">
            <v>417.63388196874428</v>
          </cell>
          <cell r="D38">
            <v>167.42063227539234</v>
          </cell>
          <cell r="E38">
            <v>9.4396736541799982</v>
          </cell>
          <cell r="F38">
            <v>97.428503936912989</v>
          </cell>
          <cell r="G38">
            <v>7.3369999999999997</v>
          </cell>
          <cell r="H38">
            <v>5.8000000000000003E-2</v>
          </cell>
          <cell r="I38">
            <v>699.31769183522965</v>
          </cell>
        </row>
        <row r="40">
          <cell r="I40">
            <v>0</v>
          </cell>
        </row>
        <row r="41">
          <cell r="I41">
            <v>0</v>
          </cell>
        </row>
        <row r="42">
          <cell r="I42">
            <v>0</v>
          </cell>
        </row>
        <row r="64">
          <cell r="C64">
            <v>0</v>
          </cell>
          <cell r="D64">
            <v>0</v>
          </cell>
        </row>
        <row r="65">
          <cell r="C65">
            <v>0</v>
          </cell>
          <cell r="D65">
            <v>0</v>
          </cell>
          <cell r="E65">
            <v>0</v>
          </cell>
          <cell r="F65">
            <v>0</v>
          </cell>
          <cell r="G65">
            <v>0</v>
          </cell>
          <cell r="H65">
            <v>0</v>
          </cell>
        </row>
        <row r="68">
          <cell r="C68">
            <v>0</v>
          </cell>
          <cell r="D68">
            <v>0</v>
          </cell>
          <cell r="E68">
            <v>0</v>
          </cell>
          <cell r="F68">
            <v>0</v>
          </cell>
          <cell r="G68">
            <v>0</v>
          </cell>
          <cell r="H68">
            <v>0</v>
          </cell>
        </row>
        <row r="72">
          <cell r="E72">
            <v>0</v>
          </cell>
          <cell r="F72">
            <v>0</v>
          </cell>
          <cell r="G72">
            <v>0</v>
          </cell>
          <cell r="H72">
            <v>17.238442399</v>
          </cell>
        </row>
        <row r="73">
          <cell r="C73">
            <v>35.46</v>
          </cell>
          <cell r="D73">
            <v>0</v>
          </cell>
        </row>
        <row r="74">
          <cell r="C74">
            <v>0</v>
          </cell>
          <cell r="D74">
            <v>0</v>
          </cell>
        </row>
        <row r="75">
          <cell r="C75">
            <v>0</v>
          </cell>
          <cell r="D75">
            <v>0</v>
          </cell>
        </row>
        <row r="76">
          <cell r="C76">
            <v>0.14953097638999996</v>
          </cell>
          <cell r="D76">
            <v>4.4779999999999998</v>
          </cell>
        </row>
        <row r="77">
          <cell r="C77">
            <v>62.852008960669998</v>
          </cell>
          <cell r="D77">
            <v>0</v>
          </cell>
        </row>
        <row r="78">
          <cell r="C78">
            <v>547.46671174246308</v>
          </cell>
          <cell r="D78">
            <v>0</v>
          </cell>
        </row>
        <row r="79">
          <cell r="C79">
            <v>0</v>
          </cell>
          <cell r="D79">
            <v>0</v>
          </cell>
        </row>
        <row r="80">
          <cell r="E80">
            <v>0</v>
          </cell>
          <cell r="F80">
            <v>0</v>
          </cell>
          <cell r="G80">
            <v>0</v>
          </cell>
          <cell r="H80">
            <v>0</v>
          </cell>
        </row>
        <row r="82">
          <cell r="C82">
            <v>0</v>
          </cell>
          <cell r="D82">
            <v>0</v>
          </cell>
        </row>
        <row r="85">
          <cell r="C85">
            <v>0</v>
          </cell>
          <cell r="D85">
            <v>0</v>
          </cell>
        </row>
        <row r="88">
          <cell r="C88">
            <v>0</v>
          </cell>
          <cell r="D88">
            <v>0</v>
          </cell>
        </row>
        <row r="89">
          <cell r="C89">
            <v>0</v>
          </cell>
          <cell r="D89">
            <v>0</v>
          </cell>
          <cell r="E89">
            <v>0</v>
          </cell>
          <cell r="F89">
            <v>0</v>
          </cell>
          <cell r="G89">
            <v>0</v>
          </cell>
          <cell r="H89">
            <v>0</v>
          </cell>
        </row>
        <row r="90">
          <cell r="E90">
            <v>0</v>
          </cell>
          <cell r="F90">
            <v>0</v>
          </cell>
          <cell r="G90">
            <v>0</v>
          </cell>
          <cell r="H90">
            <v>0</v>
          </cell>
        </row>
        <row r="91">
          <cell r="C91">
            <v>0</v>
          </cell>
          <cell r="D91">
            <v>0</v>
          </cell>
          <cell r="E91">
            <v>0</v>
          </cell>
          <cell r="F91">
            <v>0</v>
          </cell>
          <cell r="G91">
            <v>0</v>
          </cell>
          <cell r="H91">
            <v>0</v>
          </cell>
        </row>
        <row r="92">
          <cell r="C92">
            <v>0</v>
          </cell>
          <cell r="D92">
            <v>0</v>
          </cell>
        </row>
        <row r="93">
          <cell r="C93">
            <v>40.659289700999999</v>
          </cell>
          <cell r="D93">
            <v>0</v>
          </cell>
          <cell r="E93">
            <v>0</v>
          </cell>
          <cell r="F93">
            <v>0</v>
          </cell>
          <cell r="G93">
            <v>0</v>
          </cell>
          <cell r="H93">
            <v>0</v>
          </cell>
        </row>
        <row r="94">
          <cell r="C94">
            <v>686.58554138052307</v>
          </cell>
          <cell r="D94">
            <v>4.4420000000000002</v>
          </cell>
          <cell r="E94">
            <v>0</v>
          </cell>
          <cell r="F94">
            <v>0</v>
          </cell>
          <cell r="G94">
            <v>0</v>
          </cell>
          <cell r="H94">
            <v>17.238442399</v>
          </cell>
          <cell r="I94">
            <v>708.26598377952303</v>
          </cell>
        </row>
        <row r="96">
          <cell r="I96">
            <v>0</v>
          </cell>
        </row>
        <row r="97">
          <cell r="I97">
            <v>0</v>
          </cell>
        </row>
        <row r="98">
          <cell r="I98">
            <v>0</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s>
    <sheetDataSet>
      <sheetData sheetId="0">
        <row r="14">
          <cell r="C14">
            <v>0</v>
          </cell>
          <cell r="D14">
            <v>0</v>
          </cell>
          <cell r="E14">
            <v>0</v>
          </cell>
          <cell r="F14">
            <v>0</v>
          </cell>
          <cell r="G14">
            <v>0</v>
          </cell>
          <cell r="H14">
            <v>0</v>
          </cell>
        </row>
        <row r="18">
          <cell r="C18">
            <v>60.261399491999939</v>
          </cell>
          <cell r="D18">
            <v>137.46477574014941</v>
          </cell>
          <cell r="E18">
            <v>0.36</v>
          </cell>
          <cell r="F18">
            <v>100.67196824150777</v>
          </cell>
          <cell r="G18">
            <v>0</v>
          </cell>
          <cell r="H18">
            <v>0</v>
          </cell>
        </row>
        <row r="22">
          <cell r="E22">
            <v>8.3820946181800071</v>
          </cell>
          <cell r="F22">
            <v>0.72003356495999993</v>
          </cell>
          <cell r="G22">
            <v>0</v>
          </cell>
          <cell r="H22">
            <v>5.8999999999999997E-2</v>
          </cell>
        </row>
        <row r="23">
          <cell r="C23">
            <v>39.462828999999999</v>
          </cell>
          <cell r="D23">
            <v>34.699885417990004</v>
          </cell>
        </row>
        <row r="24">
          <cell r="C24">
            <v>0</v>
          </cell>
          <cell r="D24">
            <v>0</v>
          </cell>
        </row>
        <row r="25">
          <cell r="C25">
            <v>22.175924166000001</v>
          </cell>
          <cell r="D25">
            <v>2.69</v>
          </cell>
        </row>
        <row r="26">
          <cell r="C26">
            <v>0.16380071477000602</v>
          </cell>
          <cell r="D26">
            <v>0</v>
          </cell>
        </row>
        <row r="27">
          <cell r="C27">
            <v>16.991620721739999</v>
          </cell>
          <cell r="D27">
            <v>2.9301263579999999</v>
          </cell>
        </row>
        <row r="28">
          <cell r="C28">
            <v>19.71127335421</v>
          </cell>
          <cell r="D28">
            <v>5.6053181709999995</v>
          </cell>
        </row>
        <row r="29">
          <cell r="C29">
            <v>0</v>
          </cell>
          <cell r="D29">
            <v>0</v>
          </cell>
        </row>
        <row r="30">
          <cell r="C30">
            <v>0</v>
          </cell>
          <cell r="D30">
            <v>0</v>
          </cell>
          <cell r="E30">
            <v>0</v>
          </cell>
          <cell r="F30">
            <v>0</v>
          </cell>
          <cell r="G30">
            <v>0</v>
          </cell>
          <cell r="H30">
            <v>0</v>
          </cell>
        </row>
        <row r="31">
          <cell r="C31">
            <v>0</v>
          </cell>
          <cell r="D31">
            <v>0</v>
          </cell>
          <cell r="E31">
            <v>0</v>
          </cell>
          <cell r="F31">
            <v>0</v>
          </cell>
          <cell r="G31">
            <v>0</v>
          </cell>
          <cell r="H31">
            <v>0</v>
          </cell>
        </row>
        <row r="32">
          <cell r="E32">
            <v>0</v>
          </cell>
          <cell r="F32">
            <v>0</v>
          </cell>
          <cell r="G32">
            <v>0</v>
          </cell>
          <cell r="H32">
            <v>0</v>
          </cell>
        </row>
        <row r="33">
          <cell r="C33">
            <v>57.465294022490859</v>
          </cell>
          <cell r="D33">
            <v>0</v>
          </cell>
          <cell r="E33">
            <v>0</v>
          </cell>
          <cell r="F33">
            <v>0</v>
          </cell>
          <cell r="G33">
            <v>0</v>
          </cell>
          <cell r="H33">
            <v>0</v>
          </cell>
        </row>
        <row r="34">
          <cell r="C34">
            <v>96.35282637821571</v>
          </cell>
          <cell r="D34">
            <v>0</v>
          </cell>
          <cell r="E34">
            <v>0</v>
          </cell>
          <cell r="F34">
            <v>0</v>
          </cell>
          <cell r="G34">
            <v>0</v>
          </cell>
          <cell r="H34">
            <v>0</v>
          </cell>
        </row>
        <row r="36">
          <cell r="C36">
            <v>89.621704736781311</v>
          </cell>
          <cell r="D36">
            <v>0</v>
          </cell>
          <cell r="E36">
            <v>0</v>
          </cell>
          <cell r="F36">
            <v>0</v>
          </cell>
          <cell r="G36">
            <v>7.532</v>
          </cell>
          <cell r="H36">
            <v>0</v>
          </cell>
        </row>
        <row r="37">
          <cell r="C37">
            <v>2.4730000000000003</v>
          </cell>
          <cell r="D37">
            <v>6.0000000000000001E-3</v>
          </cell>
          <cell r="E37">
            <v>0</v>
          </cell>
          <cell r="F37">
            <v>0</v>
          </cell>
          <cell r="G37">
            <v>0</v>
          </cell>
          <cell r="H37">
            <v>0</v>
          </cell>
        </row>
        <row r="38">
          <cell r="C38">
            <v>404.6796725862078</v>
          </cell>
          <cell r="D38">
            <v>183.3961056871394</v>
          </cell>
          <cell r="E38">
            <v>8.7420946181800065</v>
          </cell>
          <cell r="F38">
            <v>101.39200180646777</v>
          </cell>
          <cell r="G38">
            <v>7.532</v>
          </cell>
          <cell r="H38">
            <v>5.8999999999999997E-2</v>
          </cell>
          <cell r="I38">
            <v>705.80087469799503</v>
          </cell>
        </row>
        <row r="40">
          <cell r="I40">
            <v>0</v>
          </cell>
        </row>
        <row r="41">
          <cell r="I41">
            <v>0</v>
          </cell>
        </row>
        <row r="42">
          <cell r="I42">
            <v>0</v>
          </cell>
        </row>
        <row r="64">
          <cell r="C64">
            <v>0</v>
          </cell>
          <cell r="D64">
            <v>0</v>
          </cell>
        </row>
        <row r="65">
          <cell r="C65">
            <v>0</v>
          </cell>
          <cell r="D65">
            <v>0</v>
          </cell>
          <cell r="E65">
            <v>0</v>
          </cell>
          <cell r="F65">
            <v>0</v>
          </cell>
          <cell r="G65">
            <v>0</v>
          </cell>
          <cell r="H65">
            <v>0</v>
          </cell>
        </row>
        <row r="68">
          <cell r="C68">
            <v>1.2</v>
          </cell>
          <cell r="D68">
            <v>0</v>
          </cell>
          <cell r="E68">
            <v>0</v>
          </cell>
          <cell r="F68">
            <v>0</v>
          </cell>
          <cell r="G68">
            <v>0</v>
          </cell>
          <cell r="H68">
            <v>0</v>
          </cell>
        </row>
        <row r="72">
          <cell r="E72">
            <v>0</v>
          </cell>
          <cell r="F72">
            <v>0</v>
          </cell>
          <cell r="G72">
            <v>0</v>
          </cell>
          <cell r="H72">
            <v>17.238442399</v>
          </cell>
        </row>
        <row r="73">
          <cell r="C73">
            <v>35.46</v>
          </cell>
          <cell r="D73">
            <v>0</v>
          </cell>
        </row>
        <row r="74">
          <cell r="C74">
            <v>0</v>
          </cell>
          <cell r="D74">
            <v>0</v>
          </cell>
        </row>
        <row r="75">
          <cell r="C75">
            <v>8.4</v>
          </cell>
          <cell r="D75">
            <v>0</v>
          </cell>
        </row>
        <row r="76">
          <cell r="C76">
            <v>9.1977528960000027E-2</v>
          </cell>
          <cell r="D76">
            <v>4.133</v>
          </cell>
        </row>
        <row r="77">
          <cell r="C77">
            <v>59.6</v>
          </cell>
          <cell r="D77">
            <v>0</v>
          </cell>
        </row>
        <row r="78">
          <cell r="C78">
            <v>552.01225503325827</v>
          </cell>
          <cell r="D78">
            <v>0</v>
          </cell>
        </row>
        <row r="79">
          <cell r="C79">
            <v>0</v>
          </cell>
          <cell r="D79">
            <v>0</v>
          </cell>
        </row>
        <row r="80">
          <cell r="E80">
            <v>0</v>
          </cell>
          <cell r="F80">
            <v>0</v>
          </cell>
          <cell r="G80">
            <v>0</v>
          </cell>
          <cell r="H80">
            <v>0</v>
          </cell>
        </row>
        <row r="82">
          <cell r="C82">
            <v>0</v>
          </cell>
          <cell r="D82">
            <v>0</v>
          </cell>
        </row>
        <row r="85">
          <cell r="C85">
            <v>0</v>
          </cell>
          <cell r="D85">
            <v>0</v>
          </cell>
        </row>
        <row r="88">
          <cell r="C88">
            <v>0</v>
          </cell>
          <cell r="D88">
            <v>0</v>
          </cell>
        </row>
        <row r="89">
          <cell r="C89">
            <v>0</v>
          </cell>
          <cell r="D89">
            <v>0</v>
          </cell>
          <cell r="E89">
            <v>0</v>
          </cell>
          <cell r="F89">
            <v>0</v>
          </cell>
          <cell r="G89">
            <v>0</v>
          </cell>
          <cell r="H89">
            <v>0</v>
          </cell>
        </row>
        <row r="90">
          <cell r="E90">
            <v>0</v>
          </cell>
          <cell r="F90">
            <v>0</v>
          </cell>
          <cell r="G90">
            <v>0</v>
          </cell>
          <cell r="H90">
            <v>0</v>
          </cell>
        </row>
        <row r="91">
          <cell r="C91">
            <v>0</v>
          </cell>
          <cell r="D91">
            <v>0</v>
          </cell>
          <cell r="E91">
            <v>0</v>
          </cell>
          <cell r="F91">
            <v>0</v>
          </cell>
          <cell r="G91">
            <v>0</v>
          </cell>
          <cell r="H91">
            <v>0</v>
          </cell>
        </row>
        <row r="92">
          <cell r="C92">
            <v>0</v>
          </cell>
          <cell r="D92">
            <v>0</v>
          </cell>
        </row>
        <row r="93">
          <cell r="C93">
            <v>33.923688595000002</v>
          </cell>
          <cell r="D93">
            <v>0</v>
          </cell>
          <cell r="E93">
            <v>0</v>
          </cell>
          <cell r="F93">
            <v>0</v>
          </cell>
          <cell r="G93">
            <v>0</v>
          </cell>
          <cell r="H93">
            <v>0</v>
          </cell>
        </row>
        <row r="94">
          <cell r="C94">
            <v>690.68792115721817</v>
          </cell>
          <cell r="D94">
            <v>4.133</v>
          </cell>
          <cell r="E94">
            <v>0</v>
          </cell>
          <cell r="F94">
            <v>0</v>
          </cell>
          <cell r="G94">
            <v>0</v>
          </cell>
          <cell r="H94">
            <v>17.238442399</v>
          </cell>
          <cell r="I94">
            <v>712.05936355621805</v>
          </cell>
        </row>
        <row r="96">
          <cell r="I96">
            <v>0</v>
          </cell>
        </row>
        <row r="97">
          <cell r="I97">
            <v>0</v>
          </cell>
        </row>
        <row r="98">
          <cell r="I98">
            <v>0</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s>
    <sheetDataSet>
      <sheetData sheetId="0">
        <row r="14">
          <cell r="C14">
            <v>0</v>
          </cell>
          <cell r="D14">
            <v>0</v>
          </cell>
          <cell r="E14">
            <v>0</v>
          </cell>
          <cell r="F14">
            <v>0</v>
          </cell>
          <cell r="G14">
            <v>0</v>
          </cell>
          <cell r="H14">
            <v>0</v>
          </cell>
        </row>
        <row r="18">
          <cell r="C18">
            <v>60.261399491999939</v>
          </cell>
          <cell r="D18">
            <v>130.67577574014942</v>
          </cell>
          <cell r="E18">
            <v>0.34799999999999998</v>
          </cell>
          <cell r="F18">
            <v>100.67196824150777</v>
          </cell>
          <cell r="G18">
            <v>0</v>
          </cell>
          <cell r="H18">
            <v>0</v>
          </cell>
        </row>
        <row r="22">
          <cell r="E22">
            <v>2.9338227180000395E-2</v>
          </cell>
          <cell r="F22">
            <v>0.62352563398999994</v>
          </cell>
          <cell r="G22">
            <v>4.9202079900000006</v>
          </cell>
          <cell r="H22">
            <v>6.7000000000000004E-2</v>
          </cell>
        </row>
        <row r="23">
          <cell r="C23">
            <v>39.462828999999999</v>
          </cell>
          <cell r="D23">
            <v>34.699889521990002</v>
          </cell>
        </row>
        <row r="24">
          <cell r="C24">
            <v>0</v>
          </cell>
          <cell r="D24">
            <v>0</v>
          </cell>
        </row>
        <row r="25">
          <cell r="C25">
            <v>33.698396582070259</v>
          </cell>
          <cell r="D25">
            <v>3.1607097505699704</v>
          </cell>
        </row>
        <row r="26">
          <cell r="C26">
            <v>0.11450075878999941</v>
          </cell>
          <cell r="D26">
            <v>0</v>
          </cell>
        </row>
        <row r="27">
          <cell r="C27">
            <v>20.037841113060008</v>
          </cell>
          <cell r="D27">
            <v>26.805889284189998</v>
          </cell>
        </row>
        <row r="28">
          <cell r="C28">
            <v>19.429925785689999</v>
          </cell>
          <cell r="D28">
            <v>5.8935655658799995</v>
          </cell>
        </row>
        <row r="29">
          <cell r="C29">
            <v>0</v>
          </cell>
          <cell r="D29">
            <v>0</v>
          </cell>
        </row>
        <row r="30">
          <cell r="C30">
            <v>0</v>
          </cell>
          <cell r="D30">
            <v>0</v>
          </cell>
          <cell r="E30">
            <v>0</v>
          </cell>
          <cell r="F30">
            <v>0</v>
          </cell>
          <cell r="G30">
            <v>0</v>
          </cell>
          <cell r="H30">
            <v>0</v>
          </cell>
        </row>
        <row r="31">
          <cell r="C31">
            <v>0</v>
          </cell>
          <cell r="D31">
            <v>0</v>
          </cell>
          <cell r="E31">
            <v>0</v>
          </cell>
          <cell r="F31">
            <v>0</v>
          </cell>
          <cell r="G31">
            <v>0</v>
          </cell>
          <cell r="H31">
            <v>0</v>
          </cell>
        </row>
        <row r="32">
          <cell r="E32">
            <v>0</v>
          </cell>
          <cell r="F32">
            <v>0</v>
          </cell>
          <cell r="G32">
            <v>0</v>
          </cell>
          <cell r="H32">
            <v>0</v>
          </cell>
        </row>
        <row r="33">
          <cell r="C33">
            <v>58.580077024540941</v>
          </cell>
          <cell r="D33">
            <v>0</v>
          </cell>
          <cell r="E33">
            <v>0</v>
          </cell>
          <cell r="F33">
            <v>0</v>
          </cell>
          <cell r="G33">
            <v>0</v>
          </cell>
          <cell r="H33">
            <v>0</v>
          </cell>
        </row>
        <row r="34">
          <cell r="C34">
            <v>96.35282637821571</v>
          </cell>
          <cell r="D34">
            <v>0</v>
          </cell>
          <cell r="E34">
            <v>0</v>
          </cell>
          <cell r="F34">
            <v>0</v>
          </cell>
          <cell r="G34">
            <v>0</v>
          </cell>
          <cell r="H34">
            <v>0</v>
          </cell>
        </row>
        <row r="36">
          <cell r="C36">
            <v>89.621704736781311</v>
          </cell>
          <cell r="D36">
            <v>0</v>
          </cell>
          <cell r="E36">
            <v>0</v>
          </cell>
          <cell r="F36">
            <v>0</v>
          </cell>
          <cell r="G36">
            <v>8.2970000000000006</v>
          </cell>
          <cell r="H36">
            <v>0</v>
          </cell>
        </row>
        <row r="37">
          <cell r="C37">
            <v>3.287746963</v>
          </cell>
          <cell r="D37">
            <v>3.0000000000000001E-3</v>
          </cell>
          <cell r="E37">
            <v>0</v>
          </cell>
          <cell r="F37">
            <v>0</v>
          </cell>
          <cell r="G37">
            <v>0</v>
          </cell>
          <cell r="H37">
            <v>0</v>
          </cell>
        </row>
        <row r="38">
          <cell r="C38">
            <v>420.84724783414816</v>
          </cell>
          <cell r="D38">
            <v>201.23882986277937</v>
          </cell>
          <cell r="E38">
            <v>0.37733822718000037</v>
          </cell>
          <cell r="F38">
            <v>101.29549387549777</v>
          </cell>
          <cell r="G38">
            <v>13.217207990000002</v>
          </cell>
          <cell r="H38">
            <v>6.7000000000000004E-2</v>
          </cell>
          <cell r="I38">
            <v>737.04311778960539</v>
          </cell>
        </row>
        <row r="40">
          <cell r="I40">
            <v>0</v>
          </cell>
        </row>
        <row r="41">
          <cell r="I41">
            <v>0</v>
          </cell>
        </row>
        <row r="42">
          <cell r="I42">
            <v>0</v>
          </cell>
        </row>
        <row r="64">
          <cell r="C64">
            <v>0</v>
          </cell>
          <cell r="D64">
            <v>0</v>
          </cell>
        </row>
        <row r="65">
          <cell r="C65">
            <v>0</v>
          </cell>
          <cell r="D65">
            <v>0</v>
          </cell>
          <cell r="E65">
            <v>0</v>
          </cell>
          <cell r="F65">
            <v>0</v>
          </cell>
          <cell r="G65">
            <v>0</v>
          </cell>
          <cell r="H65">
            <v>0</v>
          </cell>
        </row>
        <row r="68">
          <cell r="C68">
            <v>1.5</v>
          </cell>
          <cell r="D68">
            <v>0</v>
          </cell>
          <cell r="E68">
            <v>0</v>
          </cell>
          <cell r="F68">
            <v>0</v>
          </cell>
          <cell r="G68">
            <v>0</v>
          </cell>
          <cell r="H68">
            <v>0</v>
          </cell>
        </row>
        <row r="72">
          <cell r="E72">
            <v>0</v>
          </cell>
          <cell r="F72">
            <v>0</v>
          </cell>
          <cell r="G72">
            <v>0</v>
          </cell>
          <cell r="H72">
            <v>17.518451827999996</v>
          </cell>
        </row>
        <row r="73">
          <cell r="C73">
            <v>35.46</v>
          </cell>
          <cell r="D73">
            <v>28.274999999999999</v>
          </cell>
        </row>
        <row r="74">
          <cell r="C74">
            <v>0</v>
          </cell>
          <cell r="D74">
            <v>0</v>
          </cell>
        </row>
        <row r="75">
          <cell r="C75">
            <v>8.4</v>
          </cell>
          <cell r="D75">
            <v>0</v>
          </cell>
        </row>
        <row r="76">
          <cell r="C76">
            <v>9.0393265699999864E-2</v>
          </cell>
          <cell r="D76">
            <v>4.1520000000000001</v>
          </cell>
        </row>
        <row r="77">
          <cell r="C77">
            <v>53.133864227999993</v>
          </cell>
          <cell r="D77">
            <v>-3.1E-2</v>
          </cell>
        </row>
        <row r="78">
          <cell r="C78">
            <v>552.28037879140618</v>
          </cell>
          <cell r="D78">
            <v>0</v>
          </cell>
        </row>
        <row r="79">
          <cell r="C79">
            <v>0</v>
          </cell>
          <cell r="D79">
            <v>0</v>
          </cell>
        </row>
        <row r="80">
          <cell r="E80">
            <v>0</v>
          </cell>
          <cell r="F80">
            <v>0</v>
          </cell>
          <cell r="G80">
            <v>0</v>
          </cell>
          <cell r="H80">
            <v>0</v>
          </cell>
        </row>
        <row r="82">
          <cell r="C82">
            <v>0</v>
          </cell>
          <cell r="D82">
            <v>0</v>
          </cell>
        </row>
        <row r="85">
          <cell r="C85">
            <v>0</v>
          </cell>
          <cell r="D85">
            <v>0</v>
          </cell>
        </row>
        <row r="88">
          <cell r="C88">
            <v>0</v>
          </cell>
          <cell r="D88">
            <v>0</v>
          </cell>
        </row>
        <row r="89">
          <cell r="C89">
            <v>0</v>
          </cell>
          <cell r="D89">
            <v>0</v>
          </cell>
          <cell r="E89">
            <v>0</v>
          </cell>
          <cell r="F89">
            <v>0</v>
          </cell>
          <cell r="G89">
            <v>0</v>
          </cell>
          <cell r="H89">
            <v>0</v>
          </cell>
        </row>
        <row r="90">
          <cell r="E90">
            <v>0</v>
          </cell>
          <cell r="F90">
            <v>0</v>
          </cell>
          <cell r="G90">
            <v>0</v>
          </cell>
          <cell r="H90">
            <v>0</v>
          </cell>
        </row>
        <row r="91">
          <cell r="C91">
            <v>0</v>
          </cell>
          <cell r="D91">
            <v>0</v>
          </cell>
          <cell r="E91">
            <v>0</v>
          </cell>
          <cell r="F91">
            <v>0</v>
          </cell>
          <cell r="G91">
            <v>0</v>
          </cell>
          <cell r="H91">
            <v>0</v>
          </cell>
        </row>
        <row r="92">
          <cell r="C92">
            <v>0</v>
          </cell>
          <cell r="D92">
            <v>0</v>
          </cell>
        </row>
        <row r="93">
          <cell r="C93">
            <v>13.813248091999995</v>
          </cell>
          <cell r="D93">
            <v>2.8454934095134375E-4</v>
          </cell>
          <cell r="E93">
            <v>0</v>
          </cell>
          <cell r="F93">
            <v>-2.0058800000001042E-5</v>
          </cell>
          <cell r="G93">
            <v>0</v>
          </cell>
          <cell r="H93">
            <v>0</v>
          </cell>
        </row>
        <row r="94">
          <cell r="C94">
            <v>664.67788437710601</v>
          </cell>
          <cell r="D94">
            <v>32.396284549340947</v>
          </cell>
          <cell r="E94">
            <v>0</v>
          </cell>
          <cell r="F94">
            <v>-2.0058800000001042E-5</v>
          </cell>
          <cell r="G94">
            <v>0</v>
          </cell>
          <cell r="H94">
            <v>17.518451827999996</v>
          </cell>
          <cell r="I94">
            <v>714.59260069564698</v>
          </cell>
        </row>
        <row r="96">
          <cell r="I96">
            <v>0</v>
          </cell>
        </row>
        <row r="97">
          <cell r="I97">
            <v>0</v>
          </cell>
        </row>
        <row r="98">
          <cell r="I98">
            <v>0</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s>
    <sheetDataSet>
      <sheetData sheetId="0">
        <row r="14">
          <cell r="C14">
            <v>0</v>
          </cell>
          <cell r="D14">
            <v>0</v>
          </cell>
          <cell r="E14">
            <v>0</v>
          </cell>
          <cell r="F14">
            <v>0</v>
          </cell>
          <cell r="G14">
            <v>0</v>
          </cell>
          <cell r="H14">
            <v>0</v>
          </cell>
        </row>
        <row r="18">
          <cell r="C18">
            <v>111.09902716499998</v>
          </cell>
          <cell r="D18">
            <v>121.22074946249215</v>
          </cell>
          <cell r="E18">
            <v>0.14199999999999999</v>
          </cell>
          <cell r="F18">
            <v>110.61158720028406</v>
          </cell>
          <cell r="G18">
            <v>0</v>
          </cell>
          <cell r="H18">
            <v>0</v>
          </cell>
        </row>
        <row r="22">
          <cell r="E22">
            <v>2.4428610179994252E-2</v>
          </cell>
          <cell r="F22">
            <v>8.16016766105</v>
          </cell>
          <cell r="G22">
            <v>4.3939070559999998</v>
          </cell>
          <cell r="H22">
            <v>6.7000000000000004E-2</v>
          </cell>
        </row>
        <row r="23">
          <cell r="C23">
            <v>39.462828999999999</v>
          </cell>
          <cell r="D23">
            <v>34.699893478990006</v>
          </cell>
        </row>
        <row r="24">
          <cell r="C24">
            <v>0</v>
          </cell>
          <cell r="D24">
            <v>0</v>
          </cell>
        </row>
        <row r="25">
          <cell r="C25">
            <v>27.466368648859728</v>
          </cell>
          <cell r="D25">
            <v>35.900535248420198</v>
          </cell>
        </row>
        <row r="26">
          <cell r="C26">
            <v>0.21014134480000474</v>
          </cell>
          <cell r="D26">
            <v>0</v>
          </cell>
        </row>
        <row r="27">
          <cell r="C27">
            <v>22.591589264059998</v>
          </cell>
          <cell r="D27">
            <v>3.5289320251100005</v>
          </cell>
        </row>
        <row r="28">
          <cell r="C28">
            <v>18.889114447570002</v>
          </cell>
          <cell r="D28">
            <v>6.1462978775000003</v>
          </cell>
        </row>
        <row r="29">
          <cell r="C29">
            <v>0</v>
          </cell>
          <cell r="D29">
            <v>0</v>
          </cell>
        </row>
        <row r="30">
          <cell r="C30">
            <v>0</v>
          </cell>
          <cell r="D30">
            <v>0</v>
          </cell>
          <cell r="E30">
            <v>0</v>
          </cell>
          <cell r="F30">
            <v>0</v>
          </cell>
          <cell r="G30">
            <v>0</v>
          </cell>
          <cell r="H30">
            <v>0</v>
          </cell>
        </row>
        <row r="31">
          <cell r="C31">
            <v>0</v>
          </cell>
          <cell r="D31">
            <v>0</v>
          </cell>
          <cell r="E31">
            <v>0</v>
          </cell>
          <cell r="F31">
            <v>0</v>
          </cell>
          <cell r="G31">
            <v>0</v>
          </cell>
          <cell r="H31">
            <v>0</v>
          </cell>
        </row>
        <row r="32">
          <cell r="E32">
            <v>0</v>
          </cell>
          <cell r="F32">
            <v>0</v>
          </cell>
          <cell r="G32">
            <v>0</v>
          </cell>
          <cell r="H32">
            <v>0</v>
          </cell>
        </row>
        <row r="33">
          <cell r="C33">
            <v>50.815708153236685</v>
          </cell>
          <cell r="D33">
            <v>0</v>
          </cell>
          <cell r="E33">
            <v>0</v>
          </cell>
          <cell r="F33">
            <v>0</v>
          </cell>
          <cell r="G33">
            <v>0</v>
          </cell>
          <cell r="H33">
            <v>0</v>
          </cell>
        </row>
        <row r="34">
          <cell r="C34">
            <v>77.471317407635937</v>
          </cell>
          <cell r="D34">
            <v>0</v>
          </cell>
          <cell r="E34">
            <v>0</v>
          </cell>
          <cell r="F34">
            <v>0</v>
          </cell>
          <cell r="G34">
            <v>0</v>
          </cell>
          <cell r="H34">
            <v>0</v>
          </cell>
        </row>
        <row r="36">
          <cell r="C36">
            <v>67.888695058111779</v>
          </cell>
          <cell r="D36">
            <v>0</v>
          </cell>
          <cell r="E36">
            <v>0</v>
          </cell>
          <cell r="F36">
            <v>0</v>
          </cell>
          <cell r="G36">
            <v>8.5730000000000004</v>
          </cell>
          <cell r="H36">
            <v>0</v>
          </cell>
        </row>
        <row r="37">
          <cell r="C37">
            <v>2.8379999999999996</v>
          </cell>
          <cell r="D37">
            <v>0</v>
          </cell>
          <cell r="E37">
            <v>0</v>
          </cell>
          <cell r="F37">
            <v>0</v>
          </cell>
          <cell r="G37">
            <v>0</v>
          </cell>
          <cell r="H37">
            <v>0</v>
          </cell>
        </row>
        <row r="38">
          <cell r="C38">
            <v>418.73279048927407</v>
          </cell>
          <cell r="D38">
            <v>201.49640809251235</v>
          </cell>
          <cell r="E38">
            <v>0.16642861017999422</v>
          </cell>
          <cell r="F38">
            <v>118.77175486133406</v>
          </cell>
          <cell r="G38">
            <v>12.966907056</v>
          </cell>
          <cell r="H38">
            <v>6.7000000000000004E-2</v>
          </cell>
          <cell r="I38">
            <v>752.20128910930055</v>
          </cell>
        </row>
        <row r="40">
          <cell r="I40">
            <v>0</v>
          </cell>
        </row>
        <row r="41">
          <cell r="I41">
            <v>0</v>
          </cell>
        </row>
        <row r="42">
          <cell r="I42">
            <v>0</v>
          </cell>
        </row>
        <row r="64">
          <cell r="C64">
            <v>0</v>
          </cell>
          <cell r="D64">
            <v>0</v>
          </cell>
        </row>
        <row r="65">
          <cell r="C65">
            <v>0</v>
          </cell>
          <cell r="D65">
            <v>0</v>
          </cell>
          <cell r="E65">
            <v>0</v>
          </cell>
          <cell r="F65">
            <v>0</v>
          </cell>
          <cell r="G65">
            <v>0</v>
          </cell>
          <cell r="H65">
            <v>0</v>
          </cell>
        </row>
        <row r="68">
          <cell r="C68">
            <v>0</v>
          </cell>
          <cell r="D68">
            <v>0</v>
          </cell>
          <cell r="E68">
            <v>0</v>
          </cell>
          <cell r="F68">
            <v>0</v>
          </cell>
          <cell r="G68">
            <v>0</v>
          </cell>
          <cell r="H68">
            <v>0</v>
          </cell>
        </row>
        <row r="72">
          <cell r="E72">
            <v>10</v>
          </cell>
          <cell r="F72">
            <v>0</v>
          </cell>
          <cell r="G72">
            <v>0</v>
          </cell>
          <cell r="H72">
            <v>18.118486369999999</v>
          </cell>
        </row>
        <row r="73">
          <cell r="C73">
            <v>29.98</v>
          </cell>
          <cell r="D73">
            <v>28.274999999999999</v>
          </cell>
        </row>
        <row r="74">
          <cell r="C74">
            <v>0</v>
          </cell>
          <cell r="D74">
            <v>0</v>
          </cell>
        </row>
        <row r="75">
          <cell r="C75">
            <v>8.4</v>
          </cell>
          <cell r="D75">
            <v>0</v>
          </cell>
        </row>
        <row r="76">
          <cell r="C76">
            <v>7.7335359359999883E-2</v>
          </cell>
          <cell r="D76">
            <v>4.1719999999999997</v>
          </cell>
        </row>
        <row r="77">
          <cell r="C77">
            <v>52.667960610000002</v>
          </cell>
          <cell r="D77">
            <v>-2.8000000000000001E-2</v>
          </cell>
        </row>
        <row r="78">
          <cell r="C78">
            <v>561.91605612578394</v>
          </cell>
          <cell r="D78">
            <v>0</v>
          </cell>
        </row>
        <row r="79">
          <cell r="C79">
            <v>0</v>
          </cell>
          <cell r="D79">
            <v>0</v>
          </cell>
        </row>
        <row r="80">
          <cell r="E80">
            <v>0</v>
          </cell>
          <cell r="F80">
            <v>0</v>
          </cell>
          <cell r="G80">
            <v>0</v>
          </cell>
          <cell r="H80">
            <v>0</v>
          </cell>
        </row>
        <row r="82">
          <cell r="C82">
            <v>0</v>
          </cell>
          <cell r="D82">
            <v>0</v>
          </cell>
        </row>
        <row r="85">
          <cell r="C85">
            <v>0</v>
          </cell>
          <cell r="D85">
            <v>0</v>
          </cell>
        </row>
        <row r="88">
          <cell r="C88">
            <v>0</v>
          </cell>
          <cell r="D88">
            <v>0</v>
          </cell>
        </row>
        <row r="89">
          <cell r="C89">
            <v>0</v>
          </cell>
          <cell r="D89">
            <v>0</v>
          </cell>
          <cell r="E89">
            <v>0</v>
          </cell>
          <cell r="F89">
            <v>0</v>
          </cell>
          <cell r="G89">
            <v>0</v>
          </cell>
          <cell r="H89">
            <v>0</v>
          </cell>
        </row>
        <row r="90">
          <cell r="E90">
            <v>0</v>
          </cell>
          <cell r="F90">
            <v>0</v>
          </cell>
          <cell r="G90">
            <v>0</v>
          </cell>
          <cell r="H90">
            <v>0</v>
          </cell>
        </row>
        <row r="91">
          <cell r="C91">
            <v>0</v>
          </cell>
          <cell r="D91">
            <v>0</v>
          </cell>
          <cell r="E91">
            <v>0</v>
          </cell>
          <cell r="F91">
            <v>0</v>
          </cell>
          <cell r="G91">
            <v>0</v>
          </cell>
          <cell r="H91">
            <v>0</v>
          </cell>
        </row>
        <row r="92">
          <cell r="C92">
            <v>0</v>
          </cell>
          <cell r="D92">
            <v>0</v>
          </cell>
        </row>
        <row r="93">
          <cell r="C93">
            <v>9.2458327319999967</v>
          </cell>
          <cell r="D93">
            <v>-3.3411176331355819E-4</v>
          </cell>
          <cell r="E93">
            <v>0</v>
          </cell>
          <cell r="F93">
            <v>0</v>
          </cell>
          <cell r="G93">
            <v>0</v>
          </cell>
          <cell r="H93">
            <v>0</v>
          </cell>
        </row>
        <row r="94">
          <cell r="C94">
            <v>662.28718482714385</v>
          </cell>
          <cell r="D94">
            <v>32.418665888236688</v>
          </cell>
          <cell r="E94">
            <v>10</v>
          </cell>
          <cell r="F94">
            <v>0</v>
          </cell>
          <cell r="G94">
            <v>0</v>
          </cell>
          <cell r="H94">
            <v>18.118486369999999</v>
          </cell>
          <cell r="I94">
            <v>722.82433708538053</v>
          </cell>
        </row>
        <row r="96">
          <cell r="I96">
            <v>0</v>
          </cell>
        </row>
        <row r="97">
          <cell r="I97">
            <v>0</v>
          </cell>
        </row>
        <row r="98">
          <cell r="I98">
            <v>0</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1"/>
    </sheetNames>
    <sheetDataSet>
      <sheetData sheetId="0">
        <row r="14">
          <cell r="C14">
            <v>0</v>
          </cell>
          <cell r="D14">
            <v>0</v>
          </cell>
          <cell r="E14">
            <v>0</v>
          </cell>
          <cell r="F14">
            <v>0</v>
          </cell>
          <cell r="G14">
            <v>0</v>
          </cell>
          <cell r="H14">
            <v>0</v>
          </cell>
        </row>
        <row r="18">
          <cell r="C18">
            <v>105.69755483800002</v>
          </cell>
          <cell r="D18">
            <v>117.88249047776816</v>
          </cell>
          <cell r="E18">
            <v>0.88300000000000001</v>
          </cell>
          <cell r="F18">
            <v>118.79397131003616</v>
          </cell>
          <cell r="G18">
            <v>6.4814380079999998E-2</v>
          </cell>
          <cell r="H18">
            <v>0</v>
          </cell>
        </row>
        <row r="22">
          <cell r="E22">
            <v>3.6045307170007382E-2</v>
          </cell>
          <cell r="F22">
            <v>0.58443427308000007</v>
          </cell>
          <cell r="G22">
            <v>4.3939070559999998</v>
          </cell>
          <cell r="H22">
            <v>6.3E-2</v>
          </cell>
        </row>
        <row r="23">
          <cell r="C23">
            <v>41.641886</v>
          </cell>
          <cell r="D23">
            <v>34.699897070990005</v>
          </cell>
        </row>
        <row r="24">
          <cell r="C24">
            <v>0</v>
          </cell>
          <cell r="D24">
            <v>0</v>
          </cell>
        </row>
        <row r="25">
          <cell r="C25">
            <v>31.451131698649618</v>
          </cell>
          <cell r="D25">
            <v>34.136135138370079</v>
          </cell>
        </row>
        <row r="26">
          <cell r="C26">
            <v>0.40761476899999938</v>
          </cell>
          <cell r="D26">
            <v>0</v>
          </cell>
        </row>
        <row r="27">
          <cell r="C27">
            <v>18.432376354220001</v>
          </cell>
          <cell r="D27">
            <v>3.33094490011</v>
          </cell>
        </row>
        <row r="28">
          <cell r="C28">
            <v>19.152675444890001</v>
          </cell>
          <cell r="D28">
            <v>5.9865847374699976</v>
          </cell>
        </row>
        <row r="29">
          <cell r="C29">
            <v>0</v>
          </cell>
          <cell r="D29">
            <v>0</v>
          </cell>
        </row>
        <row r="30">
          <cell r="C30">
            <v>0</v>
          </cell>
          <cell r="D30">
            <v>0</v>
          </cell>
          <cell r="E30">
            <v>0</v>
          </cell>
          <cell r="F30">
            <v>0</v>
          </cell>
          <cell r="G30">
            <v>0</v>
          </cell>
          <cell r="H30">
            <v>0</v>
          </cell>
        </row>
        <row r="31">
          <cell r="C31">
            <v>0</v>
          </cell>
          <cell r="D31">
            <v>0</v>
          </cell>
          <cell r="E31">
            <v>0</v>
          </cell>
          <cell r="F31">
            <v>0</v>
          </cell>
          <cell r="G31">
            <v>0</v>
          </cell>
          <cell r="H31">
            <v>0</v>
          </cell>
        </row>
        <row r="32">
          <cell r="E32">
            <v>0</v>
          </cell>
          <cell r="F32">
            <v>0</v>
          </cell>
          <cell r="G32">
            <v>0</v>
          </cell>
          <cell r="H32">
            <v>0</v>
          </cell>
        </row>
        <row r="33">
          <cell r="C33">
            <v>51.181709678764001</v>
          </cell>
          <cell r="D33">
            <v>0</v>
          </cell>
          <cell r="E33">
            <v>0</v>
          </cell>
          <cell r="F33">
            <v>0</v>
          </cell>
          <cell r="G33">
            <v>0</v>
          </cell>
          <cell r="H33">
            <v>0</v>
          </cell>
        </row>
        <row r="34">
          <cell r="C34">
            <v>82.619647947795016</v>
          </cell>
          <cell r="D34">
            <v>0</v>
          </cell>
          <cell r="E34">
            <v>0</v>
          </cell>
          <cell r="F34">
            <v>0</v>
          </cell>
          <cell r="G34">
            <v>0</v>
          </cell>
          <cell r="H34">
            <v>0</v>
          </cell>
        </row>
        <row r="36">
          <cell r="C36">
            <v>73.428482113017154</v>
          </cell>
          <cell r="D36">
            <v>0</v>
          </cell>
          <cell r="E36">
            <v>0</v>
          </cell>
          <cell r="F36">
            <v>0</v>
          </cell>
          <cell r="G36">
            <v>9.1</v>
          </cell>
          <cell r="H36">
            <v>0</v>
          </cell>
        </row>
        <row r="37">
          <cell r="C37">
            <v>3.9780808350000001</v>
          </cell>
          <cell r="D37">
            <v>0</v>
          </cell>
          <cell r="E37">
            <v>0</v>
          </cell>
          <cell r="F37">
            <v>0</v>
          </cell>
          <cell r="G37">
            <v>0</v>
          </cell>
          <cell r="H37">
            <v>0</v>
          </cell>
        </row>
        <row r="38">
          <cell r="C38">
            <v>427.99115967933579</v>
          </cell>
          <cell r="D38">
            <v>196.03605232470824</v>
          </cell>
          <cell r="E38">
            <v>0.91904530717000743</v>
          </cell>
          <cell r="F38">
            <v>119.37840558311616</v>
          </cell>
          <cell r="G38">
            <v>13.558721436079999</v>
          </cell>
          <cell r="H38">
            <v>6.3E-2</v>
          </cell>
          <cell r="I38">
            <v>757.94638433041007</v>
          </cell>
        </row>
        <row r="40">
          <cell r="I40">
            <v>0</v>
          </cell>
        </row>
        <row r="41">
          <cell r="I41">
            <v>0</v>
          </cell>
        </row>
        <row r="42">
          <cell r="I42">
            <v>0</v>
          </cell>
        </row>
        <row r="64">
          <cell r="C64">
            <v>0</v>
          </cell>
          <cell r="D64">
            <v>0</v>
          </cell>
        </row>
        <row r="65">
          <cell r="C65">
            <v>0</v>
          </cell>
          <cell r="D65">
            <v>0</v>
          </cell>
          <cell r="E65">
            <v>0</v>
          </cell>
          <cell r="F65">
            <v>0</v>
          </cell>
          <cell r="G65">
            <v>0</v>
          </cell>
          <cell r="H65">
            <v>0</v>
          </cell>
        </row>
        <row r="68">
          <cell r="C68">
            <v>2</v>
          </cell>
          <cell r="D68">
            <v>0</v>
          </cell>
          <cell r="E68">
            <v>0</v>
          </cell>
          <cell r="F68">
            <v>0</v>
          </cell>
          <cell r="G68">
            <v>0</v>
          </cell>
          <cell r="H68">
            <v>0</v>
          </cell>
        </row>
        <row r="72">
          <cell r="E72">
            <v>10</v>
          </cell>
          <cell r="F72">
            <v>0</v>
          </cell>
          <cell r="G72">
            <v>0</v>
          </cell>
          <cell r="H72">
            <v>19.427678879999998</v>
          </cell>
        </row>
        <row r="73">
          <cell r="C73">
            <v>29.98</v>
          </cell>
          <cell r="D73">
            <v>28.274999999999999</v>
          </cell>
        </row>
        <row r="74">
          <cell r="C74">
            <v>0</v>
          </cell>
          <cell r="D74">
            <v>0</v>
          </cell>
        </row>
        <row r="75">
          <cell r="C75">
            <v>8.4</v>
          </cell>
          <cell r="D75">
            <v>0</v>
          </cell>
        </row>
        <row r="76">
          <cell r="C76">
            <v>6.523328593000001E-2</v>
          </cell>
          <cell r="D76">
            <v>4.1900000000000004</v>
          </cell>
        </row>
        <row r="77">
          <cell r="C77">
            <v>53.607987955000013</v>
          </cell>
          <cell r="D77">
            <v>-3.6999999999999998E-2</v>
          </cell>
        </row>
        <row r="78">
          <cell r="C78">
            <v>567.65337512865653</v>
          </cell>
          <cell r="D78">
            <v>0</v>
          </cell>
        </row>
        <row r="79">
          <cell r="C79">
            <v>0</v>
          </cell>
          <cell r="D79">
            <v>0</v>
          </cell>
        </row>
        <row r="80">
          <cell r="E80">
            <v>0</v>
          </cell>
          <cell r="F80">
            <v>0</v>
          </cell>
          <cell r="G80">
            <v>0</v>
          </cell>
          <cell r="H80">
            <v>0</v>
          </cell>
        </row>
        <row r="82">
          <cell r="C82">
            <v>0</v>
          </cell>
          <cell r="D82">
            <v>0</v>
          </cell>
        </row>
        <row r="85">
          <cell r="C85">
            <v>0</v>
          </cell>
          <cell r="D85">
            <v>0</v>
          </cell>
        </row>
        <row r="88">
          <cell r="C88">
            <v>0</v>
          </cell>
          <cell r="D88">
            <v>0</v>
          </cell>
        </row>
        <row r="89">
          <cell r="C89">
            <v>0</v>
          </cell>
          <cell r="D89">
            <v>0</v>
          </cell>
          <cell r="E89">
            <v>0</v>
          </cell>
          <cell r="F89">
            <v>0</v>
          </cell>
          <cell r="G89">
            <v>0</v>
          </cell>
          <cell r="H89">
            <v>0</v>
          </cell>
        </row>
        <row r="90">
          <cell r="E90">
            <v>0</v>
          </cell>
          <cell r="F90">
            <v>0</v>
          </cell>
          <cell r="G90">
            <v>0</v>
          </cell>
          <cell r="H90">
            <v>0</v>
          </cell>
        </row>
        <row r="91">
          <cell r="C91">
            <v>0</v>
          </cell>
          <cell r="D91">
            <v>0</v>
          </cell>
          <cell r="E91">
            <v>0</v>
          </cell>
          <cell r="F91">
            <v>0</v>
          </cell>
          <cell r="G91">
            <v>0</v>
          </cell>
          <cell r="H91">
            <v>0</v>
          </cell>
        </row>
        <row r="92">
          <cell r="C92">
            <v>0</v>
          </cell>
          <cell r="D92">
            <v>0</v>
          </cell>
        </row>
        <row r="93">
          <cell r="C93">
            <v>0.81328331599998338</v>
          </cell>
          <cell r="D93">
            <v>-8.6770835980132691E-5</v>
          </cell>
          <cell r="E93">
            <v>0</v>
          </cell>
          <cell r="F93">
            <v>-3.001040000000188E-5</v>
          </cell>
          <cell r="G93">
            <v>0</v>
          </cell>
          <cell r="H93">
            <v>0</v>
          </cell>
        </row>
        <row r="94">
          <cell r="C94">
            <v>662.51987968558637</v>
          </cell>
          <cell r="D94">
            <v>32.42791322916402</v>
          </cell>
          <cell r="E94">
            <v>10</v>
          </cell>
          <cell r="F94">
            <v>-3.001040000000188E-5</v>
          </cell>
          <cell r="G94">
            <v>0</v>
          </cell>
          <cell r="H94">
            <v>19.427678879999998</v>
          </cell>
          <cell r="I94">
            <v>724.37544178435041</v>
          </cell>
        </row>
        <row r="96">
          <cell r="I96">
            <v>0</v>
          </cell>
        </row>
        <row r="97">
          <cell r="I97">
            <v>0</v>
          </cell>
        </row>
        <row r="98">
          <cell r="I98">
            <v>0</v>
          </cell>
        </row>
      </sheetData>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s>
    <sheetDataSet>
      <sheetData sheetId="0">
        <row r="14">
          <cell r="C14">
            <v>0</v>
          </cell>
          <cell r="D14">
            <v>0</v>
          </cell>
          <cell r="E14">
            <v>0</v>
          </cell>
          <cell r="F14">
            <v>0</v>
          </cell>
          <cell r="G14">
            <v>0</v>
          </cell>
          <cell r="H14">
            <v>0</v>
          </cell>
        </row>
        <row r="18">
          <cell r="C18">
            <v>125.61848664299998</v>
          </cell>
          <cell r="D18">
            <v>113.28339979653143</v>
          </cell>
          <cell r="E18">
            <v>0.80838432800000004</v>
          </cell>
          <cell r="F18">
            <v>118.50375228756121</v>
          </cell>
          <cell r="G18">
            <v>1.9787880130000001E-2</v>
          </cell>
          <cell r="H18">
            <v>0</v>
          </cell>
        </row>
        <row r="22">
          <cell r="E22">
            <v>4.4070978291700049</v>
          </cell>
          <cell r="F22">
            <v>0.68719777508999991</v>
          </cell>
          <cell r="G22">
            <v>0</v>
          </cell>
          <cell r="H22">
            <v>6.3E-2</v>
          </cell>
        </row>
        <row r="23">
          <cell r="C23">
            <v>34.641886</v>
          </cell>
          <cell r="D23">
            <v>34.699900350990006</v>
          </cell>
        </row>
        <row r="24">
          <cell r="C24">
            <v>0</v>
          </cell>
          <cell r="D24">
            <v>0</v>
          </cell>
        </row>
        <row r="25">
          <cell r="C25">
            <v>23.257083777999981</v>
          </cell>
          <cell r="D25">
            <v>36.226311603399978</v>
          </cell>
        </row>
        <row r="26">
          <cell r="C26">
            <v>0.37241530799999645</v>
          </cell>
          <cell r="D26">
            <v>0</v>
          </cell>
        </row>
        <row r="27">
          <cell r="C27">
            <v>16.458382391989996</v>
          </cell>
          <cell r="D27">
            <v>2.6156725381000006</v>
          </cell>
        </row>
        <row r="28">
          <cell r="C28">
            <v>19.906550011789999</v>
          </cell>
          <cell r="D28">
            <v>6.0357445720299996</v>
          </cell>
        </row>
        <row r="29">
          <cell r="C29">
            <v>0</v>
          </cell>
          <cell r="D29">
            <v>0</v>
          </cell>
        </row>
        <row r="30">
          <cell r="C30">
            <v>0</v>
          </cell>
          <cell r="D30">
            <v>0</v>
          </cell>
          <cell r="E30">
            <v>0</v>
          </cell>
          <cell r="F30">
            <v>0</v>
          </cell>
          <cell r="G30">
            <v>0</v>
          </cell>
          <cell r="H30">
            <v>0</v>
          </cell>
        </row>
        <row r="31">
          <cell r="C31">
            <v>0</v>
          </cell>
          <cell r="D31">
            <v>0</v>
          </cell>
          <cell r="E31">
            <v>0</v>
          </cell>
          <cell r="F31">
            <v>0</v>
          </cell>
          <cell r="G31">
            <v>0</v>
          </cell>
          <cell r="H31">
            <v>0</v>
          </cell>
        </row>
        <row r="32">
          <cell r="E32">
            <v>0</v>
          </cell>
          <cell r="F32">
            <v>0</v>
          </cell>
          <cell r="G32">
            <v>0</v>
          </cell>
          <cell r="H32">
            <v>0</v>
          </cell>
        </row>
        <row r="33">
          <cell r="C33">
            <v>52.477457053176373</v>
          </cell>
          <cell r="D33">
            <v>0</v>
          </cell>
          <cell r="E33">
            <v>0</v>
          </cell>
          <cell r="F33">
            <v>0</v>
          </cell>
          <cell r="G33">
            <v>0</v>
          </cell>
          <cell r="H33">
            <v>0</v>
          </cell>
        </row>
        <row r="34">
          <cell r="C34">
            <v>73.710033610209067</v>
          </cell>
          <cell r="D34">
            <v>0</v>
          </cell>
          <cell r="E34">
            <v>0</v>
          </cell>
          <cell r="F34">
            <v>0</v>
          </cell>
          <cell r="G34">
            <v>0</v>
          </cell>
          <cell r="H34">
            <v>0</v>
          </cell>
        </row>
        <row r="36">
          <cell r="C36">
            <v>66.315108600332366</v>
          </cell>
          <cell r="D36">
            <v>0</v>
          </cell>
          <cell r="E36">
            <v>0</v>
          </cell>
          <cell r="F36">
            <v>0</v>
          </cell>
          <cell r="G36">
            <v>9.3719999999999999</v>
          </cell>
          <cell r="H36">
            <v>0</v>
          </cell>
        </row>
        <row r="37">
          <cell r="C37">
            <v>29.089928977</v>
          </cell>
          <cell r="D37">
            <v>5.0000000000000001E-3</v>
          </cell>
          <cell r="E37">
            <v>0</v>
          </cell>
          <cell r="F37">
            <v>0</v>
          </cell>
          <cell r="G37">
            <v>0</v>
          </cell>
          <cell r="H37">
            <v>0</v>
          </cell>
        </row>
        <row r="38">
          <cell r="C38">
            <v>441.84733237349775</v>
          </cell>
          <cell r="D38">
            <v>192.8660288610514</v>
          </cell>
          <cell r="E38">
            <v>5.2154821571700056</v>
          </cell>
          <cell r="F38">
            <v>119.19095006265121</v>
          </cell>
          <cell r="G38">
            <v>9.3917878801299999</v>
          </cell>
          <cell r="H38">
            <v>6.3E-2</v>
          </cell>
          <cell r="I38">
            <v>768.57458133450041</v>
          </cell>
        </row>
        <row r="40">
          <cell r="I40">
            <v>0</v>
          </cell>
        </row>
        <row r="41">
          <cell r="I41">
            <v>0</v>
          </cell>
        </row>
        <row r="42">
          <cell r="I42">
            <v>0</v>
          </cell>
        </row>
        <row r="64">
          <cell r="C64">
            <v>0</v>
          </cell>
          <cell r="D64">
            <v>0</v>
          </cell>
        </row>
        <row r="65">
          <cell r="C65">
            <v>0</v>
          </cell>
          <cell r="D65">
            <v>0</v>
          </cell>
          <cell r="E65">
            <v>0</v>
          </cell>
          <cell r="F65">
            <v>0</v>
          </cell>
          <cell r="G65">
            <v>0</v>
          </cell>
          <cell r="H65">
            <v>0</v>
          </cell>
        </row>
        <row r="68">
          <cell r="C68">
            <v>0</v>
          </cell>
          <cell r="D68">
            <v>1.89</v>
          </cell>
          <cell r="E68">
            <v>0</v>
          </cell>
          <cell r="F68">
            <v>0</v>
          </cell>
          <cell r="G68">
            <v>0</v>
          </cell>
          <cell r="H68">
            <v>0</v>
          </cell>
        </row>
        <row r="72">
          <cell r="E72">
            <v>10</v>
          </cell>
          <cell r="F72">
            <v>11.31</v>
          </cell>
          <cell r="G72">
            <v>0</v>
          </cell>
          <cell r="H72">
            <v>19.293509176000001</v>
          </cell>
        </row>
        <row r="73">
          <cell r="C73">
            <v>29.98</v>
          </cell>
          <cell r="D73">
            <v>28.274999999999999</v>
          </cell>
        </row>
        <row r="74">
          <cell r="C74">
            <v>0</v>
          </cell>
          <cell r="D74">
            <v>0</v>
          </cell>
        </row>
        <row r="75">
          <cell r="C75">
            <v>8.4</v>
          </cell>
          <cell r="D75">
            <v>0</v>
          </cell>
        </row>
        <row r="76">
          <cell r="C76">
            <v>7.4835148599999957E-2</v>
          </cell>
          <cell r="D76">
            <v>4.2069999999999999</v>
          </cell>
        </row>
        <row r="77">
          <cell r="C77">
            <v>54.856681030000004</v>
          </cell>
          <cell r="D77">
            <v>-3.6999999999999998E-2</v>
          </cell>
        </row>
        <row r="78">
          <cell r="C78">
            <v>572.06931080623701</v>
          </cell>
          <cell r="D78">
            <v>0</v>
          </cell>
        </row>
        <row r="79">
          <cell r="C79">
            <v>0</v>
          </cell>
          <cell r="D79">
            <v>0</v>
          </cell>
        </row>
        <row r="80">
          <cell r="E80">
            <v>0</v>
          </cell>
          <cell r="F80">
            <v>0</v>
          </cell>
          <cell r="G80">
            <v>0</v>
          </cell>
          <cell r="H80">
            <v>0</v>
          </cell>
        </row>
        <row r="82">
          <cell r="C82">
            <v>0</v>
          </cell>
          <cell r="D82">
            <v>0</v>
          </cell>
        </row>
        <row r="85">
          <cell r="C85">
            <v>0</v>
          </cell>
          <cell r="D85">
            <v>0</v>
          </cell>
        </row>
        <row r="88">
          <cell r="C88">
            <v>0</v>
          </cell>
          <cell r="D88">
            <v>0</v>
          </cell>
        </row>
        <row r="89">
          <cell r="C89">
            <v>0</v>
          </cell>
          <cell r="D89">
            <v>0</v>
          </cell>
          <cell r="E89">
            <v>0</v>
          </cell>
          <cell r="F89">
            <v>0</v>
          </cell>
          <cell r="G89">
            <v>0</v>
          </cell>
          <cell r="H89">
            <v>0</v>
          </cell>
        </row>
        <row r="90">
          <cell r="E90">
            <v>0</v>
          </cell>
          <cell r="F90">
            <v>0</v>
          </cell>
          <cell r="G90">
            <v>0</v>
          </cell>
          <cell r="H90">
            <v>0</v>
          </cell>
        </row>
        <row r="91">
          <cell r="C91">
            <v>0</v>
          </cell>
          <cell r="D91">
            <v>0</v>
          </cell>
          <cell r="E91">
            <v>0</v>
          </cell>
          <cell r="F91">
            <v>0</v>
          </cell>
          <cell r="G91">
            <v>0</v>
          </cell>
          <cell r="H91">
            <v>0</v>
          </cell>
        </row>
        <row r="92">
          <cell r="C92">
            <v>0</v>
          </cell>
          <cell r="D92">
            <v>0</v>
          </cell>
        </row>
        <row r="93">
          <cell r="C93">
            <v>1.5997161749999775</v>
          </cell>
          <cell r="D93">
            <v>-2.7743242360520526E-4</v>
          </cell>
          <cell r="E93">
            <v>0</v>
          </cell>
          <cell r="F93">
            <v>-3.001040000000188E-5</v>
          </cell>
          <cell r="G93">
            <v>0</v>
          </cell>
          <cell r="H93">
            <v>0</v>
          </cell>
        </row>
        <row r="94">
          <cell r="C94">
            <v>666.980543159837</v>
          </cell>
          <cell r="D94">
            <v>34.334722567576392</v>
          </cell>
          <cell r="E94">
            <v>10</v>
          </cell>
          <cell r="F94">
            <v>11.309969989600001</v>
          </cell>
          <cell r="G94">
            <v>0</v>
          </cell>
          <cell r="H94">
            <v>19.293509176000001</v>
          </cell>
          <cell r="I94">
            <v>741.91874489301347</v>
          </cell>
        </row>
        <row r="96">
          <cell r="I96">
            <v>0</v>
          </cell>
        </row>
        <row r="97">
          <cell r="I97">
            <v>0</v>
          </cell>
        </row>
        <row r="98">
          <cell r="I98">
            <v>0</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s>
    <sheetDataSet>
      <sheetData sheetId="0">
        <row r="14">
          <cell r="C14">
            <v>0</v>
          </cell>
          <cell r="D14">
            <v>0</v>
          </cell>
          <cell r="E14">
            <v>0</v>
          </cell>
          <cell r="F14">
            <v>0</v>
          </cell>
          <cell r="G14">
            <v>0</v>
          </cell>
          <cell r="H14">
            <v>0</v>
          </cell>
        </row>
        <row r="18">
          <cell r="C18">
            <v>136.26006051199997</v>
          </cell>
          <cell r="D18">
            <v>108.11626097779877</v>
          </cell>
          <cell r="E18">
            <v>0.83838432799999996</v>
          </cell>
          <cell r="F18">
            <v>119.04662174616274</v>
          </cell>
          <cell r="G18">
            <v>8.0490601799999995E-3</v>
          </cell>
          <cell r="H18">
            <v>0</v>
          </cell>
        </row>
        <row r="22">
          <cell r="E22">
            <v>4.4066925671599968</v>
          </cell>
          <cell r="F22">
            <v>0.55995840514000006</v>
          </cell>
          <cell r="G22">
            <v>0</v>
          </cell>
          <cell r="H22">
            <v>6.4000000000000001E-2</v>
          </cell>
        </row>
        <row r="23">
          <cell r="C23">
            <v>34.840636000000003</v>
          </cell>
          <cell r="D23">
            <v>35.51982783898</v>
          </cell>
        </row>
        <row r="24">
          <cell r="C24">
            <v>0</v>
          </cell>
          <cell r="D24">
            <v>0</v>
          </cell>
        </row>
        <row r="25">
          <cell r="C25">
            <v>21.34447395881039</v>
          </cell>
          <cell r="D25">
            <v>14.544046181150192</v>
          </cell>
        </row>
        <row r="26">
          <cell r="C26">
            <v>0.22628454202000239</v>
          </cell>
          <cell r="D26">
            <v>0</v>
          </cell>
        </row>
        <row r="27">
          <cell r="C27">
            <v>16.136992410329995</v>
          </cell>
          <cell r="D27">
            <v>7.1868437559300036</v>
          </cell>
        </row>
        <row r="28">
          <cell r="C28">
            <v>19.838943213749999</v>
          </cell>
          <cell r="D28">
            <v>7.0888898326799996</v>
          </cell>
        </row>
        <row r="29">
          <cell r="C29">
            <v>0</v>
          </cell>
          <cell r="D29">
            <v>0</v>
          </cell>
        </row>
        <row r="30">
          <cell r="C30">
            <v>0</v>
          </cell>
          <cell r="D30">
            <v>0</v>
          </cell>
          <cell r="E30">
            <v>0</v>
          </cell>
          <cell r="F30">
            <v>0</v>
          </cell>
          <cell r="G30">
            <v>0</v>
          </cell>
          <cell r="H30">
            <v>0</v>
          </cell>
        </row>
        <row r="31">
          <cell r="C31">
            <v>0</v>
          </cell>
          <cell r="D31">
            <v>0</v>
          </cell>
          <cell r="E31">
            <v>0</v>
          </cell>
          <cell r="F31">
            <v>0</v>
          </cell>
          <cell r="G31">
            <v>0</v>
          </cell>
          <cell r="H31">
            <v>0</v>
          </cell>
        </row>
        <row r="32">
          <cell r="E32">
            <v>0</v>
          </cell>
          <cell r="F32">
            <v>0</v>
          </cell>
          <cell r="G32">
            <v>0</v>
          </cell>
          <cell r="H32">
            <v>0</v>
          </cell>
        </row>
        <row r="33">
          <cell r="C33">
            <v>47.660748449264666</v>
          </cell>
          <cell r="D33">
            <v>0</v>
          </cell>
          <cell r="E33">
            <v>0</v>
          </cell>
          <cell r="F33">
            <v>0</v>
          </cell>
          <cell r="G33">
            <v>0</v>
          </cell>
          <cell r="H33">
            <v>0</v>
          </cell>
        </row>
        <row r="34">
          <cell r="C34">
            <v>66.892190323344508</v>
          </cell>
          <cell r="D34">
            <v>0</v>
          </cell>
          <cell r="E34">
            <v>0</v>
          </cell>
          <cell r="F34">
            <v>0</v>
          </cell>
          <cell r="G34">
            <v>0</v>
          </cell>
          <cell r="H34">
            <v>0</v>
          </cell>
        </row>
        <row r="36">
          <cell r="C36">
            <v>60.929068057724258</v>
          </cell>
          <cell r="D36">
            <v>0</v>
          </cell>
          <cell r="E36">
            <v>0</v>
          </cell>
          <cell r="F36">
            <v>0</v>
          </cell>
          <cell r="G36">
            <v>9.8569999999999993</v>
          </cell>
          <cell r="H36">
            <v>0</v>
          </cell>
        </row>
        <row r="37">
          <cell r="C37">
            <v>1.080739463</v>
          </cell>
          <cell r="D37">
            <v>5.0000000000000001E-3</v>
          </cell>
          <cell r="E37">
            <v>0</v>
          </cell>
          <cell r="F37">
            <v>0</v>
          </cell>
          <cell r="G37">
            <v>0</v>
          </cell>
          <cell r="H37">
            <v>0</v>
          </cell>
        </row>
        <row r="38">
          <cell r="C38">
            <v>405.21013693024378</v>
          </cell>
          <cell r="D38">
            <v>172.46086858653896</v>
          </cell>
          <cell r="E38">
            <v>5.2450768951599969</v>
          </cell>
          <cell r="F38">
            <v>119.60658015130275</v>
          </cell>
          <cell r="G38">
            <v>9.8650490601799987</v>
          </cell>
          <cell r="H38">
            <v>6.4000000000000001E-2</v>
          </cell>
          <cell r="I38">
            <v>712.45171162342547</v>
          </cell>
        </row>
        <row r="40">
          <cell r="I40">
            <v>0</v>
          </cell>
        </row>
        <row r="41">
          <cell r="I41">
            <v>0</v>
          </cell>
        </row>
        <row r="42">
          <cell r="I42">
            <v>0</v>
          </cell>
        </row>
        <row r="64">
          <cell r="C64">
            <v>0</v>
          </cell>
          <cell r="D64">
            <v>0</v>
          </cell>
        </row>
        <row r="65">
          <cell r="C65">
            <v>0</v>
          </cell>
          <cell r="D65">
            <v>0</v>
          </cell>
          <cell r="E65">
            <v>0</v>
          </cell>
          <cell r="F65">
            <v>0</v>
          </cell>
          <cell r="G65">
            <v>0</v>
          </cell>
          <cell r="H65">
            <v>0</v>
          </cell>
        </row>
        <row r="68">
          <cell r="C68">
            <v>2</v>
          </cell>
          <cell r="D68">
            <v>0</v>
          </cell>
          <cell r="E68">
            <v>0</v>
          </cell>
          <cell r="F68">
            <v>0</v>
          </cell>
          <cell r="G68">
            <v>0</v>
          </cell>
          <cell r="H68">
            <v>0</v>
          </cell>
        </row>
        <row r="72">
          <cell r="E72">
            <v>9.7058</v>
          </cell>
          <cell r="F72">
            <v>11.31</v>
          </cell>
          <cell r="G72">
            <v>0</v>
          </cell>
          <cell r="H72">
            <v>13.159826658999998</v>
          </cell>
        </row>
        <row r="73">
          <cell r="C73">
            <v>30.41</v>
          </cell>
          <cell r="D73">
            <v>0</v>
          </cell>
        </row>
        <row r="74">
          <cell r="C74">
            <v>0</v>
          </cell>
          <cell r="D74">
            <v>0</v>
          </cell>
        </row>
        <row r="75">
          <cell r="C75">
            <v>8.4</v>
          </cell>
          <cell r="D75">
            <v>0</v>
          </cell>
        </row>
        <row r="76">
          <cell r="C76">
            <v>6.0220261249999983E-2</v>
          </cell>
          <cell r="D76">
            <v>4.282</v>
          </cell>
        </row>
        <row r="77">
          <cell r="C77">
            <v>52.85622188</v>
          </cell>
          <cell r="D77">
            <v>-1.9E-2</v>
          </cell>
        </row>
        <row r="78">
          <cell r="C78">
            <v>571.45131583490934</v>
          </cell>
          <cell r="D78">
            <v>0</v>
          </cell>
        </row>
        <row r="79">
          <cell r="C79">
            <v>0</v>
          </cell>
          <cell r="D79">
            <v>0</v>
          </cell>
        </row>
        <row r="80">
          <cell r="E80">
            <v>0</v>
          </cell>
          <cell r="F80">
            <v>0</v>
          </cell>
          <cell r="G80">
            <v>0</v>
          </cell>
          <cell r="H80">
            <v>0</v>
          </cell>
        </row>
        <row r="82">
          <cell r="C82">
            <v>0</v>
          </cell>
          <cell r="D82">
            <v>0</v>
          </cell>
        </row>
        <row r="85">
          <cell r="C85">
            <v>0</v>
          </cell>
          <cell r="D85">
            <v>0</v>
          </cell>
        </row>
        <row r="88">
          <cell r="C88">
            <v>0</v>
          </cell>
          <cell r="D88">
            <v>0</v>
          </cell>
        </row>
        <row r="89">
          <cell r="C89">
            <v>0</v>
          </cell>
          <cell r="D89">
            <v>0</v>
          </cell>
          <cell r="E89">
            <v>0</v>
          </cell>
          <cell r="F89">
            <v>0</v>
          </cell>
          <cell r="G89">
            <v>0</v>
          </cell>
          <cell r="H89">
            <v>0</v>
          </cell>
        </row>
        <row r="90">
          <cell r="E90">
            <v>0</v>
          </cell>
          <cell r="F90">
            <v>0</v>
          </cell>
          <cell r="G90">
            <v>0</v>
          </cell>
          <cell r="H90">
            <v>0</v>
          </cell>
        </row>
        <row r="91">
          <cell r="C91">
            <v>0</v>
          </cell>
          <cell r="D91">
            <v>0</v>
          </cell>
          <cell r="E91">
            <v>0</v>
          </cell>
          <cell r="F91">
            <v>0</v>
          </cell>
          <cell r="G91">
            <v>0</v>
          </cell>
          <cell r="H91">
            <v>0</v>
          </cell>
        </row>
        <row r="92">
          <cell r="C92">
            <v>0</v>
          </cell>
          <cell r="D92">
            <v>0</v>
          </cell>
        </row>
        <row r="93">
          <cell r="C93">
            <v>9.1391525490000074</v>
          </cell>
          <cell r="D93">
            <v>-3.7610173533175837E-4</v>
          </cell>
          <cell r="E93">
            <v>0</v>
          </cell>
          <cell r="F93">
            <v>3.1318399999999966E-4</v>
          </cell>
          <cell r="G93">
            <v>0</v>
          </cell>
          <cell r="H93">
            <v>0</v>
          </cell>
        </row>
        <row r="94">
          <cell r="C94">
            <v>674.31691052515919</v>
          </cell>
          <cell r="D94">
            <v>4.2626238982646685</v>
          </cell>
          <cell r="E94">
            <v>9.7058</v>
          </cell>
          <cell r="F94">
            <v>11.310313184</v>
          </cell>
          <cell r="G94">
            <v>0</v>
          </cell>
          <cell r="H94">
            <v>13.159826658999998</v>
          </cell>
          <cell r="I94">
            <v>712.7554742664239</v>
          </cell>
        </row>
        <row r="96">
          <cell r="I96">
            <v>0</v>
          </cell>
        </row>
        <row r="97">
          <cell r="I97">
            <v>0</v>
          </cell>
        </row>
        <row r="98">
          <cell r="I98">
            <v>0</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s>
    <sheetDataSet>
      <sheetData sheetId="0">
        <row r="14">
          <cell r="C14">
            <v>0</v>
          </cell>
          <cell r="D14">
            <v>0</v>
          </cell>
          <cell r="E14">
            <v>0</v>
          </cell>
          <cell r="F14">
            <v>0</v>
          </cell>
          <cell r="G14">
            <v>0</v>
          </cell>
          <cell r="H14">
            <v>0</v>
          </cell>
        </row>
        <row r="18">
          <cell r="C18">
            <v>136.73718290219006</v>
          </cell>
          <cell r="D18">
            <v>112.52315926003726</v>
          </cell>
          <cell r="E18">
            <v>0.82296629799999999</v>
          </cell>
          <cell r="F18">
            <v>110.1739525244414</v>
          </cell>
          <cell r="G18">
            <v>8.1305550259999998E-2</v>
          </cell>
          <cell r="H18">
            <v>8.5518826940703203</v>
          </cell>
        </row>
        <row r="22">
          <cell r="E22">
            <v>4.4065366681399958</v>
          </cell>
          <cell r="F22">
            <v>0.54794002429999999</v>
          </cell>
          <cell r="G22">
            <v>0</v>
          </cell>
          <cell r="H22">
            <v>6.2E-2</v>
          </cell>
        </row>
        <row r="23">
          <cell r="C23">
            <v>34.861679780000003</v>
          </cell>
          <cell r="D23">
            <v>35.519815937979999</v>
          </cell>
        </row>
        <row r="24">
          <cell r="C24">
            <v>0</v>
          </cell>
          <cell r="D24">
            <v>0</v>
          </cell>
        </row>
        <row r="25">
          <cell r="C25">
            <v>18.127518475869781</v>
          </cell>
          <cell r="D25">
            <v>18.165127019970171</v>
          </cell>
        </row>
        <row r="26">
          <cell r="C26">
            <v>0.28923837400000352</v>
          </cell>
          <cell r="D26">
            <v>0</v>
          </cell>
        </row>
        <row r="27">
          <cell r="C27">
            <v>20.490700523699996</v>
          </cell>
          <cell r="D27">
            <v>7.0015086491299989</v>
          </cell>
        </row>
        <row r="28">
          <cell r="C28">
            <v>21.069300260169996</v>
          </cell>
          <cell r="D28">
            <v>7.1522030465277622</v>
          </cell>
        </row>
        <row r="29">
          <cell r="C29">
            <v>0</v>
          </cell>
          <cell r="D29">
            <v>0</v>
          </cell>
        </row>
        <row r="30">
          <cell r="C30">
            <v>0</v>
          </cell>
          <cell r="D30">
            <v>0</v>
          </cell>
          <cell r="E30">
            <v>0</v>
          </cell>
          <cell r="F30">
            <v>0</v>
          </cell>
          <cell r="G30">
            <v>0</v>
          </cell>
          <cell r="H30">
            <v>0</v>
          </cell>
        </row>
        <row r="31">
          <cell r="C31">
            <v>0</v>
          </cell>
          <cell r="D31">
            <v>0</v>
          </cell>
          <cell r="E31">
            <v>0</v>
          </cell>
          <cell r="F31">
            <v>0</v>
          </cell>
          <cell r="G31">
            <v>0</v>
          </cell>
          <cell r="H31">
            <v>0</v>
          </cell>
        </row>
        <row r="32">
          <cell r="E32">
            <v>0</v>
          </cell>
          <cell r="F32">
            <v>0</v>
          </cell>
          <cell r="G32">
            <v>0</v>
          </cell>
          <cell r="H32">
            <v>0</v>
          </cell>
        </row>
        <row r="33">
          <cell r="C33">
            <v>43.983508449008674</v>
          </cell>
          <cell r="D33">
            <v>0</v>
          </cell>
          <cell r="E33">
            <v>0</v>
          </cell>
          <cell r="F33">
            <v>0</v>
          </cell>
          <cell r="G33">
            <v>0</v>
          </cell>
          <cell r="H33">
            <v>0</v>
          </cell>
        </row>
        <row r="34">
          <cell r="C34">
            <v>69.28060814241438</v>
          </cell>
          <cell r="D34">
            <v>0</v>
          </cell>
          <cell r="E34">
            <v>0</v>
          </cell>
          <cell r="F34">
            <v>0</v>
          </cell>
          <cell r="G34">
            <v>0</v>
          </cell>
          <cell r="H34">
            <v>0</v>
          </cell>
        </row>
        <row r="36">
          <cell r="C36">
            <v>63.978383562862234</v>
          </cell>
          <cell r="D36">
            <v>0</v>
          </cell>
          <cell r="E36">
            <v>0</v>
          </cell>
          <cell r="F36">
            <v>0</v>
          </cell>
          <cell r="G36">
            <v>10.016</v>
          </cell>
          <cell r="H36">
            <v>0</v>
          </cell>
        </row>
        <row r="37">
          <cell r="C37">
            <v>11.071000000000002</v>
          </cell>
          <cell r="D37">
            <v>2E-3</v>
          </cell>
          <cell r="E37">
            <v>0</v>
          </cell>
          <cell r="F37">
            <v>0</v>
          </cell>
          <cell r="G37">
            <v>0</v>
          </cell>
          <cell r="H37">
            <v>0</v>
          </cell>
        </row>
        <row r="38">
          <cell r="C38">
            <v>419.88912047021518</v>
          </cell>
          <cell r="D38">
            <v>180.36381391364517</v>
          </cell>
          <cell r="E38">
            <v>5.2295029661399957</v>
          </cell>
          <cell r="F38">
            <v>110.72189254874141</v>
          </cell>
          <cell r="G38">
            <v>10.09730555026</v>
          </cell>
          <cell r="H38">
            <v>8.6138826940703197</v>
          </cell>
          <cell r="I38">
            <v>734.91551814307206</v>
          </cell>
        </row>
        <row r="40">
          <cell r="I40">
            <v>0</v>
          </cell>
        </row>
        <row r="41">
          <cell r="I41">
            <v>0</v>
          </cell>
        </row>
        <row r="42">
          <cell r="I42">
            <v>0</v>
          </cell>
        </row>
        <row r="64">
          <cell r="C64">
            <v>0</v>
          </cell>
          <cell r="D64">
            <v>0</v>
          </cell>
        </row>
        <row r="65">
          <cell r="C65">
            <v>0</v>
          </cell>
          <cell r="D65">
            <v>0</v>
          </cell>
          <cell r="E65">
            <v>0</v>
          </cell>
          <cell r="F65">
            <v>0</v>
          </cell>
          <cell r="G65">
            <v>0</v>
          </cell>
          <cell r="H65">
            <v>0</v>
          </cell>
        </row>
        <row r="68">
          <cell r="C68">
            <v>3.5</v>
          </cell>
          <cell r="D68">
            <v>0</v>
          </cell>
          <cell r="E68">
            <v>0</v>
          </cell>
          <cell r="F68">
            <v>0</v>
          </cell>
          <cell r="G68">
            <v>0</v>
          </cell>
          <cell r="H68">
            <v>0</v>
          </cell>
        </row>
        <row r="72">
          <cell r="E72">
            <v>9.4116</v>
          </cell>
          <cell r="F72">
            <v>11.31</v>
          </cell>
          <cell r="G72">
            <v>0</v>
          </cell>
          <cell r="H72">
            <v>33.457577780000001</v>
          </cell>
        </row>
        <row r="73">
          <cell r="C73">
            <v>30.41</v>
          </cell>
          <cell r="D73">
            <v>0</v>
          </cell>
        </row>
        <row r="74">
          <cell r="C74">
            <v>0</v>
          </cell>
          <cell r="D74">
            <v>0</v>
          </cell>
        </row>
        <row r="75">
          <cell r="C75">
            <v>8.4</v>
          </cell>
          <cell r="D75">
            <v>0</v>
          </cell>
        </row>
        <row r="76">
          <cell r="C76">
            <v>8.793553934999998E-2</v>
          </cell>
          <cell r="D76">
            <v>3.8769999999999998</v>
          </cell>
        </row>
        <row r="77">
          <cell r="C77">
            <v>55.694169557999999</v>
          </cell>
          <cell r="D77">
            <v>-2.5000000000000001E-2</v>
          </cell>
        </row>
        <row r="78">
          <cell r="C78">
            <v>575.13331974087259</v>
          </cell>
          <cell r="D78">
            <v>0</v>
          </cell>
        </row>
        <row r="79">
          <cell r="C79">
            <v>0</v>
          </cell>
          <cell r="D79">
            <v>0</v>
          </cell>
        </row>
        <row r="80">
          <cell r="E80">
            <v>0</v>
          </cell>
          <cell r="F80">
            <v>0</v>
          </cell>
          <cell r="G80">
            <v>0</v>
          </cell>
          <cell r="H80">
            <v>0</v>
          </cell>
        </row>
        <row r="82">
          <cell r="C82">
            <v>0</v>
          </cell>
          <cell r="D82">
            <v>0</v>
          </cell>
        </row>
        <row r="85">
          <cell r="C85">
            <v>0</v>
          </cell>
          <cell r="D85">
            <v>0</v>
          </cell>
        </row>
        <row r="88">
          <cell r="C88">
            <v>0</v>
          </cell>
          <cell r="D88">
            <v>0</v>
          </cell>
        </row>
        <row r="89">
          <cell r="C89">
            <v>0</v>
          </cell>
          <cell r="D89">
            <v>0</v>
          </cell>
          <cell r="E89">
            <v>0</v>
          </cell>
          <cell r="F89">
            <v>0</v>
          </cell>
          <cell r="G89">
            <v>0</v>
          </cell>
          <cell r="H89">
            <v>0</v>
          </cell>
        </row>
        <row r="90">
          <cell r="E90">
            <v>0</v>
          </cell>
          <cell r="F90">
            <v>0</v>
          </cell>
          <cell r="G90">
            <v>0</v>
          </cell>
          <cell r="H90">
            <v>0</v>
          </cell>
        </row>
        <row r="91">
          <cell r="C91">
            <v>0</v>
          </cell>
          <cell r="D91">
            <v>0</v>
          </cell>
          <cell r="E91">
            <v>0</v>
          </cell>
          <cell r="F91">
            <v>0</v>
          </cell>
          <cell r="G91">
            <v>0</v>
          </cell>
          <cell r="H91">
            <v>0</v>
          </cell>
        </row>
        <row r="92">
          <cell r="C92">
            <v>0</v>
          </cell>
          <cell r="D92">
            <v>0</v>
          </cell>
        </row>
        <row r="93">
          <cell r="C93">
            <v>1.022463616999969</v>
          </cell>
          <cell r="D93">
            <v>-2.3074850353441433E-4</v>
          </cell>
          <cell r="E93">
            <v>0</v>
          </cell>
          <cell r="F93">
            <v>-1.2289200000000023E-4</v>
          </cell>
          <cell r="G93">
            <v>0</v>
          </cell>
          <cell r="H93">
            <v>0</v>
          </cell>
        </row>
        <row r="94">
          <cell r="C94">
            <v>674.24788845522255</v>
          </cell>
          <cell r="D94">
            <v>3.8517692514964654</v>
          </cell>
          <cell r="E94">
            <v>9.4116</v>
          </cell>
          <cell r="F94">
            <v>11.309877108</v>
          </cell>
          <cell r="G94">
            <v>0</v>
          </cell>
          <cell r="H94">
            <v>33.457577780000001</v>
          </cell>
          <cell r="I94">
            <v>732.27871259471908</v>
          </cell>
        </row>
        <row r="96">
          <cell r="I96">
            <v>0</v>
          </cell>
        </row>
        <row r="97">
          <cell r="I97">
            <v>0</v>
          </cell>
        </row>
        <row r="98">
          <cell r="I98">
            <v>0</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s>
    <sheetDataSet>
      <sheetData sheetId="0">
        <row r="14">
          <cell r="C14">
            <v>0</v>
          </cell>
          <cell r="D14">
            <v>0</v>
          </cell>
          <cell r="E14">
            <v>0</v>
          </cell>
          <cell r="F14">
            <v>0</v>
          </cell>
          <cell r="G14">
            <v>0</v>
          </cell>
          <cell r="H14">
            <v>0</v>
          </cell>
        </row>
        <row r="18">
          <cell r="C18">
            <v>151.44087957923006</v>
          </cell>
          <cell r="D18">
            <v>112.09730438697677</v>
          </cell>
          <cell r="E18">
            <v>0.86196629800000002</v>
          </cell>
          <cell r="F18">
            <v>110.06093182898447</v>
          </cell>
          <cell r="G18">
            <v>0.15225143028999999</v>
          </cell>
          <cell r="H18">
            <v>8.4792996524350368</v>
          </cell>
        </row>
        <row r="22">
          <cell r="E22">
            <v>4.4083976650999954</v>
          </cell>
          <cell r="F22">
            <v>0.50047018639999996</v>
          </cell>
          <cell r="G22">
            <v>0</v>
          </cell>
          <cell r="H22">
            <v>2.8000000000000001E-2</v>
          </cell>
        </row>
        <row r="23">
          <cell r="C23">
            <v>34.882811445999998</v>
          </cell>
          <cell r="D23">
            <v>35.519814733980006</v>
          </cell>
        </row>
        <row r="24">
          <cell r="C24">
            <v>0</v>
          </cell>
          <cell r="D24">
            <v>0</v>
          </cell>
        </row>
        <row r="25">
          <cell r="C25">
            <v>21.319410521720219</v>
          </cell>
          <cell r="D25">
            <v>43.276746893789813</v>
          </cell>
        </row>
        <row r="26">
          <cell r="C26">
            <v>0.55657371102000219</v>
          </cell>
          <cell r="D26">
            <v>0</v>
          </cell>
        </row>
        <row r="27">
          <cell r="C27">
            <v>21.653708206330002</v>
          </cell>
          <cell r="D27">
            <v>6.6210748043400107</v>
          </cell>
        </row>
        <row r="28">
          <cell r="C28">
            <v>20.96036773798</v>
          </cell>
          <cell r="D28">
            <v>7.1568421371711004</v>
          </cell>
        </row>
        <row r="29">
          <cell r="C29">
            <v>0</v>
          </cell>
          <cell r="D29">
            <v>0</v>
          </cell>
        </row>
        <row r="30">
          <cell r="C30">
            <v>0</v>
          </cell>
          <cell r="D30">
            <v>0</v>
          </cell>
          <cell r="E30">
            <v>0</v>
          </cell>
          <cell r="F30">
            <v>0</v>
          </cell>
          <cell r="G30">
            <v>0</v>
          </cell>
          <cell r="H30">
            <v>0</v>
          </cell>
        </row>
        <row r="31">
          <cell r="C31">
            <v>0</v>
          </cell>
          <cell r="D31">
            <v>0</v>
          </cell>
          <cell r="E31">
            <v>0</v>
          </cell>
          <cell r="F31">
            <v>0</v>
          </cell>
          <cell r="G31">
            <v>0</v>
          </cell>
          <cell r="H31">
            <v>0</v>
          </cell>
        </row>
        <row r="32">
          <cell r="E32">
            <v>0</v>
          </cell>
          <cell r="F32">
            <v>0</v>
          </cell>
          <cell r="G32">
            <v>0</v>
          </cell>
          <cell r="H32">
            <v>0</v>
          </cell>
        </row>
        <row r="33">
          <cell r="C33">
            <v>43.543202906561177</v>
          </cell>
          <cell r="D33">
            <v>0</v>
          </cell>
          <cell r="E33">
            <v>0</v>
          </cell>
          <cell r="F33">
            <v>0</v>
          </cell>
          <cell r="G33">
            <v>0</v>
          </cell>
          <cell r="H33">
            <v>0</v>
          </cell>
        </row>
        <row r="34">
          <cell r="C34">
            <v>62.794520156935405</v>
          </cell>
          <cell r="D34">
            <v>0</v>
          </cell>
          <cell r="E34">
            <v>0</v>
          </cell>
          <cell r="F34">
            <v>0</v>
          </cell>
          <cell r="G34">
            <v>0</v>
          </cell>
          <cell r="H34">
            <v>0</v>
          </cell>
        </row>
        <row r="36">
          <cell r="C36">
            <v>58.748908130874682</v>
          </cell>
          <cell r="D36">
            <v>0</v>
          </cell>
          <cell r="E36">
            <v>0</v>
          </cell>
          <cell r="F36">
            <v>0</v>
          </cell>
          <cell r="G36">
            <v>10.218999999999999</v>
          </cell>
          <cell r="H36">
            <v>0</v>
          </cell>
        </row>
        <row r="37">
          <cell r="C37">
            <v>8.2154634420000008</v>
          </cell>
          <cell r="D37">
            <v>2E-3</v>
          </cell>
          <cell r="E37">
            <v>0</v>
          </cell>
          <cell r="F37">
            <v>0</v>
          </cell>
          <cell r="G37">
            <v>0</v>
          </cell>
          <cell r="H37">
            <v>0</v>
          </cell>
        </row>
        <row r="38">
          <cell r="C38">
            <v>424.11584583865158</v>
          </cell>
          <cell r="D38">
            <v>204.67378295625772</v>
          </cell>
          <cell r="E38">
            <v>5.270363963099995</v>
          </cell>
          <cell r="F38">
            <v>110.56140201538447</v>
          </cell>
          <cell r="G38">
            <v>10.37125143029</v>
          </cell>
          <cell r="H38">
            <v>8.5072996524350373</v>
          </cell>
          <cell r="I38">
            <v>763.49994585611853</v>
          </cell>
        </row>
        <row r="40">
          <cell r="I40">
            <v>0</v>
          </cell>
        </row>
        <row r="41">
          <cell r="I41">
            <v>0</v>
          </cell>
        </row>
        <row r="42">
          <cell r="I42">
            <v>0</v>
          </cell>
        </row>
        <row r="64">
          <cell r="C64">
            <v>0</v>
          </cell>
          <cell r="D64">
            <v>0</v>
          </cell>
        </row>
        <row r="65">
          <cell r="C65">
            <v>0</v>
          </cell>
          <cell r="D65">
            <v>0</v>
          </cell>
          <cell r="E65">
            <v>0</v>
          </cell>
          <cell r="F65">
            <v>0</v>
          </cell>
          <cell r="G65">
            <v>0</v>
          </cell>
          <cell r="H65">
            <v>0</v>
          </cell>
        </row>
        <row r="68">
          <cell r="C68">
            <v>3.5</v>
          </cell>
          <cell r="D68">
            <v>0</v>
          </cell>
          <cell r="E68">
            <v>0</v>
          </cell>
          <cell r="F68">
            <v>0</v>
          </cell>
          <cell r="G68">
            <v>0</v>
          </cell>
          <cell r="H68">
            <v>0</v>
          </cell>
        </row>
        <row r="72">
          <cell r="E72">
            <v>9.1173999999999999</v>
          </cell>
          <cell r="F72">
            <v>11.31</v>
          </cell>
          <cell r="G72">
            <v>0</v>
          </cell>
          <cell r="H72">
            <v>33.420572794000002</v>
          </cell>
        </row>
        <row r="73">
          <cell r="C73">
            <v>30.41</v>
          </cell>
          <cell r="D73">
            <v>0</v>
          </cell>
        </row>
        <row r="74">
          <cell r="C74">
            <v>0</v>
          </cell>
          <cell r="D74">
            <v>0</v>
          </cell>
        </row>
        <row r="75">
          <cell r="C75">
            <v>8.4</v>
          </cell>
          <cell r="D75">
            <v>0</v>
          </cell>
        </row>
        <row r="76">
          <cell r="C76">
            <v>7.1204449689880239E-2</v>
          </cell>
          <cell r="D76">
            <v>3.887</v>
          </cell>
        </row>
        <row r="77">
          <cell r="C77">
            <v>62.363154885</v>
          </cell>
          <cell r="D77">
            <v>-2.3E-2</v>
          </cell>
        </row>
        <row r="78">
          <cell r="C78">
            <v>576.29171075307636</v>
          </cell>
          <cell r="D78">
            <v>0</v>
          </cell>
        </row>
        <row r="79">
          <cell r="C79">
            <v>0</v>
          </cell>
          <cell r="D79">
            <v>0</v>
          </cell>
        </row>
        <row r="80">
          <cell r="E80">
            <v>0</v>
          </cell>
          <cell r="F80">
            <v>0</v>
          </cell>
          <cell r="G80">
            <v>0</v>
          </cell>
          <cell r="H80">
            <v>0</v>
          </cell>
        </row>
        <row r="82">
          <cell r="C82">
            <v>0</v>
          </cell>
          <cell r="D82">
            <v>0</v>
          </cell>
        </row>
        <row r="85">
          <cell r="C85">
            <v>0</v>
          </cell>
          <cell r="D85">
            <v>0</v>
          </cell>
        </row>
        <row r="88">
          <cell r="C88">
            <v>1.04</v>
          </cell>
          <cell r="D88">
            <v>0</v>
          </cell>
        </row>
        <row r="89">
          <cell r="C89">
            <v>0</v>
          </cell>
          <cell r="D89">
            <v>0</v>
          </cell>
          <cell r="E89">
            <v>0</v>
          </cell>
          <cell r="F89">
            <v>0</v>
          </cell>
          <cell r="G89">
            <v>0</v>
          </cell>
          <cell r="H89">
            <v>0</v>
          </cell>
        </row>
        <row r="90">
          <cell r="E90">
            <v>0</v>
          </cell>
          <cell r="F90">
            <v>0</v>
          </cell>
          <cell r="G90">
            <v>0</v>
          </cell>
          <cell r="H90">
            <v>0</v>
          </cell>
        </row>
        <row r="91">
          <cell r="C91">
            <v>0</v>
          </cell>
          <cell r="D91">
            <v>0</v>
          </cell>
          <cell r="E91">
            <v>0</v>
          </cell>
          <cell r="F91">
            <v>0</v>
          </cell>
          <cell r="G91">
            <v>0</v>
          </cell>
          <cell r="H91">
            <v>0</v>
          </cell>
        </row>
        <row r="92">
          <cell r="C92">
            <v>0</v>
          </cell>
          <cell r="D92">
            <v>0</v>
          </cell>
        </row>
        <row r="93">
          <cell r="C93">
            <v>1.4134707689999848</v>
          </cell>
          <cell r="D93">
            <v>1.0320676118499251E-4</v>
          </cell>
          <cell r="E93">
            <v>0</v>
          </cell>
          <cell r="F93">
            <v>-2.6693200000003968E-5</v>
          </cell>
          <cell r="G93">
            <v>0</v>
          </cell>
          <cell r="H93">
            <v>0</v>
          </cell>
        </row>
        <row r="94">
          <cell r="C94">
            <v>683.48954085676633</v>
          </cell>
          <cell r="D94">
            <v>3.8641032067611847</v>
          </cell>
          <cell r="E94">
            <v>9.1173999999999999</v>
          </cell>
          <cell r="F94">
            <v>11.3099733068</v>
          </cell>
          <cell r="G94">
            <v>0</v>
          </cell>
          <cell r="H94">
            <v>33.420572794000002</v>
          </cell>
          <cell r="I94">
            <v>741.20159016432751</v>
          </cell>
        </row>
        <row r="96">
          <cell r="I96">
            <v>0</v>
          </cell>
        </row>
        <row r="97">
          <cell r="I97">
            <v>0</v>
          </cell>
        </row>
        <row r="98">
          <cell r="I98">
            <v>0</v>
          </cell>
        </row>
      </sheetData>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14">
          <cell r="C14">
            <v>0</v>
          </cell>
          <cell r="D14">
            <v>60.490121205550004</v>
          </cell>
          <cell r="E14">
            <v>0</v>
          </cell>
          <cell r="F14">
            <v>986.1</v>
          </cell>
          <cell r="G14">
            <v>0</v>
          </cell>
          <cell r="H14">
            <v>1.2500000000000001E-6</v>
          </cell>
          <cell r="I14">
            <v>0</v>
          </cell>
          <cell r="J14">
            <v>0</v>
          </cell>
          <cell r="K14">
            <v>1.39581599E-4</v>
          </cell>
          <cell r="L14">
            <v>151.09996009690801</v>
          </cell>
          <cell r="M14">
            <v>0</v>
          </cell>
          <cell r="N14">
            <v>474.4</v>
          </cell>
          <cell r="O14">
            <v>0</v>
          </cell>
          <cell r="P14">
            <v>4295.3653945963761</v>
          </cell>
        </row>
        <row r="18">
          <cell r="C18">
            <v>19.104845679945981</v>
          </cell>
          <cell r="D18">
            <v>1689.915285665516</v>
          </cell>
          <cell r="E18">
            <v>3.5947853795644566E-2</v>
          </cell>
          <cell r="F18">
            <v>1822.4540358474489</v>
          </cell>
          <cell r="G18">
            <v>12.000014973154</v>
          </cell>
          <cell r="H18">
            <v>52.648765947969736</v>
          </cell>
          <cell r="I18">
            <v>0</v>
          </cell>
          <cell r="J18">
            <v>366.949421107376</v>
          </cell>
          <cell r="K18">
            <v>2.7556164151989392E-4</v>
          </cell>
          <cell r="L18">
            <v>3821.8252562886314</v>
          </cell>
          <cell r="M18">
            <v>66.545801801659934</v>
          </cell>
          <cell r="N18">
            <v>7852.7496137237813</v>
          </cell>
          <cell r="O18">
            <v>4.7172866172915114E-2</v>
          </cell>
          <cell r="P18">
            <v>19078.239654578876</v>
          </cell>
        </row>
        <row r="22">
          <cell r="E22">
            <v>2.4947605430850821</v>
          </cell>
          <cell r="F22">
            <v>365.25415186967507</v>
          </cell>
          <cell r="G22">
            <v>58.683325309105115</v>
          </cell>
          <cell r="H22">
            <v>562.03610026195793</v>
          </cell>
          <cell r="I22">
            <v>0.32467124933687008</v>
          </cell>
          <cell r="J22">
            <v>155.68895566558029</v>
          </cell>
          <cell r="K22">
            <v>8.9197344104731311</v>
          </cell>
          <cell r="L22">
            <v>6037.8599694601662</v>
          </cell>
          <cell r="M22">
            <v>0.38091489534778517</v>
          </cell>
          <cell r="N22">
            <v>3825.6688926500783</v>
          </cell>
          <cell r="O22">
            <v>100.28047659995688</v>
          </cell>
          <cell r="P22">
            <v>12364.248723456076</v>
          </cell>
        </row>
        <row r="23">
          <cell r="C23">
            <v>1.659596485045111</v>
          </cell>
          <cell r="D23">
            <v>34.666418181475763</v>
          </cell>
        </row>
        <row r="24">
          <cell r="C24">
            <v>0.11409755803655969</v>
          </cell>
          <cell r="D24">
            <v>61.94031074003</v>
          </cell>
        </row>
        <row r="25">
          <cell r="C25">
            <v>5.4673168273738995</v>
          </cell>
          <cell r="D25">
            <v>64.58221789639731</v>
          </cell>
        </row>
        <row r="26">
          <cell r="C26">
            <v>144.16105421060675</v>
          </cell>
          <cell r="D26">
            <v>268.824244251099</v>
          </cell>
        </row>
        <row r="27">
          <cell r="C27">
            <v>56.328000907130068</v>
          </cell>
          <cell r="D27">
            <v>574.21686877372258</v>
          </cell>
        </row>
        <row r="28">
          <cell r="C28">
            <v>30.875703479190992</v>
          </cell>
          <cell r="D28">
            <v>123.51590233312476</v>
          </cell>
        </row>
        <row r="29">
          <cell r="C29">
            <v>34.011040190981433</v>
          </cell>
          <cell r="D29">
            <v>7.1177780604244036</v>
          </cell>
        </row>
        <row r="30">
          <cell r="C30">
            <v>0</v>
          </cell>
          <cell r="D30">
            <v>1438.75674907915</v>
          </cell>
          <cell r="E30">
            <v>0</v>
          </cell>
          <cell r="F30">
            <v>0</v>
          </cell>
          <cell r="G30">
            <v>0</v>
          </cell>
          <cell r="H30">
            <v>0</v>
          </cell>
          <cell r="I30">
            <v>0</v>
          </cell>
          <cell r="J30">
            <v>0</v>
          </cell>
          <cell r="K30">
            <v>0</v>
          </cell>
          <cell r="L30">
            <v>0</v>
          </cell>
          <cell r="M30">
            <v>0</v>
          </cell>
          <cell r="N30">
            <v>1.116491952E-2</v>
          </cell>
          <cell r="O30">
            <v>0</v>
          </cell>
          <cell r="P30">
            <v>0</v>
          </cell>
        </row>
        <row r="31">
          <cell r="C31">
            <v>0</v>
          </cell>
          <cell r="D31">
            <v>342.36010529726798</v>
          </cell>
          <cell r="E31">
            <v>0</v>
          </cell>
          <cell r="F31">
            <v>19.382829199729997</v>
          </cell>
          <cell r="G31">
            <v>0</v>
          </cell>
          <cell r="H31">
            <v>24.289450320929998</v>
          </cell>
          <cell r="I31">
            <v>0</v>
          </cell>
          <cell r="J31">
            <v>1.1327384299800001</v>
          </cell>
          <cell r="K31">
            <v>0</v>
          </cell>
          <cell r="L31">
            <v>114.653662119497</v>
          </cell>
          <cell r="M31">
            <v>7.1040409999999998E-2</v>
          </cell>
          <cell r="N31">
            <v>60.463236144480994</v>
          </cell>
          <cell r="O31">
            <v>0</v>
          </cell>
          <cell r="P31">
            <v>1030.261570092996</v>
          </cell>
        </row>
        <row r="32">
          <cell r="E32"/>
          <cell r="F32"/>
          <cell r="G32"/>
          <cell r="H32"/>
          <cell r="I32"/>
          <cell r="J32"/>
          <cell r="K32"/>
          <cell r="L32"/>
          <cell r="M32"/>
          <cell r="N32"/>
          <cell r="O32">
            <v>0</v>
          </cell>
          <cell r="P32">
            <v>591.56322073599995</v>
          </cell>
        </row>
        <row r="33">
          <cell r="C33">
            <v>914.81035429075803</v>
          </cell>
          <cell r="D33">
            <v>3769.6250648413129</v>
          </cell>
          <cell r="E33">
            <v>1.1000000000000001</v>
          </cell>
          <cell r="F33">
            <v>65.300000000000011</v>
          </cell>
          <cell r="G33">
            <v>0</v>
          </cell>
          <cell r="H33">
            <v>141.78197691</v>
          </cell>
          <cell r="I33">
            <v>0</v>
          </cell>
          <cell r="J33">
            <v>415.55024494999998</v>
          </cell>
          <cell r="K33">
            <v>0</v>
          </cell>
          <cell r="L33">
            <v>12275.641040162753</v>
          </cell>
          <cell r="M33">
            <v>0</v>
          </cell>
          <cell r="N33">
            <v>8383.7523970916445</v>
          </cell>
          <cell r="O33">
            <v>0.87683477931100007</v>
          </cell>
          <cell r="P33">
            <v>26817.705417621321</v>
          </cell>
        </row>
        <row r="34">
          <cell r="C34">
            <v>101.68326897241805</v>
          </cell>
          <cell r="D34">
            <v>2048.6506021055343</v>
          </cell>
          <cell r="E34">
            <v>0</v>
          </cell>
          <cell r="F34">
            <v>977.53602425000008</v>
          </cell>
          <cell r="G34">
            <v>15.383673474801062</v>
          </cell>
          <cell r="H34">
            <v>10.949883</v>
          </cell>
          <cell r="I34">
            <v>0</v>
          </cell>
          <cell r="J34">
            <v>18.254905399999998</v>
          </cell>
          <cell r="K34">
            <v>0</v>
          </cell>
          <cell r="L34">
            <v>1997.5102952499999</v>
          </cell>
          <cell r="M34">
            <v>0</v>
          </cell>
          <cell r="N34">
            <v>37.12014645</v>
          </cell>
          <cell r="O34">
            <v>-1.1000000000000001</v>
          </cell>
          <cell r="P34">
            <v>2919.7986868307216</v>
          </cell>
        </row>
        <row r="36">
          <cell r="C36">
            <v>69.166228735541594</v>
          </cell>
          <cell r="D36">
            <v>575.13680707551373</v>
          </cell>
          <cell r="E36">
            <v>0</v>
          </cell>
          <cell r="F36">
            <v>353.17755473767096</v>
          </cell>
          <cell r="G36">
            <v>10.464166712734299</v>
          </cell>
          <cell r="H36">
            <v>0</v>
          </cell>
          <cell r="I36">
            <v>0</v>
          </cell>
          <cell r="J36">
            <v>2.0987139368000003E-3</v>
          </cell>
          <cell r="K36">
            <v>0.273544590872</v>
          </cell>
          <cell r="L36">
            <v>2179.160480707149</v>
          </cell>
          <cell r="M36">
            <v>0</v>
          </cell>
          <cell r="N36">
            <v>43.668318381587397</v>
          </cell>
          <cell r="O36">
            <v>0</v>
          </cell>
          <cell r="P36">
            <v>1046.9731643012931</v>
          </cell>
        </row>
        <row r="37">
          <cell r="C37">
            <v>216.04917955408877</v>
          </cell>
          <cell r="D37">
            <v>1412.6510379256426</v>
          </cell>
          <cell r="E37">
            <v>1.4008774000000002E-3</v>
          </cell>
          <cell r="F37">
            <v>0.5</v>
          </cell>
          <cell r="G37">
            <v>0</v>
          </cell>
          <cell r="H37">
            <v>0</v>
          </cell>
          <cell r="I37">
            <v>3.6739000000000001E-6</v>
          </cell>
          <cell r="J37">
            <v>1.0619100000000001E-3</v>
          </cell>
          <cell r="K37">
            <v>4.8535960534999999E-2</v>
          </cell>
          <cell r="L37">
            <v>24.175884311569998</v>
          </cell>
          <cell r="M37">
            <v>0.10117215558900002</v>
          </cell>
          <cell r="N37">
            <v>29.649351544745002</v>
          </cell>
          <cell r="O37">
            <v>1.3000249455400001</v>
          </cell>
          <cell r="P37">
            <v>378.97153829631816</v>
          </cell>
        </row>
        <row r="38">
          <cell r="C38">
            <v>1593.4306868911174</v>
          </cell>
          <cell r="D38">
            <v>12472.449513431762</v>
          </cell>
          <cell r="E38">
            <v>3.6321092742807268</v>
          </cell>
          <cell r="F38">
            <v>4589.7045959045263</v>
          </cell>
          <cell r="G38">
            <v>96.531180469794464</v>
          </cell>
          <cell r="H38">
            <v>791.70617769085766</v>
          </cell>
          <cell r="I38">
            <v>0.32467492323687008</v>
          </cell>
          <cell r="J38">
            <v>957.57942617687297</v>
          </cell>
          <cell r="K38">
            <v>9.242230105120651</v>
          </cell>
          <cell r="L38">
            <v>26601.926548396674</v>
          </cell>
          <cell r="M38">
            <v>67.098929262596712</v>
          </cell>
          <cell r="N38">
            <v>20707.483120905839</v>
          </cell>
          <cell r="O38">
            <v>101.4045091909808</v>
          </cell>
          <cell r="P38">
            <v>68523.127370509988</v>
          </cell>
          <cell r="Q38">
            <v>136515.64107313362</v>
          </cell>
        </row>
        <row r="40">
          <cell r="Q40">
            <v>24382.8500593719</v>
          </cell>
        </row>
        <row r="68">
          <cell r="C68">
            <v>9.2114122460753345E-2</v>
          </cell>
          <cell r="D68">
            <v>0.30703836000000001</v>
          </cell>
        </row>
        <row r="69">
          <cell r="C69">
            <v>194.30325892719895</v>
          </cell>
          <cell r="D69">
            <v>-5.0000000000000002E-11</v>
          </cell>
          <cell r="E69">
            <v>0</v>
          </cell>
          <cell r="F69">
            <v>0</v>
          </cell>
          <cell r="G69">
            <v>0</v>
          </cell>
          <cell r="H69">
            <v>0</v>
          </cell>
          <cell r="I69">
            <v>0</v>
          </cell>
          <cell r="J69">
            <v>0</v>
          </cell>
          <cell r="K69">
            <v>0</v>
          </cell>
          <cell r="L69">
            <v>0</v>
          </cell>
          <cell r="M69">
            <v>0</v>
          </cell>
          <cell r="N69">
            <v>0</v>
          </cell>
          <cell r="O69">
            <v>0</v>
          </cell>
          <cell r="P69">
            <v>0</v>
          </cell>
        </row>
        <row r="72">
          <cell r="C72">
            <v>427.91812889460391</v>
          </cell>
          <cell r="D72">
            <v>3356.4310576160797</v>
          </cell>
          <cell r="E72">
            <v>4.3597413793103446E-2</v>
          </cell>
          <cell r="F72">
            <v>1683.2069053089683</v>
          </cell>
          <cell r="G72">
            <v>0</v>
          </cell>
          <cell r="H72">
            <v>512.35091479394248</v>
          </cell>
          <cell r="I72">
            <v>0</v>
          </cell>
          <cell r="J72">
            <v>2504.8004600442018</v>
          </cell>
          <cell r="K72">
            <v>5.9734341553766574E-3</v>
          </cell>
          <cell r="L72">
            <v>1689.2479522948775</v>
          </cell>
          <cell r="M72">
            <v>8.0839999999999998E-9</v>
          </cell>
          <cell r="N72">
            <v>3012.9499457166135</v>
          </cell>
          <cell r="O72">
            <v>5.3042420877984087E-5</v>
          </cell>
          <cell r="P72">
            <v>7951.019404196235</v>
          </cell>
        </row>
        <row r="76">
          <cell r="E76">
            <v>0.2</v>
          </cell>
          <cell r="F76">
            <v>353.48158391263297</v>
          </cell>
          <cell r="G76">
            <v>0</v>
          </cell>
          <cell r="H76">
            <v>2369.1290846817465</v>
          </cell>
          <cell r="I76">
            <v>0</v>
          </cell>
          <cell r="J76">
            <v>699.08729641935099</v>
          </cell>
          <cell r="K76">
            <v>9.9999999999999998E-13</v>
          </cell>
          <cell r="L76">
            <v>3151.3813663329465</v>
          </cell>
          <cell r="M76">
            <v>9.9999999999999998E-13</v>
          </cell>
          <cell r="N76">
            <v>5900.0929979322236</v>
          </cell>
          <cell r="O76">
            <v>2.3000000000000001E-11</v>
          </cell>
          <cell r="P76">
            <v>25510.261767616026</v>
          </cell>
        </row>
        <row r="77">
          <cell r="C77">
            <v>0</v>
          </cell>
          <cell r="D77">
            <v>928.48496551736002</v>
          </cell>
        </row>
        <row r="78">
          <cell r="C78">
            <v>0</v>
          </cell>
          <cell r="D78">
            <v>0</v>
          </cell>
        </row>
        <row r="79">
          <cell r="C79">
            <v>-1.564E-9</v>
          </cell>
          <cell r="D79">
            <v>402.15292165618291</v>
          </cell>
        </row>
        <row r="80">
          <cell r="C80">
            <v>0</v>
          </cell>
          <cell r="D80">
            <v>1685.563978361572</v>
          </cell>
        </row>
        <row r="81">
          <cell r="C81">
            <v>18.637117122399999</v>
          </cell>
          <cell r="D81">
            <v>944.59932780713996</v>
          </cell>
        </row>
        <row r="82">
          <cell r="C82">
            <v>7.9691562943111824</v>
          </cell>
          <cell r="D82">
            <v>124.22972529240501</v>
          </cell>
        </row>
        <row r="83">
          <cell r="C83">
            <v>0</v>
          </cell>
          <cell r="D83">
            <v>16.2</v>
          </cell>
        </row>
        <row r="84">
          <cell r="E84">
            <v>2.6525199999999998E-3</v>
          </cell>
          <cell r="F84">
            <v>411.21114922110064</v>
          </cell>
          <cell r="G84">
            <v>0</v>
          </cell>
          <cell r="H84">
            <v>877.83431184269909</v>
          </cell>
          <cell r="I84">
            <v>0</v>
          </cell>
          <cell r="J84">
            <v>175.13962866408943</v>
          </cell>
          <cell r="K84">
            <v>0</v>
          </cell>
          <cell r="L84">
            <v>2678.0506556426308</v>
          </cell>
          <cell r="M84">
            <v>0</v>
          </cell>
          <cell r="N84">
            <v>1422.87056038016</v>
          </cell>
          <cell r="O84">
            <v>0</v>
          </cell>
          <cell r="P84">
            <v>22719.211703497851</v>
          </cell>
        </row>
        <row r="86">
          <cell r="C86">
            <v>439.31823087255975</v>
          </cell>
          <cell r="D86">
            <v>2263.2967631216843</v>
          </cell>
        </row>
        <row r="89">
          <cell r="C89">
            <v>0</v>
          </cell>
          <cell r="D89">
            <v>1246.443394019471</v>
          </cell>
        </row>
        <row r="92">
          <cell r="C92">
            <v>381.83505193779376</v>
          </cell>
          <cell r="D92">
            <v>339.57902935400659</v>
          </cell>
        </row>
        <row r="93">
          <cell r="C93">
            <v>-3.3929824078E-2</v>
          </cell>
          <cell r="D93">
            <v>565.20656238986408</v>
          </cell>
          <cell r="E93">
            <v>0</v>
          </cell>
          <cell r="F93">
            <v>24.57971806985999</v>
          </cell>
          <cell r="G93">
            <v>0</v>
          </cell>
          <cell r="H93">
            <v>1.7128096900299998</v>
          </cell>
          <cell r="I93">
            <v>0</v>
          </cell>
          <cell r="J93">
            <v>8.3146677999200005</v>
          </cell>
          <cell r="K93">
            <v>0</v>
          </cell>
          <cell r="L93">
            <v>491.42480445701904</v>
          </cell>
          <cell r="M93">
            <v>3.4035729999999993E-2</v>
          </cell>
          <cell r="N93">
            <v>13.904819979925001</v>
          </cell>
          <cell r="O93">
            <v>2.1929999999999998E-5</v>
          </cell>
          <cell r="P93">
            <v>623.74344467381411</v>
          </cell>
        </row>
        <row r="94">
          <cell r="E94"/>
          <cell r="F94"/>
          <cell r="G94"/>
          <cell r="H94"/>
          <cell r="I94"/>
          <cell r="J94"/>
          <cell r="K94"/>
          <cell r="L94"/>
          <cell r="M94"/>
          <cell r="N94"/>
          <cell r="O94">
            <v>0</v>
          </cell>
          <cell r="P94">
            <v>404.30065412283005</v>
          </cell>
        </row>
        <row r="95">
          <cell r="C95">
            <v>1531.0632656222488</v>
          </cell>
          <cell r="D95">
            <v>3905.1013479358089</v>
          </cell>
          <cell r="E95">
            <v>0.1</v>
          </cell>
          <cell r="F95">
            <v>52.134777800000002</v>
          </cell>
          <cell r="G95">
            <v>0</v>
          </cell>
          <cell r="H95">
            <v>108.84480249883299</v>
          </cell>
          <cell r="I95">
            <v>0.1</v>
          </cell>
          <cell r="J95">
            <v>2.4000000000000004</v>
          </cell>
          <cell r="K95">
            <v>0.4</v>
          </cell>
          <cell r="L95">
            <v>5038.5851997613918</v>
          </cell>
          <cell r="M95">
            <v>0</v>
          </cell>
          <cell r="N95">
            <v>2257.0939249599542</v>
          </cell>
          <cell r="O95">
            <v>41.032691659999998</v>
          </cell>
          <cell r="P95">
            <v>20903.822223464114</v>
          </cell>
        </row>
        <row r="96">
          <cell r="C96">
            <v>84.109289435559575</v>
          </cell>
          <cell r="D96">
            <v>73.494583988877991</v>
          </cell>
        </row>
        <row r="97">
          <cell r="C97">
            <v>636.89758962794986</v>
          </cell>
          <cell r="D97">
            <v>1610.5753901498583</v>
          </cell>
          <cell r="E97">
            <v>5.2472038328912465E-2</v>
          </cell>
          <cell r="F97">
            <v>61.225879137849994</v>
          </cell>
          <cell r="G97">
            <v>0.2936047427055703</v>
          </cell>
          <cell r="H97">
            <v>4.1712576286472149</v>
          </cell>
          <cell r="I97">
            <v>3.5809018567639259E-4</v>
          </cell>
          <cell r="J97">
            <v>3.5</v>
          </cell>
          <cell r="K97">
            <v>5.2130777771684345E-2</v>
          </cell>
          <cell r="L97">
            <v>98.462200012671985</v>
          </cell>
          <cell r="M97">
            <v>0.43276463129973475</v>
          </cell>
          <cell r="N97">
            <v>134.69323920624461</v>
          </cell>
          <cell r="O97">
            <v>0.74260499960212201</v>
          </cell>
          <cell r="P97">
            <v>1434.1039696445587</v>
          </cell>
        </row>
        <row r="98">
          <cell r="C98">
            <v>3722.1092730314449</v>
          </cell>
          <cell r="D98">
            <v>17461.666085570261</v>
          </cell>
          <cell r="E98">
            <v>0.39872197212201588</v>
          </cell>
          <cell r="F98">
            <v>2585.8400134504118</v>
          </cell>
          <cell r="G98">
            <v>0.2936047427055703</v>
          </cell>
          <cell r="H98">
            <v>3874.0431811358985</v>
          </cell>
          <cell r="I98">
            <v>0.1003580901856764</v>
          </cell>
          <cell r="J98">
            <v>3393.2420529275619</v>
          </cell>
          <cell r="K98">
            <v>0.458104211928061</v>
          </cell>
          <cell r="L98">
            <v>13147.152178501537</v>
          </cell>
          <cell r="M98">
            <v>0.46680036938473474</v>
          </cell>
          <cell r="N98">
            <v>12741.605488175122</v>
          </cell>
          <cell r="O98">
            <v>41.775371632045996</v>
          </cell>
          <cell r="P98">
            <v>79546.463167215436</v>
          </cell>
          <cell r="Q98">
            <v>136515.61440102605</v>
          </cell>
        </row>
        <row r="100">
          <cell r="Q100">
            <v>24272.231577560895</v>
          </cell>
        </row>
      </sheetData>
      <sheetData sheetId="1"/>
      <sheetData sheetId="2">
        <row r="15">
          <cell r="AX15">
            <v>38463.060222638553</v>
          </cell>
        </row>
        <row r="69">
          <cell r="AX69">
            <v>10162.431991974052</v>
          </cell>
        </row>
        <row r="86">
          <cell r="AX86">
            <v>0</v>
          </cell>
        </row>
        <row r="90">
          <cell r="AX90">
            <v>23.62</v>
          </cell>
        </row>
        <row r="105">
          <cell r="AX105">
            <v>0</v>
          </cell>
        </row>
        <row r="118">
          <cell r="AX118">
            <v>0</v>
          </cell>
        </row>
        <row r="120">
          <cell r="AX120">
            <v>7.5063931902000008E-3</v>
          </cell>
        </row>
        <row r="122">
          <cell r="AX122">
            <v>1465.1137426039177</v>
          </cell>
        </row>
        <row r="130">
          <cell r="AX130">
            <v>1284.8121626930172</v>
          </cell>
        </row>
        <row r="141">
          <cell r="AX141">
            <v>630.94941879572457</v>
          </cell>
        </row>
        <row r="170">
          <cell r="AX170">
            <v>0.29000000000000004</v>
          </cell>
        </row>
        <row r="186">
          <cell r="AX186">
            <v>14065.850701226926</v>
          </cell>
        </row>
        <row r="187">
          <cell r="AX187">
            <v>352.52746230700001</v>
          </cell>
        </row>
        <row r="188">
          <cell r="AX188">
            <v>62.960298949990005</v>
          </cell>
        </row>
        <row r="189">
          <cell r="AX189">
            <v>4593.4012540289896</v>
          </cell>
        </row>
        <row r="190">
          <cell r="AX190">
            <v>888.21735816071225</v>
          </cell>
        </row>
        <row r="191">
          <cell r="AX191">
            <v>957.91403415686045</v>
          </cell>
        </row>
        <row r="192">
          <cell r="AX192">
            <v>26611.180934785029</v>
          </cell>
        </row>
        <row r="193">
          <cell r="AX193">
            <v>20774.556527874571</v>
          </cell>
        </row>
        <row r="199">
          <cell r="AX199">
            <v>3586.8481242061985</v>
          </cell>
        </row>
        <row r="200">
          <cell r="AX200">
            <v>81.5011826264071</v>
          </cell>
        </row>
        <row r="201">
          <cell r="AX201">
            <v>71.147983553413596</v>
          </cell>
        </row>
        <row r="202">
          <cell r="AX202">
            <v>508.56030304952247</v>
          </cell>
        </row>
        <row r="203">
          <cell r="AX203">
            <v>8.7340648547286008</v>
          </cell>
        </row>
        <row r="204">
          <cell r="AX204">
            <v>8275.6162884690457</v>
          </cell>
        </row>
        <row r="229">
          <cell r="AX229">
            <v>2808.2574727745464</v>
          </cell>
        </row>
      </sheetData>
      <sheetData sheetId="3">
        <row r="15">
          <cell r="AH15">
            <v>37203.456876602781</v>
          </cell>
        </row>
        <row r="69">
          <cell r="AH69">
            <v>5217.6710417574213</v>
          </cell>
        </row>
        <row r="86">
          <cell r="AH86">
            <v>0</v>
          </cell>
        </row>
        <row r="90">
          <cell r="AH90">
            <v>0</v>
          </cell>
        </row>
        <row r="105">
          <cell r="AH105">
            <v>0</v>
          </cell>
        </row>
        <row r="118">
          <cell r="AH118">
            <v>0</v>
          </cell>
        </row>
        <row r="120">
          <cell r="AH120">
            <v>0</v>
          </cell>
        </row>
        <row r="122">
          <cell r="AH122">
            <v>1237.0104464927272</v>
          </cell>
        </row>
        <row r="130">
          <cell r="AH130">
            <v>15520.533006551208</v>
          </cell>
        </row>
        <row r="141">
          <cell r="AH141">
            <v>4553.4857977391857</v>
          </cell>
        </row>
        <row r="170">
          <cell r="AH170">
            <v>840.91022498199993</v>
          </cell>
        </row>
        <row r="186">
          <cell r="AH186">
            <v>21183.811427956211</v>
          </cell>
        </row>
        <row r="187">
          <cell r="AH187">
            <v>0</v>
          </cell>
        </row>
        <row r="188">
          <cell r="AH188">
            <v>84.991162969999991</v>
          </cell>
        </row>
        <row r="189">
          <cell r="AH189">
            <v>2586.2363735678041</v>
          </cell>
        </row>
        <row r="190">
          <cell r="AH190">
            <v>3874.3246498386043</v>
          </cell>
        </row>
        <row r="191">
          <cell r="AH191">
            <v>3393.3677862022714</v>
          </cell>
        </row>
        <row r="192">
          <cell r="AH192">
            <v>13147.586727937491</v>
          </cell>
        </row>
        <row r="193">
          <cell r="AH193">
            <v>12742.172902617946</v>
          </cell>
        </row>
        <row r="199">
          <cell r="AH199">
            <v>2428.3285948754719</v>
          </cell>
        </row>
        <row r="200">
          <cell r="AH200">
            <v>44.400000000000006</v>
          </cell>
        </row>
        <row r="201">
          <cell r="AH201">
            <v>0.25</v>
          </cell>
        </row>
        <row r="202">
          <cell r="AH202">
            <v>80.127121510000009</v>
          </cell>
        </row>
        <row r="203">
          <cell r="AH203">
            <v>0</v>
          </cell>
        </row>
        <row r="204">
          <cell r="AH204">
            <v>8876.7639283510671</v>
          </cell>
        </row>
        <row r="229">
          <cell r="AH229">
            <v>1208.4678559073066</v>
          </cell>
        </row>
        <row r="272">
          <cell r="AH272">
            <v>136515.72819439328</v>
          </cell>
        </row>
      </sheetData>
      <sheetData sheetId="4">
        <row r="14">
          <cell r="D14">
            <v>1871.6504076387259</v>
          </cell>
          <cell r="G14">
            <v>3765.5622414047225</v>
          </cell>
        </row>
        <row r="16">
          <cell r="D16">
            <v>104273.55351390471</v>
          </cell>
          <cell r="G16">
            <v>104071.99194830316</v>
          </cell>
        </row>
        <row r="17">
          <cell r="D17">
            <v>2400.5979067840758</v>
          </cell>
          <cell r="G17">
            <v>2084.7219757125931</v>
          </cell>
        </row>
        <row r="18">
          <cell r="D18">
            <v>317.29268103411198</v>
          </cell>
          <cell r="G18">
            <v>334.58887163191076</v>
          </cell>
        </row>
        <row r="19">
          <cell r="D19">
            <v>184.39224054270005</v>
          </cell>
          <cell r="G19">
            <v>771.50854608982206</v>
          </cell>
        </row>
        <row r="20">
          <cell r="D20">
            <v>12955.678320660794</v>
          </cell>
          <cell r="G20">
            <v>13661.946637634328</v>
          </cell>
        </row>
        <row r="21">
          <cell r="D21">
            <v>9537.1362617027025</v>
          </cell>
          <cell r="G21">
            <v>4679.8973104590395</v>
          </cell>
        </row>
        <row r="22">
          <cell r="D22">
            <v>1658.9743806513857</v>
          </cell>
          <cell r="G22">
            <v>1655.1344800164386</v>
          </cell>
        </row>
        <row r="23">
          <cell r="D23">
            <v>3316.2564692876417</v>
          </cell>
          <cell r="G23">
            <v>5490.2855308816006</v>
          </cell>
        </row>
        <row r="24">
          <cell r="G24">
            <v>136515.63754213363</v>
          </cell>
        </row>
      </sheetData>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14">
          <cell r="C14">
            <v>50.053778004999998</v>
          </cell>
          <cell r="D14">
            <v>0</v>
          </cell>
        </row>
        <row r="18">
          <cell r="C18">
            <v>490.09286124600004</v>
          </cell>
          <cell r="D18">
            <v>1061.6844123256235</v>
          </cell>
        </row>
        <row r="23">
          <cell r="C23">
            <v>1331.2113488916989</v>
          </cell>
          <cell r="D23">
            <v>206.04133383560998</v>
          </cell>
        </row>
        <row r="24">
          <cell r="C24">
            <v>288.991123077</v>
          </cell>
          <cell r="D24">
            <v>87.553286604090005</v>
          </cell>
        </row>
        <row r="25">
          <cell r="C25">
            <v>222.98680815800009</v>
          </cell>
          <cell r="D25">
            <v>217.5616883005448</v>
          </cell>
        </row>
        <row r="26">
          <cell r="C26">
            <v>421.62488284800003</v>
          </cell>
          <cell r="D26">
            <v>327.88749479356306</v>
          </cell>
        </row>
        <row r="27">
          <cell r="C27">
            <v>2796.3171615320598</v>
          </cell>
          <cell r="D27">
            <v>1193.8869495589993</v>
          </cell>
        </row>
        <row r="28">
          <cell r="C28">
            <v>7643.3912866773753</v>
          </cell>
          <cell r="D28">
            <v>1206.5157286786043</v>
          </cell>
        </row>
        <row r="29">
          <cell r="C29">
            <v>252.72499447803</v>
          </cell>
          <cell r="D29">
            <v>10.419923293034271</v>
          </cell>
        </row>
        <row r="30">
          <cell r="C30">
            <v>0</v>
          </cell>
          <cell r="D30">
            <v>0</v>
          </cell>
        </row>
        <row r="31">
          <cell r="C31">
            <v>1.4000000000000001</v>
          </cell>
          <cell r="D31">
            <v>20.27335906448296</v>
          </cell>
        </row>
        <row r="33">
          <cell r="C33">
            <v>402.22699674357909</v>
          </cell>
          <cell r="D33">
            <v>52.184868177765551</v>
          </cell>
        </row>
        <row r="34">
          <cell r="C34">
            <v>2613.27073960301</v>
          </cell>
          <cell r="D34">
            <v>194.33532330534001</v>
          </cell>
        </row>
        <row r="36">
          <cell r="C36">
            <v>1123.7508135446724</v>
          </cell>
          <cell r="D36">
            <v>-55.325369487113832</v>
          </cell>
        </row>
        <row r="37">
          <cell r="C37">
            <v>413.50100259834971</v>
          </cell>
          <cell r="D37">
            <v>457.40680935288742</v>
          </cell>
        </row>
        <row r="38">
          <cell r="C38">
            <v>18051.543797402774</v>
          </cell>
          <cell r="D38">
            <v>4980.4258078034318</v>
          </cell>
          <cell r="E38">
            <v>89.605477660773886</v>
          </cell>
          <cell r="F38">
            <v>5244.3769156524186</v>
          </cell>
          <cell r="G38">
            <v>19.564497558719999</v>
          </cell>
          <cell r="H38">
            <v>167.18933193044236</v>
          </cell>
          <cell r="I38">
            <v>16.373319017619</v>
          </cell>
          <cell r="J38">
            <v>190.58943669117141</v>
          </cell>
          <cell r="K38">
            <v>52.124355203784056</v>
          </cell>
          <cell r="L38">
            <v>443.05032574231114</v>
          </cell>
          <cell r="M38">
            <v>1553.6116979352541</v>
          </cell>
          <cell r="N38">
            <v>4032.8718410291963</v>
          </cell>
          <cell r="O38">
            <v>768.65032147556963</v>
          </cell>
          <cell r="P38">
            <v>7942.9982797063922</v>
          </cell>
          <cell r="Q38">
            <v>43552.975404809869</v>
          </cell>
        </row>
        <row r="40">
          <cell r="Q40">
            <v>8786.3639462993451</v>
          </cell>
        </row>
        <row r="68">
          <cell r="C68">
            <v>109.97376942800416</v>
          </cell>
          <cell r="D68">
            <v>17.239212464423002</v>
          </cell>
        </row>
        <row r="69">
          <cell r="C69">
            <v>4825.1678948809995</v>
          </cell>
          <cell r="D69">
            <v>5.420000001</v>
          </cell>
        </row>
        <row r="72">
          <cell r="C72">
            <v>625.00642818889162</v>
          </cell>
          <cell r="D72">
            <v>352.46089616900656</v>
          </cell>
        </row>
        <row r="76">
          <cell r="C76">
            <v>9211.2034961717509</v>
          </cell>
          <cell r="D76">
            <v>3266.2295509392202</v>
          </cell>
        </row>
        <row r="77">
          <cell r="C77">
            <v>315.103666992</v>
          </cell>
          <cell r="D77">
            <v>695.65139148699996</v>
          </cell>
        </row>
        <row r="78">
          <cell r="C78">
            <v>0</v>
          </cell>
          <cell r="D78">
            <v>0</v>
          </cell>
        </row>
        <row r="79">
          <cell r="C79">
            <v>183.42653721200003</v>
          </cell>
          <cell r="D79">
            <v>108.97977722803</v>
          </cell>
        </row>
        <row r="80">
          <cell r="C80">
            <v>68.054924757430058</v>
          </cell>
          <cell r="D80">
            <v>1078.4659382027598</v>
          </cell>
        </row>
        <row r="81">
          <cell r="C81">
            <v>2613.4114040307604</v>
          </cell>
          <cell r="D81">
            <v>1107.3176811568342</v>
          </cell>
        </row>
        <row r="82">
          <cell r="C82">
            <v>5996.8383223035607</v>
          </cell>
          <cell r="D82">
            <v>229.21476286459603</v>
          </cell>
        </row>
        <row r="83">
          <cell r="C83">
            <v>34.368640875999901</v>
          </cell>
          <cell r="D83">
            <v>46.6</v>
          </cell>
        </row>
        <row r="84">
          <cell r="E84">
            <v>0</v>
          </cell>
          <cell r="F84">
            <v>805.13180776694958</v>
          </cell>
          <cell r="G84">
            <v>0</v>
          </cell>
          <cell r="H84">
            <v>444.78072774936959</v>
          </cell>
          <cell r="I84">
            <v>0</v>
          </cell>
          <cell r="J84">
            <v>262.79361599395503</v>
          </cell>
          <cell r="K84">
            <v>0</v>
          </cell>
          <cell r="L84">
            <v>1825.9311854305092</v>
          </cell>
          <cell r="M84">
            <v>0</v>
          </cell>
          <cell r="N84">
            <v>1185.416727979959</v>
          </cell>
          <cell r="O84">
            <v>1.0505158000000001</v>
          </cell>
          <cell r="P84">
            <v>2259.4471708858114</v>
          </cell>
        </row>
        <row r="86">
          <cell r="C86">
            <v>3493.5239775975369</v>
          </cell>
          <cell r="D86">
            <v>3107.0707091441404</v>
          </cell>
        </row>
        <row r="89">
          <cell r="C89">
            <v>-3.1359237847680978E-3</v>
          </cell>
          <cell r="D89">
            <v>161.01002549073135</v>
          </cell>
        </row>
        <row r="92">
          <cell r="C92">
            <v>464.08489705699998</v>
          </cell>
          <cell r="D92">
            <v>134.4232305798341</v>
          </cell>
        </row>
        <row r="93">
          <cell r="C93">
            <v>1.2937874599999999</v>
          </cell>
          <cell r="D93">
            <v>21.648669965929543</v>
          </cell>
        </row>
        <row r="95">
          <cell r="C95">
            <v>485.80362722821269</v>
          </cell>
          <cell r="D95">
            <v>671.17810598817016</v>
          </cell>
        </row>
        <row r="96">
          <cell r="C96">
            <v>202.63015087722877</v>
          </cell>
          <cell r="D96">
            <v>8.1587946494600008</v>
          </cell>
        </row>
        <row r="97">
          <cell r="C97">
            <v>660.5524615978843</v>
          </cell>
          <cell r="D97">
            <v>392.01033323454971</v>
          </cell>
        </row>
        <row r="98">
          <cell r="C98">
            <v>20079.237354563724</v>
          </cell>
          <cell r="D98">
            <v>8136.8495286264661</v>
          </cell>
          <cell r="E98">
            <v>56.793493662586002</v>
          </cell>
          <cell r="F98">
            <v>2417.3616504240517</v>
          </cell>
          <cell r="G98">
            <v>3.0838375000000001E-2</v>
          </cell>
          <cell r="H98">
            <v>546.46184736669863</v>
          </cell>
          <cell r="I98">
            <v>1.9730430999999996E-2</v>
          </cell>
          <cell r="J98">
            <v>946.28519489745622</v>
          </cell>
          <cell r="K98">
            <v>15.311751332000002</v>
          </cell>
          <cell r="L98">
            <v>2214.195112384547</v>
          </cell>
          <cell r="M98">
            <v>3.2551526669999999</v>
          </cell>
          <cell r="N98">
            <v>2521.8384426278244</v>
          </cell>
          <cell r="O98">
            <v>40.159179464000005</v>
          </cell>
          <cell r="P98">
            <v>6575.1520303111511</v>
          </cell>
          <cell r="Q98">
            <v>43552.951307133502</v>
          </cell>
        </row>
        <row r="100">
          <cell r="Q100">
            <v>8792.8342930903691</v>
          </cell>
        </row>
      </sheetData>
      <sheetData sheetId="1">
        <row r="15">
          <cell r="C15">
            <v>948.94986158500001</v>
          </cell>
          <cell r="D15">
            <v>288.991123077</v>
          </cell>
          <cell r="F15">
            <v>421.50850136699995</v>
          </cell>
          <cell r="I15">
            <v>12535.7189447409</v>
          </cell>
          <cell r="K15">
            <v>309.95981781017713</v>
          </cell>
        </row>
        <row r="16">
          <cell r="E16">
            <v>76.384173248999986</v>
          </cell>
          <cell r="G16">
            <v>1284.066356733761</v>
          </cell>
          <cell r="H16">
            <v>977.92717510988837</v>
          </cell>
        </row>
        <row r="17">
          <cell r="E17">
            <v>2.6184699880000002</v>
          </cell>
          <cell r="G17">
            <v>93.884051545999995</v>
          </cell>
          <cell r="H17">
            <v>3251.7277296488091</v>
          </cell>
        </row>
        <row r="18">
          <cell r="E18">
            <v>143.98702087300001</v>
          </cell>
          <cell r="G18">
            <v>1391.332309488309</v>
          </cell>
          <cell r="H18">
            <v>3654.3421720751312</v>
          </cell>
        </row>
        <row r="19">
          <cell r="E19">
            <v>0</v>
          </cell>
          <cell r="G19">
            <v>0</v>
          </cell>
          <cell r="H19">
            <v>0</v>
          </cell>
        </row>
        <row r="20">
          <cell r="I20">
            <v>0</v>
          </cell>
        </row>
        <row r="21">
          <cell r="I21">
            <v>421.51405299469855</v>
          </cell>
        </row>
        <row r="23">
          <cell r="C23">
            <v>206.04133383560998</v>
          </cell>
          <cell r="D23">
            <v>87.553286604090005</v>
          </cell>
          <cell r="F23">
            <v>326.22849479356313</v>
          </cell>
          <cell r="I23">
            <v>3247.8350914526682</v>
          </cell>
          <cell r="K23">
            <v>3737.5295858911104</v>
          </cell>
        </row>
        <row r="24">
          <cell r="E24">
            <v>60.542507730515439</v>
          </cell>
          <cell r="G24">
            <v>347.98155844694696</v>
          </cell>
          <cell r="H24">
            <v>128.30205931265613</v>
          </cell>
        </row>
        <row r="25">
          <cell r="E25">
            <v>2.1267799170000004</v>
          </cell>
          <cell r="G25">
            <v>24.58169793634913</v>
          </cell>
          <cell r="H25">
            <v>111.54590564703162</v>
          </cell>
        </row>
        <row r="26">
          <cell r="E26">
            <v>154.94100565302932</v>
          </cell>
          <cell r="G26">
            <v>820.92432894470289</v>
          </cell>
          <cell r="H26">
            <v>977.06613263117333</v>
          </cell>
        </row>
        <row r="27">
          <cell r="E27">
            <v>0</v>
          </cell>
          <cell r="G27">
            <v>0</v>
          </cell>
          <cell r="H27">
            <v>0</v>
          </cell>
        </row>
        <row r="28">
          <cell r="I28">
            <v>0</v>
          </cell>
        </row>
        <row r="29">
          <cell r="I29">
            <v>2.0590000000000002</v>
          </cell>
        </row>
      </sheetData>
      <sheetData sheetId="2">
        <row r="15">
          <cell r="AX15">
            <v>4173.9118639584058</v>
          </cell>
        </row>
        <row r="69">
          <cell r="AX69">
            <v>448.65272103585693</v>
          </cell>
        </row>
        <row r="86">
          <cell r="AX86">
            <v>0</v>
          </cell>
        </row>
        <row r="90">
          <cell r="AX90">
            <v>13.760150215000001</v>
          </cell>
        </row>
        <row r="105">
          <cell r="AX105">
            <v>130.35898688199998</v>
          </cell>
        </row>
        <row r="118">
          <cell r="AX118">
            <v>1.0334355740000001</v>
          </cell>
        </row>
        <row r="120">
          <cell r="AX120">
            <v>87.156670136000002</v>
          </cell>
        </row>
        <row r="122">
          <cell r="AX122">
            <v>3.4887926669999998</v>
          </cell>
        </row>
        <row r="130">
          <cell r="AX130">
            <v>156.90681666660416</v>
          </cell>
        </row>
        <row r="141">
          <cell r="AX141">
            <v>540.74713344212898</v>
          </cell>
        </row>
        <row r="170">
          <cell r="AX170">
            <v>1.4352689000000056E-2</v>
          </cell>
        </row>
        <row r="186">
          <cell r="D186">
            <v>848.29649023235629</v>
          </cell>
          <cell r="E186">
            <v>11.707396365698211</v>
          </cell>
          <cell r="F186">
            <v>0</v>
          </cell>
          <cell r="G186">
            <v>6.5439489229585703</v>
          </cell>
          <cell r="H186">
            <v>0.64103605144004894</v>
          </cell>
          <cell r="I186">
            <v>562.18849501299997</v>
          </cell>
          <cell r="J186">
            <v>58.795963623497293</v>
          </cell>
          <cell r="K186">
            <v>3004.4529004586038</v>
          </cell>
          <cell r="L186">
            <v>78.976144218044368</v>
          </cell>
          <cell r="M186">
            <v>15.625905428473915</v>
          </cell>
          <cell r="N186">
            <v>85.938399712243978</v>
          </cell>
          <cell r="O186">
            <v>1.0326911256279876</v>
          </cell>
          <cell r="P186">
            <v>12033.556736197717</v>
          </cell>
          <cell r="Q186">
            <v>99.774187544560078</v>
          </cell>
          <cell r="S186">
            <v>120.16875158053134</v>
          </cell>
          <cell r="T186">
            <v>1.1085144795000004</v>
          </cell>
          <cell r="U186">
            <v>1.0508380000000001E-3</v>
          </cell>
          <cell r="V186">
            <v>4.6331922942700006</v>
          </cell>
          <cell r="W186">
            <v>7.7033397000003602E-4</v>
          </cell>
          <cell r="X186">
            <v>896.9234487789189</v>
          </cell>
          <cell r="Y186">
            <v>5.232212567070003</v>
          </cell>
          <cell r="Z186">
            <v>464.0391671059964</v>
          </cell>
          <cell r="AA186">
            <v>13.645094770580144</v>
          </cell>
          <cell r="AB186">
            <v>0.13717014617906251</v>
          </cell>
          <cell r="AC186">
            <v>2.9898784530476199</v>
          </cell>
          <cell r="AD186">
            <v>-0.19714106588041444</v>
          </cell>
          <cell r="AE186">
            <v>822.1464090380083</v>
          </cell>
          <cell r="AF186">
            <v>17.572782658541843</v>
          </cell>
          <cell r="AI186">
            <v>20.190328514514416</v>
          </cell>
          <cell r="AJ186">
            <v>0</v>
          </cell>
          <cell r="AK186">
            <v>0</v>
          </cell>
          <cell r="AL186">
            <v>0</v>
          </cell>
          <cell r="AM186">
            <v>0</v>
          </cell>
          <cell r="AN186">
            <v>205.51116361735322</v>
          </cell>
          <cell r="AO186">
            <v>0</v>
          </cell>
          <cell r="AP186">
            <v>109.32666903978455</v>
          </cell>
          <cell r="AQ186">
            <v>1.0790339319380591E-2</v>
          </cell>
          <cell r="AR186">
            <v>0</v>
          </cell>
          <cell r="AS186">
            <v>1.277460781906231E-5</v>
          </cell>
          <cell r="AT186">
            <v>0</v>
          </cell>
          <cell r="AU186">
            <v>3540.0007702303251</v>
          </cell>
          <cell r="AV186">
            <v>0.98215315000000003</v>
          </cell>
          <cell r="AX186">
            <v>23031.953484538863</v>
          </cell>
        </row>
        <row r="187">
          <cell r="AX187">
            <v>510.86608111177321</v>
          </cell>
        </row>
        <row r="188">
          <cell r="AX188">
            <v>292.38566757270888</v>
          </cell>
        </row>
        <row r="189">
          <cell r="AX189">
            <v>5333.9736299232309</v>
          </cell>
        </row>
        <row r="190">
          <cell r="AX190">
            <v>186.73081975916242</v>
          </cell>
        </row>
        <row r="191">
          <cell r="AX191">
            <v>206.96677896879041</v>
          </cell>
        </row>
        <row r="192">
          <cell r="AX192">
            <v>495.18464950309533</v>
          </cell>
        </row>
        <row r="193">
          <cell r="AX193">
            <v>5586.5162457155429</v>
          </cell>
        </row>
        <row r="199">
          <cell r="AX199">
            <v>492.9097651369035</v>
          </cell>
        </row>
        <row r="200">
          <cell r="AX200">
            <v>19.191094961097289</v>
          </cell>
        </row>
        <row r="201">
          <cell r="AX201">
            <v>55.018615566634544</v>
          </cell>
        </row>
        <row r="202">
          <cell r="AX202">
            <v>0.48518091799999996</v>
          </cell>
        </row>
        <row r="203">
          <cell r="AX203">
            <v>136.810195843</v>
          </cell>
        </row>
        <row r="204">
          <cell r="AX204">
            <v>916.39610041908531</v>
          </cell>
        </row>
        <row r="229">
          <cell r="AX229">
            <v>552.81935595254151</v>
          </cell>
        </row>
        <row r="272">
          <cell r="D272">
            <v>7309.3531472318273</v>
          </cell>
          <cell r="E272">
            <v>187.7884724543772</v>
          </cell>
          <cell r="F272">
            <v>10.121295794000487</v>
          </cell>
          <cell r="G272">
            <v>413.42326896660262</v>
          </cell>
          <cell r="H272">
            <v>0.64552773782932094</v>
          </cell>
          <cell r="I272">
            <v>2169.6657275580001</v>
          </cell>
          <cell r="J272">
            <v>1690.7429273664784</v>
          </cell>
          <cell r="K272">
            <v>5143.0669599821431</v>
          </cell>
          <cell r="L272">
            <v>789.19807023566852</v>
          </cell>
          <cell r="M272">
            <v>15.627087945250334</v>
          </cell>
          <cell r="N272">
            <v>226.72469787839216</v>
          </cell>
          <cell r="O272">
            <v>1.5410864383585043</v>
          </cell>
          <cell r="P272">
            <v>12342.735535123895</v>
          </cell>
          <cell r="Q272">
            <v>724.90964617407826</v>
          </cell>
          <cell r="S272">
            <v>3228.3718371426489</v>
          </cell>
          <cell r="T272">
            <v>93.678209288303876</v>
          </cell>
          <cell r="U272">
            <v>0.101050838</v>
          </cell>
          <cell r="V272">
            <v>46.96480013559723</v>
          </cell>
          <cell r="W272">
            <v>7.7033397000003602E-4</v>
          </cell>
          <cell r="X272">
            <v>1002.621821840919</v>
          </cell>
          <cell r="Y272">
            <v>5.6101695360700035</v>
          </cell>
          <cell r="Z272">
            <v>711.79020686878323</v>
          </cell>
          <cell r="AA272">
            <v>14.166989636563564</v>
          </cell>
          <cell r="AB272">
            <v>-0.87964534854093757</v>
          </cell>
          <cell r="AC272">
            <v>3.8899655867091116</v>
          </cell>
          <cell r="AD272">
            <v>28.713230392945327</v>
          </cell>
          <cell r="AE272">
            <v>824.4376564680083</v>
          </cell>
          <cell r="AF272">
            <v>24.549635227278749</v>
          </cell>
          <cell r="AI272">
            <v>2074.9778982180974</v>
          </cell>
          <cell r="AJ272">
            <v>2.881525516650044E-2</v>
          </cell>
          <cell r="AK272">
            <v>-2.4625287991118534E-4</v>
          </cell>
          <cell r="AL272">
            <v>0.39624747560184964</v>
          </cell>
          <cell r="AM272">
            <v>4.5090237270081356E-4</v>
          </cell>
          <cell r="AN272">
            <v>452.4087338732536</v>
          </cell>
          <cell r="AO272">
            <v>106.71032274329529</v>
          </cell>
          <cell r="AP272">
            <v>136.16313775202644</v>
          </cell>
          <cell r="AQ272">
            <v>1.5435842070205994</v>
          </cell>
          <cell r="AR272">
            <v>0</v>
          </cell>
          <cell r="AS272">
            <v>0.19708225972081769</v>
          </cell>
          <cell r="AT272">
            <v>0</v>
          </cell>
          <cell r="AU272">
            <v>3759.6352073979688</v>
          </cell>
          <cell r="AV272">
            <v>11.32522575221012</v>
          </cell>
        </row>
      </sheetData>
      <sheetData sheetId="3">
        <row r="15">
          <cell r="AH15">
            <v>2586.482848496129</v>
          </cell>
        </row>
        <row r="69">
          <cell r="AH69">
            <v>787.8478310623841</v>
          </cell>
        </row>
        <row r="86">
          <cell r="AH86">
            <v>0</v>
          </cell>
        </row>
        <row r="90">
          <cell r="AH90">
            <v>0</v>
          </cell>
        </row>
        <row r="105">
          <cell r="AH105">
            <v>0</v>
          </cell>
        </row>
        <row r="118">
          <cell r="AH118">
            <v>1.1232360000000001E-3</v>
          </cell>
        </row>
        <row r="120">
          <cell r="AH120">
            <v>0</v>
          </cell>
        </row>
        <row r="122">
          <cell r="AH122">
            <v>0</v>
          </cell>
        </row>
        <row r="130">
          <cell r="AH130">
            <v>1037.1672730912685</v>
          </cell>
        </row>
        <row r="141">
          <cell r="AH141">
            <v>517.7694961166394</v>
          </cell>
        </row>
        <row r="170">
          <cell r="AH170">
            <v>74.481608212300017</v>
          </cell>
        </row>
        <row r="186">
          <cell r="D186">
            <v>577.13546119011005</v>
          </cell>
          <cell r="E186">
            <v>67.247785325999999</v>
          </cell>
          <cell r="F186">
            <v>0</v>
          </cell>
          <cell r="G186">
            <v>0</v>
          </cell>
          <cell r="H186">
            <v>0</v>
          </cell>
          <cell r="I186">
            <v>825.21692224499998</v>
          </cell>
          <cell r="J186">
            <v>8.6619665050000005</v>
          </cell>
          <cell r="K186">
            <v>2809.2757322164898</v>
          </cell>
          <cell r="L186">
            <v>3.404035672803567</v>
          </cell>
          <cell r="M186">
            <v>3.3101356604580001</v>
          </cell>
          <cell r="N186">
            <v>2.4900543858034503</v>
          </cell>
          <cell r="O186">
            <v>54.178414171868098</v>
          </cell>
          <cell r="P186">
            <v>9610.8438984659097</v>
          </cell>
          <cell r="Q186">
            <v>6.8831543814050482</v>
          </cell>
          <cell r="S186">
            <v>1852.2852936042559</v>
          </cell>
          <cell r="T186">
            <v>7.7761709073903811</v>
          </cell>
          <cell r="U186">
            <v>4.9620000000000118E-5</v>
          </cell>
          <cell r="V186">
            <v>14.985565548241</v>
          </cell>
          <cell r="W186">
            <v>3.8566232999999998E-2</v>
          </cell>
          <cell r="X186">
            <v>6024.442278978403</v>
          </cell>
          <cell r="Y186">
            <v>7.6678891880409141</v>
          </cell>
          <cell r="Z186">
            <v>2462.9891751467785</v>
          </cell>
          <cell r="AA186">
            <v>180.4967221994242</v>
          </cell>
          <cell r="AB186">
            <v>-0.92792295823899207</v>
          </cell>
          <cell r="AC186">
            <v>29.477307549007676</v>
          </cell>
          <cell r="AD186">
            <v>-0.1217232027595421</v>
          </cell>
          <cell r="AE186">
            <v>3552.2434397859306</v>
          </cell>
          <cell r="AF186">
            <v>116.05989074026297</v>
          </cell>
          <cell r="AH186">
            <v>28216.060263560586</v>
          </cell>
        </row>
        <row r="187">
          <cell r="AH187">
            <v>0</v>
          </cell>
        </row>
        <row r="188">
          <cell r="AH188">
            <v>147.09520190282282</v>
          </cell>
        </row>
        <row r="189">
          <cell r="AH189">
            <v>2474.2320414421738</v>
          </cell>
        </row>
        <row r="190">
          <cell r="AH190">
            <v>546.46914749275891</v>
          </cell>
        </row>
        <row r="191">
          <cell r="AH191">
            <v>946.2650559250244</v>
          </cell>
        </row>
        <row r="192">
          <cell r="AH192">
            <v>2229.5136539963451</v>
          </cell>
        </row>
        <row r="193">
          <cell r="AH193">
            <v>2525.0352939253285</v>
          </cell>
        </row>
        <row r="199">
          <cell r="AH199">
            <v>86.046128503319039</v>
          </cell>
        </row>
        <row r="200">
          <cell r="AH200">
            <v>1.5156655909999999</v>
          </cell>
        </row>
        <row r="201">
          <cell r="AH201">
            <v>0</v>
          </cell>
        </row>
        <row r="202">
          <cell r="AH202">
            <v>0.05</v>
          </cell>
        </row>
        <row r="203">
          <cell r="AH203">
            <v>3.8623031650000001</v>
          </cell>
        </row>
        <row r="204">
          <cell r="AH204">
            <v>915.75087671014478</v>
          </cell>
        </row>
        <row r="229">
          <cell r="AH229">
            <v>305.30920651969018</v>
          </cell>
        </row>
        <row r="272">
          <cell r="D272">
            <v>1695.6955012872002</v>
          </cell>
          <cell r="E272">
            <v>139.22118715905441</v>
          </cell>
          <cell r="F272">
            <v>70.102847838999992</v>
          </cell>
          <cell r="G272">
            <v>10.064707123584091</v>
          </cell>
          <cell r="H272">
            <v>0.79253861800000003</v>
          </cell>
          <cell r="I272">
            <v>825.21569017000002</v>
          </cell>
          <cell r="J272">
            <v>66.265794643000007</v>
          </cell>
          <cell r="K272">
            <v>5638.3220635023918</v>
          </cell>
          <cell r="L272">
            <v>456.67970590595172</v>
          </cell>
          <cell r="M272">
            <v>3.3101356604580001</v>
          </cell>
          <cell r="N272">
            <v>358.87288733613889</v>
          </cell>
          <cell r="O272">
            <v>84.750275022065651</v>
          </cell>
          <cell r="P272">
            <v>9739.2796113254935</v>
          </cell>
          <cell r="Q272">
            <v>1279.3954105485484</v>
          </cell>
          <cell r="S272">
            <v>4134.1125232249915</v>
          </cell>
          <cell r="T272">
            <v>188.10459062169781</v>
          </cell>
          <cell r="U272">
            <v>1.466983284895194</v>
          </cell>
          <cell r="V272">
            <v>29.618870904624227</v>
          </cell>
          <cell r="W272">
            <v>0.34640445260471225</v>
          </cell>
          <cell r="X272">
            <v>6068.3538444554024</v>
          </cell>
          <cell r="Y272">
            <v>986.59591765849939</v>
          </cell>
          <cell r="Z272">
            <v>7624.9854035519911</v>
          </cell>
          <cell r="AA272">
            <v>360.07443024747698</v>
          </cell>
          <cell r="AB272">
            <v>-0.96711198362649198</v>
          </cell>
          <cell r="AC272">
            <v>95.64763481086581</v>
          </cell>
          <cell r="AD272">
            <v>0.33329965166858694</v>
          </cell>
          <cell r="AE272">
            <v>3561.9754577409303</v>
          </cell>
          <cell r="AF272">
            <v>134.35689457473819</v>
          </cell>
          <cell r="AH272">
            <v>43552.973499337655</v>
          </cell>
        </row>
      </sheetData>
      <sheetData sheetId="4">
        <row r="14">
          <cell r="D14">
            <v>20551.409431749071</v>
          </cell>
          <cell r="G14">
            <v>20194.790406196629</v>
          </cell>
        </row>
        <row r="16">
          <cell r="D16">
            <v>18603.691866007353</v>
          </cell>
          <cell r="G16">
            <v>19093.04505046393</v>
          </cell>
        </row>
        <row r="17">
          <cell r="D17">
            <v>691.59567959991637</v>
          </cell>
          <cell r="G17">
            <v>494.21463742429188</v>
          </cell>
        </row>
        <row r="18">
          <cell r="D18">
            <v>24.969129230779743</v>
          </cell>
          <cell r="G18">
            <v>73.912834872692201</v>
          </cell>
        </row>
        <row r="19">
          <cell r="D19">
            <v>30.90021257325429</v>
          </cell>
          <cell r="G19">
            <v>86.222693828645191</v>
          </cell>
        </row>
        <row r="20">
          <cell r="D20">
            <v>1086.5039501301724</v>
          </cell>
          <cell r="G20">
            <v>1144.0034868196858</v>
          </cell>
        </row>
        <row r="21">
          <cell r="D21">
            <v>584.96267545833848</v>
          </cell>
          <cell r="G21">
            <v>142.52762257172611</v>
          </cell>
        </row>
        <row r="22">
          <cell r="D22">
            <v>1681.8850046402551</v>
          </cell>
          <cell r="G22">
            <v>2153.0864167481491</v>
          </cell>
        </row>
        <row r="23">
          <cell r="D23">
            <v>296.88131795283925</v>
          </cell>
          <cell r="G23">
            <v>171.1252829240577</v>
          </cell>
        </row>
        <row r="24">
          <cell r="G24">
            <v>43552.92843184981</v>
          </cell>
        </row>
      </sheetData>
      <sheetData sheetId="5">
        <row r="11">
          <cell r="D11">
            <v>5363.2892695501778</v>
          </cell>
        </row>
        <row r="56">
          <cell r="D56">
            <v>6103.4631160232075</v>
          </cell>
        </row>
        <row r="57">
          <cell r="D57">
            <v>3093.8592211611513</v>
          </cell>
        </row>
        <row r="58">
          <cell r="D58">
            <v>97.225197071025647</v>
          </cell>
        </row>
        <row r="59">
          <cell r="D59">
            <v>212.96984374498405</v>
          </cell>
        </row>
        <row r="60">
          <cell r="D60">
            <v>1813.9488949115157</v>
          </cell>
        </row>
        <row r="61">
          <cell r="D61">
            <v>126.52311999544074</v>
          </cell>
        </row>
        <row r="62">
          <cell r="D62">
            <v>758.93683913909035</v>
          </cell>
        </row>
        <row r="63">
          <cell r="D63">
            <v>1010.7537151857915</v>
          </cell>
        </row>
        <row r="66">
          <cell r="D66">
            <v>12477.506100759178</v>
          </cell>
        </row>
      </sheetData>
      <sheetData sheetId="6"/>
      <sheetData sheetId="7"/>
      <sheetData sheetId="8"/>
      <sheetData sheetId="9"/>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14">
          <cell r="C14">
            <v>3.9802399789999998</v>
          </cell>
          <cell r="D14">
            <v>16.86442411498</v>
          </cell>
          <cell r="E14">
            <v>0</v>
          </cell>
          <cell r="F14">
            <v>809.3</v>
          </cell>
          <cell r="G14">
            <v>0</v>
          </cell>
          <cell r="H14">
            <v>1.2500000000000001E-6</v>
          </cell>
          <cell r="I14">
            <v>0</v>
          </cell>
          <cell r="J14">
            <v>0</v>
          </cell>
          <cell r="K14">
            <v>1.3971129799999999E-4</v>
          </cell>
          <cell r="L14">
            <v>151.09996706152299</v>
          </cell>
          <cell r="M14">
            <v>0</v>
          </cell>
          <cell r="N14">
            <v>303.89999999999998</v>
          </cell>
          <cell r="O14">
            <v>0</v>
          </cell>
          <cell r="P14">
            <v>4291.8700903312647</v>
          </cell>
        </row>
        <row r="18">
          <cell r="C18">
            <v>13.859434691882326</v>
          </cell>
          <cell r="D18">
            <v>2048.1279716754948</v>
          </cell>
          <cell r="E18">
            <v>3.5947867703644568E-2</v>
          </cell>
          <cell r="F18">
            <v>2162.9859970197313</v>
          </cell>
          <cell r="G18">
            <v>15.000014987067001</v>
          </cell>
          <cell r="H18">
            <v>53.838701846035093</v>
          </cell>
          <cell r="I18">
            <v>0</v>
          </cell>
          <cell r="J18">
            <v>566.09716918937693</v>
          </cell>
          <cell r="K18">
            <v>2.758176905198939E-4</v>
          </cell>
          <cell r="L18">
            <v>3027.3495911216423</v>
          </cell>
          <cell r="M18">
            <v>66.845592414048937</v>
          </cell>
          <cell r="N18">
            <v>7323.326961134775</v>
          </cell>
          <cell r="O18">
            <v>4.7061385374519892E-2</v>
          </cell>
          <cell r="P18">
            <v>15091.805922043079</v>
          </cell>
        </row>
        <row r="22">
          <cell r="E22">
            <v>1.2656802441772945</v>
          </cell>
          <cell r="F22">
            <v>351.50006616267012</v>
          </cell>
          <cell r="G22">
            <v>45.46514006404454</v>
          </cell>
          <cell r="H22">
            <v>438.25528100300113</v>
          </cell>
          <cell r="I22">
            <v>0.32417225198938998</v>
          </cell>
          <cell r="J22">
            <v>163.94102086871149</v>
          </cell>
          <cell r="K22">
            <v>11.991161413268298</v>
          </cell>
          <cell r="L22">
            <v>7428.7451077332489</v>
          </cell>
          <cell r="M22">
            <v>0.27654324012761278</v>
          </cell>
          <cell r="N22">
            <v>4301.4842960651167</v>
          </cell>
          <cell r="O22">
            <v>54.225519212580828</v>
          </cell>
          <cell r="P22">
            <v>9490.4254152837366</v>
          </cell>
        </row>
        <row r="23">
          <cell r="C23">
            <v>1.1280037062084325</v>
          </cell>
          <cell r="D23">
            <v>42.686250242545469</v>
          </cell>
        </row>
        <row r="24">
          <cell r="C24">
            <v>0.11409755803755968</v>
          </cell>
          <cell r="D24">
            <v>62.262214700040005</v>
          </cell>
        </row>
        <row r="25">
          <cell r="C25">
            <v>6.2218251115671954</v>
          </cell>
          <cell r="D25">
            <v>70.435247393908824</v>
          </cell>
        </row>
        <row r="26">
          <cell r="C26">
            <v>144.87767520369863</v>
          </cell>
          <cell r="D26">
            <v>303.53345531856723</v>
          </cell>
        </row>
        <row r="27">
          <cell r="C27">
            <v>58.72055000727088</v>
          </cell>
          <cell r="D27">
            <v>384.89809090749327</v>
          </cell>
        </row>
        <row r="28">
          <cell r="C28">
            <v>35.11963751730768</v>
          </cell>
          <cell r="D28">
            <v>123.25381700039783</v>
          </cell>
        </row>
        <row r="29">
          <cell r="C29">
            <v>44.316201744482754</v>
          </cell>
          <cell r="D29">
            <v>10.208870060424404</v>
          </cell>
        </row>
        <row r="30">
          <cell r="C30">
            <v>0</v>
          </cell>
          <cell r="D30">
            <v>1454.8639180891601</v>
          </cell>
          <cell r="E30">
            <v>0</v>
          </cell>
          <cell r="F30">
            <v>0</v>
          </cell>
          <cell r="G30">
            <v>0</v>
          </cell>
          <cell r="H30">
            <v>0</v>
          </cell>
          <cell r="I30">
            <v>0</v>
          </cell>
          <cell r="J30">
            <v>0</v>
          </cell>
          <cell r="K30">
            <v>0</v>
          </cell>
          <cell r="L30">
            <v>0</v>
          </cell>
          <cell r="M30">
            <v>0</v>
          </cell>
          <cell r="N30">
            <v>1.286154952E-2</v>
          </cell>
          <cell r="O30">
            <v>0</v>
          </cell>
          <cell r="P30">
            <v>0</v>
          </cell>
        </row>
        <row r="31">
          <cell r="C31">
            <v>0</v>
          </cell>
          <cell r="D31">
            <v>353.87146427194398</v>
          </cell>
          <cell r="E31">
            <v>0</v>
          </cell>
          <cell r="F31">
            <v>18.39375927499</v>
          </cell>
          <cell r="G31">
            <v>0</v>
          </cell>
          <cell r="H31">
            <v>25.755405097959997</v>
          </cell>
          <cell r="I31">
            <v>0</v>
          </cell>
          <cell r="J31">
            <v>1.3693808299899999</v>
          </cell>
          <cell r="K31">
            <v>0</v>
          </cell>
          <cell r="L31">
            <v>119.560968909062</v>
          </cell>
          <cell r="M31">
            <v>2.2313999999999998E-4</v>
          </cell>
          <cell r="N31">
            <v>67.449473164642995</v>
          </cell>
          <cell r="O31">
            <v>0</v>
          </cell>
          <cell r="P31">
            <v>1268.244249826289</v>
          </cell>
        </row>
        <row r="32">
          <cell r="E32"/>
          <cell r="F32"/>
          <cell r="G32"/>
          <cell r="H32"/>
          <cell r="I32"/>
          <cell r="J32"/>
          <cell r="K32"/>
          <cell r="L32"/>
          <cell r="M32"/>
          <cell r="N32"/>
          <cell r="O32">
            <v>21.223342174999999</v>
          </cell>
          <cell r="P32">
            <v>781.11410825999008</v>
          </cell>
        </row>
        <row r="33">
          <cell r="C33">
            <v>879.72912728159122</v>
          </cell>
          <cell r="D33">
            <v>4056.6306763668799</v>
          </cell>
          <cell r="E33">
            <v>0.8</v>
          </cell>
          <cell r="F33">
            <v>76.400000000000006</v>
          </cell>
          <cell r="G33">
            <v>0</v>
          </cell>
          <cell r="H33">
            <v>218.84262433998998</v>
          </cell>
          <cell r="I33">
            <v>0</v>
          </cell>
          <cell r="J33">
            <v>420.85024834000001</v>
          </cell>
          <cell r="K33">
            <v>0</v>
          </cell>
          <cell r="L33">
            <v>12262.285837313406</v>
          </cell>
          <cell r="M33">
            <v>1.3</v>
          </cell>
          <cell r="N33">
            <v>7850.6751031589565</v>
          </cell>
          <cell r="O33">
            <v>0.86683810510600001</v>
          </cell>
          <cell r="P33">
            <v>25725.360958365687</v>
          </cell>
        </row>
        <row r="34">
          <cell r="C34">
            <v>101.68326897167083</v>
          </cell>
          <cell r="D34">
            <v>2052.6304712442993</v>
          </cell>
          <cell r="E34">
            <v>0</v>
          </cell>
          <cell r="F34">
            <v>977.53602425000008</v>
          </cell>
          <cell r="G34">
            <v>15.383673474801062</v>
          </cell>
          <cell r="H34">
            <v>10.949883</v>
          </cell>
          <cell r="I34">
            <v>0</v>
          </cell>
          <cell r="J34">
            <v>18.254905399999998</v>
          </cell>
          <cell r="K34">
            <v>0</v>
          </cell>
          <cell r="L34">
            <v>1997.3204919499999</v>
          </cell>
          <cell r="M34">
            <v>0</v>
          </cell>
          <cell r="N34">
            <v>37.12014645</v>
          </cell>
          <cell r="O34">
            <v>-1.2</v>
          </cell>
          <cell r="P34">
            <v>2938.172985437523</v>
          </cell>
        </row>
        <row r="36">
          <cell r="C36">
            <v>71.215481430602878</v>
          </cell>
          <cell r="D36">
            <v>613.00479388595375</v>
          </cell>
          <cell r="E36">
            <v>0</v>
          </cell>
          <cell r="F36">
            <v>356.06068603097651</v>
          </cell>
          <cell r="G36">
            <v>10.774198389025802</v>
          </cell>
          <cell r="H36">
            <v>0</v>
          </cell>
          <cell r="I36">
            <v>0</v>
          </cell>
          <cell r="J36">
            <v>2.1099974812000002E-3</v>
          </cell>
          <cell r="K36">
            <v>0.55203050566099998</v>
          </cell>
          <cell r="L36">
            <v>2220.8797552368892</v>
          </cell>
          <cell r="M36">
            <v>0</v>
          </cell>
          <cell r="N36">
            <v>49.527128281499103</v>
          </cell>
          <cell r="O36">
            <v>0</v>
          </cell>
          <cell r="P36">
            <v>1072.3813371937381</v>
          </cell>
        </row>
        <row r="37">
          <cell r="C37">
            <v>215.1227850002735</v>
          </cell>
          <cell r="D37">
            <v>1392.5311242164958</v>
          </cell>
          <cell r="E37">
            <v>0</v>
          </cell>
          <cell r="F37">
            <v>0.1</v>
          </cell>
          <cell r="G37">
            <v>0</v>
          </cell>
          <cell r="H37">
            <v>0</v>
          </cell>
          <cell r="I37">
            <v>0</v>
          </cell>
          <cell r="J37">
            <v>0.1</v>
          </cell>
          <cell r="K37">
            <v>4.6117009897000003E-2</v>
          </cell>
          <cell r="L37">
            <v>20.367670624296014</v>
          </cell>
          <cell r="M37">
            <v>0.30002493423599996</v>
          </cell>
          <cell r="N37">
            <v>82.376490088538986</v>
          </cell>
          <cell r="O37">
            <v>1.100024968719</v>
          </cell>
          <cell r="P37">
            <v>388.55661718568206</v>
          </cell>
        </row>
        <row r="38">
          <cell r="C38">
            <v>1576.0883282035938</v>
          </cell>
          <cell r="D38">
            <v>12985.802789488585</v>
          </cell>
          <cell r="E38">
            <v>2.101628111880939</v>
          </cell>
          <cell r="F38">
            <v>4752.2765327383677</v>
          </cell>
          <cell r="G38">
            <v>86.623026914938393</v>
          </cell>
          <cell r="H38">
            <v>747.64189653698622</v>
          </cell>
          <cell r="I38">
            <v>0.32417225198938998</v>
          </cell>
          <cell r="J38">
            <v>1170.6148346255598</v>
          </cell>
          <cell r="K38">
            <v>12.589724457814816</v>
          </cell>
          <cell r="L38">
            <v>27227.609389950063</v>
          </cell>
          <cell r="M38">
            <v>68.722383728412552</v>
          </cell>
          <cell r="N38">
            <v>20015.872459893049</v>
          </cell>
          <cell r="O38">
            <v>76.262785846780332</v>
          </cell>
          <cell r="P38">
            <v>61047.931683926996</v>
          </cell>
          <cell r="Q38">
            <v>129770.461636675</v>
          </cell>
        </row>
        <row r="40">
          <cell r="Q40">
            <v>26125.566754999083</v>
          </cell>
        </row>
        <row r="68">
          <cell r="C68">
            <v>0.15188363105317329</v>
          </cell>
          <cell r="D68">
            <v>0.24818057000000002</v>
          </cell>
        </row>
        <row r="69">
          <cell r="C69">
            <v>197.95685133725729</v>
          </cell>
          <cell r="D69">
            <v>-5.0000000000000002E-11</v>
          </cell>
          <cell r="E69">
            <v>0</v>
          </cell>
          <cell r="F69">
            <v>0</v>
          </cell>
          <cell r="G69">
            <v>0</v>
          </cell>
          <cell r="H69">
            <v>0</v>
          </cell>
          <cell r="I69">
            <v>0</v>
          </cell>
          <cell r="J69">
            <v>0</v>
          </cell>
          <cell r="K69">
            <v>0</v>
          </cell>
          <cell r="L69">
            <v>0</v>
          </cell>
          <cell r="M69">
            <v>0</v>
          </cell>
          <cell r="N69">
            <v>0</v>
          </cell>
          <cell r="O69">
            <v>0</v>
          </cell>
          <cell r="P69">
            <v>0</v>
          </cell>
        </row>
        <row r="72">
          <cell r="C72">
            <v>475.50600046854146</v>
          </cell>
          <cell r="D72">
            <v>3597.8643467900829</v>
          </cell>
          <cell r="E72">
            <v>6.5580480106100791E-2</v>
          </cell>
          <cell r="F72">
            <v>1725.8849148320933</v>
          </cell>
          <cell r="G72">
            <v>0</v>
          </cell>
          <cell r="H72">
            <v>598.16537774117865</v>
          </cell>
          <cell r="I72">
            <v>0</v>
          </cell>
          <cell r="J72">
            <v>2510.938999374654</v>
          </cell>
          <cell r="K72">
            <v>2.2346182492572948E-3</v>
          </cell>
          <cell r="L72">
            <v>1682.3772497857353</v>
          </cell>
          <cell r="M72">
            <v>8.0920000000000006E-9</v>
          </cell>
          <cell r="N72">
            <v>3045.2484447791239</v>
          </cell>
          <cell r="O72">
            <v>5.3042412877984085E-5</v>
          </cell>
          <cell r="P72">
            <v>7761.1878416055069</v>
          </cell>
        </row>
        <row r="76">
          <cell r="E76">
            <v>0.2</v>
          </cell>
          <cell r="F76">
            <v>345.54121410253197</v>
          </cell>
          <cell r="G76">
            <v>0</v>
          </cell>
          <cell r="H76">
            <v>2219.2804651329589</v>
          </cell>
          <cell r="I76">
            <v>0</v>
          </cell>
          <cell r="J76">
            <v>698.99979929486392</v>
          </cell>
          <cell r="K76">
            <v>9.9999999999999998E-13</v>
          </cell>
          <cell r="L76">
            <v>3387.5614663660481</v>
          </cell>
          <cell r="M76">
            <v>9.9999999999999998E-13</v>
          </cell>
          <cell r="N76">
            <v>5714.5040226990368</v>
          </cell>
          <cell r="O76">
            <v>2.6000000000000001E-11</v>
          </cell>
          <cell r="P76">
            <v>25263.946923144515</v>
          </cell>
        </row>
        <row r="77">
          <cell r="C77">
            <v>0</v>
          </cell>
          <cell r="D77">
            <v>1303.4141120070099</v>
          </cell>
        </row>
        <row r="78">
          <cell r="C78">
            <v>0</v>
          </cell>
          <cell r="D78">
            <v>0</v>
          </cell>
        </row>
        <row r="79">
          <cell r="C79">
            <v>-1.5650000000000001E-9</v>
          </cell>
          <cell r="D79">
            <v>374.91854714400898</v>
          </cell>
        </row>
        <row r="80">
          <cell r="C80">
            <v>0</v>
          </cell>
          <cell r="D80">
            <v>1676.0057950969001</v>
          </cell>
        </row>
        <row r="81">
          <cell r="C81">
            <v>18.868791836000998</v>
          </cell>
          <cell r="D81">
            <v>947.55389718106801</v>
          </cell>
        </row>
        <row r="82">
          <cell r="C82">
            <v>7.9419005970678231</v>
          </cell>
          <cell r="D82">
            <v>122.93553364005099</v>
          </cell>
        </row>
        <row r="83">
          <cell r="C83">
            <v>0</v>
          </cell>
          <cell r="D83">
            <v>8.6999999999999993</v>
          </cell>
        </row>
        <row r="84">
          <cell r="E84">
            <v>2.6525199999999998E-3</v>
          </cell>
          <cell r="F84">
            <v>417.91635995173721</v>
          </cell>
          <cell r="G84">
            <v>0</v>
          </cell>
          <cell r="H84">
            <v>900.35625907119368</v>
          </cell>
          <cell r="I84">
            <v>0</v>
          </cell>
          <cell r="J84">
            <v>175.2734802735645</v>
          </cell>
          <cell r="K84">
            <v>0</v>
          </cell>
          <cell r="L84">
            <v>2649.5946051710998</v>
          </cell>
          <cell r="M84">
            <v>0</v>
          </cell>
          <cell r="N84">
            <v>1405.5455352214676</v>
          </cell>
          <cell r="O84">
            <v>0</v>
          </cell>
          <cell r="P84">
            <v>15388.068015746529</v>
          </cell>
        </row>
        <row r="86">
          <cell r="C86">
            <v>309.75181959030544</v>
          </cell>
          <cell r="D86">
            <v>2307.8402183135404</v>
          </cell>
        </row>
        <row r="89">
          <cell r="C89">
            <v>0</v>
          </cell>
          <cell r="D89">
            <v>1667.9799344794781</v>
          </cell>
        </row>
        <row r="92">
          <cell r="C92">
            <v>483.88805158873851</v>
          </cell>
          <cell r="D92">
            <v>327.06540003000003</v>
          </cell>
        </row>
        <row r="93">
          <cell r="C93">
            <v>-3.4000167642999998E-2</v>
          </cell>
          <cell r="D93">
            <v>595.16904794379002</v>
          </cell>
          <cell r="E93">
            <v>0</v>
          </cell>
          <cell r="F93">
            <v>17.453259859799996</v>
          </cell>
          <cell r="G93">
            <v>0</v>
          </cell>
          <cell r="H93">
            <v>1.0962964420099999</v>
          </cell>
          <cell r="I93">
            <v>0</v>
          </cell>
          <cell r="J93">
            <v>5.3976906499199995</v>
          </cell>
          <cell r="K93">
            <v>0</v>
          </cell>
          <cell r="L93">
            <v>516.93396225886306</v>
          </cell>
          <cell r="M93">
            <v>2.264882E-2</v>
          </cell>
          <cell r="N93">
            <v>14.150756843663</v>
          </cell>
          <cell r="O93">
            <v>0</v>
          </cell>
          <cell r="P93">
            <v>888.39796831802414</v>
          </cell>
        </row>
        <row r="94">
          <cell r="E94"/>
          <cell r="F94"/>
          <cell r="G94"/>
          <cell r="H94"/>
          <cell r="I94"/>
          <cell r="J94"/>
          <cell r="K94"/>
          <cell r="L94"/>
          <cell r="M94"/>
          <cell r="N94"/>
          <cell r="O94">
            <v>0</v>
          </cell>
          <cell r="P94">
            <v>403.35897247027305</v>
          </cell>
        </row>
        <row r="95">
          <cell r="C95">
            <v>1406.3261571678329</v>
          </cell>
          <cell r="D95">
            <v>4083.2364784148258</v>
          </cell>
          <cell r="E95">
            <v>0.1</v>
          </cell>
          <cell r="F95">
            <v>52.261220280000003</v>
          </cell>
          <cell r="G95">
            <v>0</v>
          </cell>
          <cell r="H95">
            <v>154.87959168128799</v>
          </cell>
          <cell r="I95">
            <v>0.1</v>
          </cell>
          <cell r="J95">
            <v>2.2000000000000002</v>
          </cell>
          <cell r="K95">
            <v>0</v>
          </cell>
          <cell r="L95">
            <v>5536.8845539780814</v>
          </cell>
          <cell r="M95">
            <v>0</v>
          </cell>
          <cell r="N95">
            <v>1850.3625819955425</v>
          </cell>
          <cell r="O95">
            <v>64.432691660000003</v>
          </cell>
          <cell r="P95">
            <v>20877.356730306819</v>
          </cell>
        </row>
        <row r="96">
          <cell r="C96">
            <v>83.179497275483186</v>
          </cell>
          <cell r="D96">
            <v>74.568815989000001</v>
          </cell>
        </row>
        <row r="97">
          <cell r="C97">
            <v>673.59420741617237</v>
          </cell>
          <cell r="D97">
            <v>1457.0699382693392</v>
          </cell>
          <cell r="E97">
            <v>7.8051900397877974E-2</v>
          </cell>
          <cell r="F97">
            <v>60.657850666498668</v>
          </cell>
          <cell r="G97">
            <v>0.31708569761273203</v>
          </cell>
          <cell r="H97">
            <v>4.5568201431782489</v>
          </cell>
          <cell r="I97">
            <v>3.5809018567639259E-4</v>
          </cell>
          <cell r="J97">
            <v>3.6</v>
          </cell>
          <cell r="K97">
            <v>1.7507156738793099E-2</v>
          </cell>
          <cell r="L97">
            <v>124.47280061435077</v>
          </cell>
          <cell r="M97">
            <v>0.63027008222811665</v>
          </cell>
          <cell r="N97">
            <v>131.07802394954177</v>
          </cell>
          <cell r="O97">
            <v>2.7123366047745352E-2</v>
          </cell>
          <cell r="P97">
            <v>967.30437320247188</v>
          </cell>
        </row>
        <row r="98">
          <cell r="C98">
            <v>3657.1311607392454</v>
          </cell>
          <cell r="D98">
            <v>18544.570245869047</v>
          </cell>
          <cell r="E98">
            <v>0.44628490050397879</v>
          </cell>
          <cell r="F98">
            <v>2619.714819692661</v>
          </cell>
          <cell r="G98">
            <v>0.31708569761273203</v>
          </cell>
          <cell r="H98">
            <v>3878.3348102118071</v>
          </cell>
          <cell r="I98">
            <v>0.1003580901856764</v>
          </cell>
          <cell r="J98">
            <v>3396.4099695930022</v>
          </cell>
          <cell r="K98">
            <v>1.9741774989050394E-2</v>
          </cell>
          <cell r="L98">
            <v>13897.824638174177</v>
          </cell>
          <cell r="M98">
            <v>0.6529189103211166</v>
          </cell>
          <cell r="N98">
            <v>12160.889365488374</v>
          </cell>
          <cell r="O98">
            <v>64.459868068486628</v>
          </cell>
          <cell r="P98">
            <v>71549.620824794139</v>
          </cell>
          <cell r="Q98">
            <v>129770.49209200454</v>
          </cell>
        </row>
        <row r="100">
          <cell r="Q100">
            <v>26561.349801618082</v>
          </cell>
        </row>
      </sheetData>
      <sheetData sheetId="1"/>
      <sheetData sheetId="2">
        <row r="15">
          <cell r="AX15">
            <v>30268.989993330008</v>
          </cell>
        </row>
        <row r="69">
          <cell r="AX69">
            <v>10288.708549635641</v>
          </cell>
        </row>
        <row r="86">
          <cell r="AX86">
            <v>0</v>
          </cell>
        </row>
        <row r="90">
          <cell r="AX90">
            <v>16.77</v>
          </cell>
        </row>
        <row r="105">
          <cell r="AX105">
            <v>0</v>
          </cell>
        </row>
        <row r="118">
          <cell r="AX118">
            <v>0</v>
          </cell>
        </row>
        <row r="120">
          <cell r="AX120">
            <v>7.5181583493E-3</v>
          </cell>
        </row>
        <row r="122">
          <cell r="AX122">
            <v>1542.9141930017611</v>
          </cell>
        </row>
        <row r="130">
          <cell r="AX130">
            <v>1355.736516479074</v>
          </cell>
        </row>
        <row r="141">
          <cell r="AX141">
            <v>696.6294135611563</v>
          </cell>
        </row>
        <row r="170">
          <cell r="AX170">
            <v>9.9999999999999992E-2</v>
          </cell>
        </row>
        <row r="186">
          <cell r="AX186">
            <v>14561.857571208064</v>
          </cell>
        </row>
        <row r="187">
          <cell r="AX187">
            <v>351.18471503000001</v>
          </cell>
        </row>
        <row r="188">
          <cell r="AX188">
            <v>61.934436479989998</v>
          </cell>
        </row>
        <row r="189">
          <cell r="AX189">
            <v>4754.4341105781377</v>
          </cell>
        </row>
        <row r="190">
          <cell r="AX190">
            <v>834.25492345198461</v>
          </cell>
        </row>
        <row r="191">
          <cell r="AX191">
            <v>1170.9371315900216</v>
          </cell>
        </row>
        <row r="192">
          <cell r="AX192">
            <v>27240.176739854429</v>
          </cell>
        </row>
        <row r="193">
          <cell r="AX193">
            <v>20084.628834614625</v>
          </cell>
        </row>
        <row r="199">
          <cell r="AX199">
            <v>3477.0073569301649</v>
          </cell>
        </row>
        <row r="200">
          <cell r="AX200">
            <v>79.097565687042703</v>
          </cell>
        </row>
        <row r="201">
          <cell r="AX201">
            <v>69.826333717215405</v>
          </cell>
        </row>
        <row r="202">
          <cell r="AX202">
            <v>320.26400631108754</v>
          </cell>
        </row>
        <row r="203">
          <cell r="AX203">
            <v>8.566397061344901</v>
          </cell>
        </row>
        <row r="204">
          <cell r="AX204">
            <v>8852.1766665966352</v>
          </cell>
        </row>
        <row r="229">
          <cell r="AX229">
            <v>2732.4904727745461</v>
          </cell>
        </row>
      </sheetData>
      <sheetData sheetId="3">
        <row r="15">
          <cell r="AH15">
            <v>36760.023597943698</v>
          </cell>
        </row>
        <row r="69">
          <cell r="AH69">
            <v>5092.8344371579979</v>
          </cell>
        </row>
        <row r="86">
          <cell r="AH86">
            <v>0</v>
          </cell>
        </row>
        <row r="90">
          <cell r="AH90">
            <v>0</v>
          </cell>
        </row>
        <row r="105">
          <cell r="AH105">
            <v>0</v>
          </cell>
        </row>
        <row r="118">
          <cell r="AH118">
            <v>0</v>
          </cell>
        </row>
        <row r="120">
          <cell r="AH120">
            <v>0</v>
          </cell>
        </row>
        <row r="122">
          <cell r="AH122">
            <v>1287.659244428213</v>
          </cell>
        </row>
        <row r="130">
          <cell r="AH130">
            <v>8429.1971902302248</v>
          </cell>
        </row>
        <row r="141">
          <cell r="AH141">
            <v>4728.9990171288428</v>
          </cell>
        </row>
        <row r="170">
          <cell r="AH170">
            <v>795.54912352400004</v>
          </cell>
        </row>
        <row r="186">
          <cell r="AH186">
            <v>22201.656004203825</v>
          </cell>
        </row>
        <row r="187">
          <cell r="AH187">
            <v>0</v>
          </cell>
        </row>
        <row r="188">
          <cell r="AH188">
            <v>78.323490960000001</v>
          </cell>
        </row>
        <row r="189">
          <cell r="AH189">
            <v>2620.1587426959663</v>
          </cell>
        </row>
        <row r="190">
          <cell r="AH190">
            <v>3878.6461385494204</v>
          </cell>
        </row>
        <row r="191">
          <cell r="AH191">
            <v>3396.5753475476749</v>
          </cell>
        </row>
        <row r="192">
          <cell r="AH192">
            <v>13897.805591675729</v>
          </cell>
        </row>
        <row r="193">
          <cell r="AH193">
            <v>12161.608186631698</v>
          </cell>
        </row>
        <row r="199">
          <cell r="AH199">
            <v>2258.1935981333418</v>
          </cell>
        </row>
        <row r="200">
          <cell r="AH200">
            <v>44.70000000000001</v>
          </cell>
        </row>
        <row r="201">
          <cell r="AH201">
            <v>0.25</v>
          </cell>
        </row>
        <row r="202">
          <cell r="AH202">
            <v>81.218600190000004</v>
          </cell>
        </row>
        <row r="203">
          <cell r="AH203">
            <v>0</v>
          </cell>
        </row>
        <row r="204">
          <cell r="AH204">
            <v>8550.8724932733185</v>
          </cell>
        </row>
        <row r="229">
          <cell r="AH229">
            <v>1248.9124081974119</v>
          </cell>
        </row>
        <row r="272">
          <cell r="AH272">
            <v>129770.49026283952</v>
          </cell>
        </row>
      </sheetData>
      <sheetData sheetId="4">
        <row r="14">
          <cell r="D14">
            <v>1822.7266831542042</v>
          </cell>
          <cell r="G14">
            <v>3723.0696015881358</v>
          </cell>
        </row>
        <row r="16">
          <cell r="D16">
            <v>98017.229589237948</v>
          </cell>
          <cell r="G16">
            <v>98278.213218841629</v>
          </cell>
        </row>
        <row r="17">
          <cell r="D17">
            <v>2332.9843249489918</v>
          </cell>
          <cell r="G17">
            <v>1903.4584297470228</v>
          </cell>
        </row>
        <row r="18">
          <cell r="D18">
            <v>248.335087804529</v>
          </cell>
          <cell r="G18">
            <v>322.6589761071869</v>
          </cell>
        </row>
        <row r="19">
          <cell r="D19">
            <v>179.54688750313588</v>
          </cell>
          <cell r="G19">
            <v>742.69742072055374</v>
          </cell>
        </row>
        <row r="20">
          <cell r="D20">
            <v>12424.422404951374</v>
          </cell>
          <cell r="G20">
            <v>13193.157305824336</v>
          </cell>
        </row>
        <row r="21">
          <cell r="D21">
            <v>9508.0166981547245</v>
          </cell>
          <cell r="G21">
            <v>4425.4785343677277</v>
          </cell>
        </row>
        <row r="22">
          <cell r="D22">
            <v>1655.4924153197503</v>
          </cell>
          <cell r="G22">
            <v>1594.0221917637739</v>
          </cell>
        </row>
        <row r="23">
          <cell r="D23">
            <v>3581.7159098774496</v>
          </cell>
          <cell r="G23">
            <v>5587.6779681448843</v>
          </cell>
        </row>
        <row r="24">
          <cell r="G24">
            <v>129770.43364710524</v>
          </cell>
        </row>
      </sheetData>
      <sheetData sheetId="5"/>
      <sheetData sheetId="6"/>
      <sheetData sheetId="7"/>
      <sheetData sheetId="8"/>
      <sheetData sheetId="9"/>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14">
          <cell r="C14">
            <v>0</v>
          </cell>
          <cell r="D14">
            <v>2.3185695743500001</v>
          </cell>
          <cell r="E14">
            <v>0</v>
          </cell>
          <cell r="F14">
            <v>1060.4603749999801</v>
          </cell>
          <cell r="G14">
            <v>0</v>
          </cell>
          <cell r="H14">
            <v>1.2500000000000001E-6</v>
          </cell>
          <cell r="I14">
            <v>0</v>
          </cell>
          <cell r="J14">
            <v>0</v>
          </cell>
          <cell r="K14">
            <v>1.3972960800000001E-4</v>
          </cell>
          <cell r="L14">
            <v>50.399963030571996</v>
          </cell>
          <cell r="M14">
            <v>0</v>
          </cell>
          <cell r="N14">
            <v>305</v>
          </cell>
          <cell r="O14">
            <v>0</v>
          </cell>
          <cell r="P14">
            <v>4291.9114249184913</v>
          </cell>
        </row>
        <row r="18">
          <cell r="C18">
            <v>9.6551301012110908</v>
          </cell>
          <cell r="D18">
            <v>1836.3452777063235</v>
          </cell>
          <cell r="E18">
            <v>3.5947869667644565E-2</v>
          </cell>
          <cell r="F18">
            <v>2403.0281322953783</v>
          </cell>
          <cell r="G18">
            <v>21.000014989031001</v>
          </cell>
          <cell r="H18">
            <v>156.03363034216412</v>
          </cell>
          <cell r="I18">
            <v>0</v>
          </cell>
          <cell r="J18">
            <v>579.32842270637605</v>
          </cell>
          <cell r="K18">
            <v>3.0079134151989387E-4</v>
          </cell>
          <cell r="L18">
            <v>3375.7388356102183</v>
          </cell>
          <cell r="M18">
            <v>67.145382510371931</v>
          </cell>
          <cell r="N18">
            <v>6514.2859243020703</v>
          </cell>
          <cell r="O18">
            <v>4.7064722467519887E-2</v>
          </cell>
          <cell r="P18">
            <v>15014.182881246681</v>
          </cell>
        </row>
        <row r="22">
          <cell r="E22">
            <v>0.54638703284170298</v>
          </cell>
          <cell r="F22">
            <v>412.94579399288455</v>
          </cell>
          <cell r="G22">
            <v>45.159734429749783</v>
          </cell>
          <cell r="H22">
            <v>778.76071987200123</v>
          </cell>
          <cell r="I22">
            <v>0.32417225198938998</v>
          </cell>
          <cell r="J22">
            <v>162.24910921707263</v>
          </cell>
          <cell r="K22">
            <v>10.881754314109344</v>
          </cell>
          <cell r="L22">
            <v>6089.7421991712645</v>
          </cell>
          <cell r="M22">
            <v>0.13356919125938196</v>
          </cell>
          <cell r="N22">
            <v>4156.0566796155863</v>
          </cell>
          <cell r="O22">
            <v>61.39098797589768</v>
          </cell>
          <cell r="P22">
            <v>7780.6828821463641</v>
          </cell>
        </row>
        <row r="23">
          <cell r="C23">
            <v>1.7426498958549286</v>
          </cell>
          <cell r="D23">
            <v>47.92789591854838</v>
          </cell>
        </row>
        <row r="24">
          <cell r="C24">
            <v>0.12208390803655969</v>
          </cell>
          <cell r="D24">
            <v>112.48433645005001</v>
          </cell>
        </row>
        <row r="25">
          <cell r="C25">
            <v>8.1400553092572903</v>
          </cell>
          <cell r="D25">
            <v>75.164509242717571</v>
          </cell>
        </row>
        <row r="26">
          <cell r="C26">
            <v>144.92181622645995</v>
          </cell>
          <cell r="D26">
            <v>305.02542369939329</v>
          </cell>
        </row>
        <row r="27">
          <cell r="C27">
            <v>19.823050253552946</v>
          </cell>
          <cell r="D27">
            <v>393.97277426612368</v>
          </cell>
        </row>
        <row r="28">
          <cell r="C28">
            <v>31.73683959911142</v>
          </cell>
          <cell r="D28">
            <v>126.39420678840584</v>
          </cell>
        </row>
        <row r="29">
          <cell r="C29">
            <v>56.332251273395222</v>
          </cell>
          <cell r="D29">
            <v>32.3920370604244</v>
          </cell>
        </row>
        <row r="30">
          <cell r="C30">
            <v>0</v>
          </cell>
          <cell r="D30">
            <v>1461.9854592691599</v>
          </cell>
          <cell r="E30">
            <v>0</v>
          </cell>
          <cell r="F30">
            <v>0</v>
          </cell>
          <cell r="G30">
            <v>0</v>
          </cell>
          <cell r="H30">
            <v>0</v>
          </cell>
          <cell r="I30">
            <v>0</v>
          </cell>
          <cell r="J30">
            <v>0</v>
          </cell>
          <cell r="K30">
            <v>0</v>
          </cell>
          <cell r="L30">
            <v>0</v>
          </cell>
          <cell r="M30">
            <v>0</v>
          </cell>
          <cell r="N30">
            <v>1.4558179520000001E-2</v>
          </cell>
          <cell r="O30">
            <v>0</v>
          </cell>
          <cell r="P30">
            <v>0</v>
          </cell>
        </row>
        <row r="31">
          <cell r="C31">
            <v>0</v>
          </cell>
          <cell r="D31">
            <v>337.56129113953</v>
          </cell>
          <cell r="E31">
            <v>0</v>
          </cell>
          <cell r="F31">
            <v>14.22380283979</v>
          </cell>
          <cell r="G31">
            <v>0</v>
          </cell>
          <cell r="H31">
            <v>21.154123210960002</v>
          </cell>
          <cell r="I31">
            <v>0</v>
          </cell>
          <cell r="J31">
            <v>1.0160405699900001</v>
          </cell>
          <cell r="K31">
            <v>0</v>
          </cell>
          <cell r="L31">
            <v>96.774753918694998</v>
          </cell>
          <cell r="M31">
            <v>5.1201000000000003E-4</v>
          </cell>
          <cell r="N31">
            <v>59.914565209442998</v>
          </cell>
          <cell r="O31">
            <v>3.663E-5</v>
          </cell>
          <cell r="P31">
            <v>1177.5878236671347</v>
          </cell>
        </row>
        <row r="32">
          <cell r="E32"/>
          <cell r="F32"/>
          <cell r="G32"/>
          <cell r="H32"/>
          <cell r="I32"/>
          <cell r="J32"/>
          <cell r="K32"/>
          <cell r="L32"/>
          <cell r="M32"/>
          <cell r="N32"/>
          <cell r="O32">
            <v>0</v>
          </cell>
          <cell r="P32">
            <v>922.09868744998994</v>
          </cell>
        </row>
        <row r="33">
          <cell r="C33">
            <v>876.18814929282621</v>
          </cell>
          <cell r="D33">
            <v>3963.7931598500827</v>
          </cell>
          <cell r="E33">
            <v>0.9</v>
          </cell>
          <cell r="F33">
            <v>75.3</v>
          </cell>
          <cell r="G33">
            <v>0</v>
          </cell>
          <cell r="H33">
            <v>258.25410971997997</v>
          </cell>
          <cell r="I33">
            <v>0</v>
          </cell>
          <cell r="J33">
            <v>463.45024427000004</v>
          </cell>
          <cell r="K33">
            <v>0</v>
          </cell>
          <cell r="L33">
            <v>13681.629230807403</v>
          </cell>
          <cell r="M33">
            <v>1.4000000000000001</v>
          </cell>
          <cell r="N33">
            <v>8188.1746072459591</v>
          </cell>
          <cell r="O33">
            <v>1.7468385746140001</v>
          </cell>
          <cell r="P33">
            <v>26020.872625568791</v>
          </cell>
        </row>
        <row r="34">
          <cell r="C34">
            <v>100.68326897167083</v>
          </cell>
          <cell r="D34">
            <v>2117.540741179273</v>
          </cell>
          <cell r="E34">
            <v>0</v>
          </cell>
          <cell r="F34">
            <v>977.53602425000008</v>
          </cell>
          <cell r="G34">
            <v>15.383673474801062</v>
          </cell>
          <cell r="H34">
            <v>10.949883</v>
          </cell>
          <cell r="I34">
            <v>0</v>
          </cell>
          <cell r="J34">
            <v>18.254905399999998</v>
          </cell>
          <cell r="K34">
            <v>0</v>
          </cell>
          <cell r="L34">
            <v>1997.0657829500001</v>
          </cell>
          <cell r="M34">
            <v>0</v>
          </cell>
          <cell r="N34">
            <v>37.12014645</v>
          </cell>
          <cell r="O34">
            <v>0</v>
          </cell>
          <cell r="P34">
            <v>2902.0426933494982</v>
          </cell>
        </row>
        <row r="36">
          <cell r="C36">
            <v>72.542604836072073</v>
          </cell>
          <cell r="D36">
            <v>623.8640969415635</v>
          </cell>
          <cell r="E36">
            <v>0</v>
          </cell>
          <cell r="F36">
            <v>383.6473994489134</v>
          </cell>
          <cell r="G36">
            <v>10.974979041912045</v>
          </cell>
          <cell r="H36">
            <v>0</v>
          </cell>
          <cell r="I36">
            <v>0</v>
          </cell>
          <cell r="J36">
            <v>2.2649744307999997E-3</v>
          </cell>
          <cell r="K36">
            <v>0.60232855539600005</v>
          </cell>
          <cell r="L36">
            <v>2258.9069570943607</v>
          </cell>
          <cell r="M36">
            <v>0</v>
          </cell>
          <cell r="N36">
            <v>51.910241745666902</v>
          </cell>
          <cell r="O36">
            <v>0</v>
          </cell>
          <cell r="P36">
            <v>1136.1462960506328</v>
          </cell>
        </row>
        <row r="37">
          <cell r="C37">
            <v>227.75487558641493</v>
          </cell>
          <cell r="D37">
            <v>1462.2782138527873</v>
          </cell>
          <cell r="E37">
            <v>0</v>
          </cell>
          <cell r="F37">
            <v>0.3</v>
          </cell>
          <cell r="G37">
            <v>0</v>
          </cell>
          <cell r="H37">
            <v>0</v>
          </cell>
          <cell r="I37">
            <v>0</v>
          </cell>
          <cell r="J37">
            <v>0.1</v>
          </cell>
          <cell r="K37">
            <v>4.6123053740000003E-2</v>
          </cell>
          <cell r="L37">
            <v>23.727291335702997</v>
          </cell>
          <cell r="M37">
            <v>0.300024937504</v>
          </cell>
          <cell r="N37">
            <v>87.22933780930498</v>
          </cell>
          <cell r="O37">
            <v>1.500024971992</v>
          </cell>
          <cell r="P37">
            <v>414.78929033000935</v>
          </cell>
        </row>
        <row r="38">
          <cell r="C38">
            <v>1549.6427752538636</v>
          </cell>
          <cell r="D38">
            <v>12899.047992938733</v>
          </cell>
          <cell r="E38">
            <v>1.4823349025093475</v>
          </cell>
          <cell r="F38">
            <v>5327.4415278269471</v>
          </cell>
          <cell r="G38">
            <v>92.518401935493898</v>
          </cell>
          <cell r="H38">
            <v>1225.1524673951055</v>
          </cell>
          <cell r="I38">
            <v>0.32417225198938998</v>
          </cell>
          <cell r="J38">
            <v>1224.4009871378694</v>
          </cell>
          <cell r="K38">
            <v>11.530646444194863</v>
          </cell>
          <cell r="L38">
            <v>27573.98501391822</v>
          </cell>
          <cell r="M38">
            <v>68.97948864913532</v>
          </cell>
          <cell r="N38">
            <v>19399.706060557553</v>
          </cell>
          <cell r="O38">
            <v>64.684952874971202</v>
          </cell>
          <cell r="P38">
            <v>59660.314604727588</v>
          </cell>
          <cell r="Q38">
            <v>129099.21142681417</v>
          </cell>
        </row>
        <row r="40">
          <cell r="Q40">
            <v>24175.970558727797</v>
          </cell>
        </row>
        <row r="68">
          <cell r="C68">
            <v>0.15011238759552931</v>
          </cell>
          <cell r="D68">
            <v>0.24223949</v>
          </cell>
        </row>
        <row r="69">
          <cell r="C69">
            <v>164.0206468101326</v>
          </cell>
          <cell r="D69">
            <v>-5.0000000000000002E-11</v>
          </cell>
          <cell r="E69">
            <v>0</v>
          </cell>
          <cell r="F69">
            <v>0</v>
          </cell>
          <cell r="G69">
            <v>0</v>
          </cell>
          <cell r="H69">
            <v>0</v>
          </cell>
          <cell r="I69">
            <v>0</v>
          </cell>
          <cell r="J69">
            <v>0</v>
          </cell>
          <cell r="K69">
            <v>0</v>
          </cell>
          <cell r="L69">
            <v>0</v>
          </cell>
          <cell r="M69">
            <v>0</v>
          </cell>
          <cell r="N69">
            <v>0</v>
          </cell>
          <cell r="O69">
            <v>0</v>
          </cell>
          <cell r="P69">
            <v>0</v>
          </cell>
        </row>
        <row r="72">
          <cell r="C72">
            <v>367.24269439769995</v>
          </cell>
          <cell r="D72">
            <v>3564.8922500634717</v>
          </cell>
          <cell r="E72">
            <v>2.2705421750663129E-2</v>
          </cell>
          <cell r="F72">
            <v>1524.1739727001936</v>
          </cell>
          <cell r="G72">
            <v>0</v>
          </cell>
          <cell r="H72">
            <v>428.42615595558436</v>
          </cell>
          <cell r="I72">
            <v>0</v>
          </cell>
          <cell r="J72">
            <v>2335.3486609296524</v>
          </cell>
          <cell r="K72">
            <v>2.533137879904509E-3</v>
          </cell>
          <cell r="L72">
            <v>3238.8706441945933</v>
          </cell>
          <cell r="M72">
            <v>8.0920000000000006E-9</v>
          </cell>
          <cell r="N72">
            <v>2986.2152040825977</v>
          </cell>
          <cell r="O72">
            <v>5.3042411877984089E-5</v>
          </cell>
          <cell r="P72">
            <v>7973.692238385961</v>
          </cell>
        </row>
        <row r="76">
          <cell r="E76">
            <v>0.2</v>
          </cell>
          <cell r="F76">
            <v>345.353464878392</v>
          </cell>
          <cell r="G76">
            <v>0</v>
          </cell>
          <cell r="H76">
            <v>2313.5732772870429</v>
          </cell>
          <cell r="I76">
            <v>0</v>
          </cell>
          <cell r="J76">
            <v>688.20281935224307</v>
          </cell>
          <cell r="K76">
            <v>0</v>
          </cell>
          <cell r="L76">
            <v>3240.852549837015</v>
          </cell>
          <cell r="M76">
            <v>0</v>
          </cell>
          <cell r="N76">
            <v>5552.4818154904942</v>
          </cell>
          <cell r="O76">
            <v>2.6000000000000001E-11</v>
          </cell>
          <cell r="P76">
            <v>25893.147941918927</v>
          </cell>
        </row>
        <row r="77">
          <cell r="C77">
            <v>0</v>
          </cell>
          <cell r="D77">
            <v>1205.6884687767199</v>
          </cell>
        </row>
        <row r="78">
          <cell r="C78">
            <v>0</v>
          </cell>
          <cell r="D78">
            <v>0</v>
          </cell>
        </row>
        <row r="79">
          <cell r="C79">
            <v>-1.5650000000000001E-9</v>
          </cell>
          <cell r="D79">
            <v>388.88125990416899</v>
          </cell>
        </row>
        <row r="80">
          <cell r="C80">
            <v>0</v>
          </cell>
          <cell r="D80">
            <v>1777.267101203759</v>
          </cell>
        </row>
        <row r="81">
          <cell r="C81">
            <v>19.013858747613</v>
          </cell>
          <cell r="D81">
            <v>1015.474804102168</v>
          </cell>
        </row>
        <row r="82">
          <cell r="C82">
            <v>7.964160499680446</v>
          </cell>
          <cell r="D82">
            <v>124.778939844378</v>
          </cell>
        </row>
        <row r="83">
          <cell r="C83">
            <v>0</v>
          </cell>
          <cell r="D83">
            <v>52.6</v>
          </cell>
        </row>
        <row r="84">
          <cell r="E84">
            <v>2.6525199999999998E-3</v>
          </cell>
          <cell r="F84">
            <v>419.57368721285121</v>
          </cell>
          <cell r="G84">
            <v>0</v>
          </cell>
          <cell r="H84">
            <v>891.11297486793114</v>
          </cell>
          <cell r="I84">
            <v>0</v>
          </cell>
          <cell r="J84">
            <v>185.73342509138794</v>
          </cell>
          <cell r="K84">
            <v>0</v>
          </cell>
          <cell r="L84">
            <v>2734.1101063063984</v>
          </cell>
          <cell r="M84">
            <v>0</v>
          </cell>
          <cell r="N84">
            <v>1374.541237393257</v>
          </cell>
          <cell r="O84">
            <v>0</v>
          </cell>
          <cell r="P84">
            <v>14720.292447902455</v>
          </cell>
        </row>
        <row r="86">
          <cell r="C86">
            <v>322.78379077598595</v>
          </cell>
          <cell r="D86">
            <v>1863.7122949088293</v>
          </cell>
        </row>
        <row r="89">
          <cell r="C89">
            <v>0</v>
          </cell>
          <cell r="D89">
            <v>1919.7954066687571</v>
          </cell>
        </row>
        <row r="92">
          <cell r="C92">
            <v>483.24962211042259</v>
          </cell>
          <cell r="D92">
            <v>338.45696786388049</v>
          </cell>
        </row>
        <row r="93">
          <cell r="C93">
            <v>-3.4004623519E-2</v>
          </cell>
          <cell r="D93">
            <v>548.92722168961006</v>
          </cell>
          <cell r="E93">
            <v>0</v>
          </cell>
          <cell r="F93">
            <v>27.86805116987</v>
          </cell>
          <cell r="G93">
            <v>0</v>
          </cell>
          <cell r="H93">
            <v>4.0440443189999993</v>
          </cell>
          <cell r="I93">
            <v>0</v>
          </cell>
          <cell r="J93">
            <v>7.7251434499</v>
          </cell>
          <cell r="K93">
            <v>0</v>
          </cell>
          <cell r="L93">
            <v>464.03089946274002</v>
          </cell>
          <cell r="M93">
            <v>2.2074600000000001E-3</v>
          </cell>
          <cell r="N93">
            <v>12.365187255496</v>
          </cell>
          <cell r="O93">
            <v>0</v>
          </cell>
          <cell r="P93">
            <v>800.81469035338694</v>
          </cell>
        </row>
        <row r="94">
          <cell r="E94"/>
          <cell r="F94"/>
          <cell r="G94"/>
          <cell r="H94"/>
          <cell r="I94"/>
          <cell r="J94"/>
          <cell r="K94"/>
          <cell r="L94"/>
          <cell r="M94"/>
          <cell r="N94"/>
          <cell r="O94">
            <v>0</v>
          </cell>
          <cell r="P94">
            <v>404.52567634089297</v>
          </cell>
        </row>
        <row r="95">
          <cell r="C95">
            <v>1388.536246499332</v>
          </cell>
          <cell r="D95">
            <v>3991.8351445346675</v>
          </cell>
          <cell r="E95">
            <v>0.1</v>
          </cell>
          <cell r="F95">
            <v>52.361491020000003</v>
          </cell>
          <cell r="G95">
            <v>0</v>
          </cell>
          <cell r="H95">
            <v>140.50740791612401</v>
          </cell>
          <cell r="I95">
            <v>0.5</v>
          </cell>
          <cell r="J95">
            <v>2.5</v>
          </cell>
          <cell r="K95">
            <v>0</v>
          </cell>
          <cell r="L95">
            <v>3911.6157138850494</v>
          </cell>
          <cell r="M95">
            <v>0</v>
          </cell>
          <cell r="N95">
            <v>1916.0680691247724</v>
          </cell>
          <cell r="O95">
            <v>63.984258110999995</v>
          </cell>
          <cell r="P95">
            <v>20806.172616586824</v>
          </cell>
        </row>
        <row r="96">
          <cell r="C96">
            <v>82.769868093357502</v>
          </cell>
          <cell r="D96">
            <v>73.066776825525992</v>
          </cell>
        </row>
        <row r="97">
          <cell r="C97">
            <v>628.65628373139009</v>
          </cell>
          <cell r="D97">
            <v>1774.0305031038756</v>
          </cell>
          <cell r="E97">
            <v>3.488129827586206E-2</v>
          </cell>
          <cell r="F97">
            <v>60.765933690371348</v>
          </cell>
          <cell r="G97">
            <v>0.35395277188328911</v>
          </cell>
          <cell r="H97">
            <v>5.8296326418519895</v>
          </cell>
          <cell r="I97">
            <v>3.5809018567639259E-4</v>
          </cell>
          <cell r="J97">
            <v>4.3</v>
          </cell>
          <cell r="K97">
            <v>4.024535150448718E-2</v>
          </cell>
          <cell r="L97">
            <v>130.7409380726244</v>
          </cell>
          <cell r="M97">
            <v>0.22973428381962865</v>
          </cell>
          <cell r="N97">
            <v>131.85276512340039</v>
          </cell>
          <cell r="O97">
            <v>4.6073089018567645E-2</v>
          </cell>
          <cell r="P97">
            <v>1199.9948639825609</v>
          </cell>
        </row>
        <row r="98">
          <cell r="C98">
            <v>3464.3532794281259</v>
          </cell>
          <cell r="D98">
            <v>18639.649378979764</v>
          </cell>
          <cell r="E98">
            <v>0.36023924002652519</v>
          </cell>
          <cell r="F98">
            <v>2430.0966006716781</v>
          </cell>
          <cell r="G98">
            <v>0.35395277188328911</v>
          </cell>
          <cell r="H98">
            <v>3783.4934929875344</v>
          </cell>
          <cell r="I98">
            <v>0.50035809018567634</v>
          </cell>
          <cell r="J98">
            <v>3223.810048823183</v>
          </cell>
          <cell r="K98">
            <v>4.2778489384391688E-2</v>
          </cell>
          <cell r="L98">
            <v>13720.220851758419</v>
          </cell>
          <cell r="M98">
            <v>0.23194175191162866</v>
          </cell>
          <cell r="N98">
            <v>11973.524278470019</v>
          </cell>
          <cell r="O98">
            <v>64.030384242456435</v>
          </cell>
          <cell r="P98">
            <v>71798.640475470995</v>
          </cell>
          <cell r="Q98">
            <v>129099.30806117557</v>
          </cell>
        </row>
        <row r="100">
          <cell r="Q100">
            <v>24781.917896501389</v>
          </cell>
        </row>
      </sheetData>
      <sheetData sheetId="1"/>
      <sheetData sheetId="2">
        <row r="15">
          <cell r="AX15">
            <v>30203.951119708581</v>
          </cell>
        </row>
        <row r="69">
          <cell r="AX69">
            <v>10219.140412028068</v>
          </cell>
        </row>
        <row r="86">
          <cell r="AX86">
            <v>0</v>
          </cell>
        </row>
        <row r="90">
          <cell r="AX90">
            <v>16.87</v>
          </cell>
        </row>
        <row r="105">
          <cell r="AX105">
            <v>0</v>
          </cell>
        </row>
        <row r="118">
          <cell r="AX118">
            <v>0</v>
          </cell>
        </row>
        <row r="120">
          <cell r="AX120">
            <v>7.6797501687000001E-3</v>
          </cell>
        </row>
        <row r="122">
          <cell r="AX122">
            <v>1515.9591108502311</v>
          </cell>
        </row>
        <row r="130">
          <cell r="AX130">
            <v>1496.1822861854355</v>
          </cell>
        </row>
        <row r="141">
          <cell r="AX141">
            <v>680.66569464844326</v>
          </cell>
        </row>
        <row r="170">
          <cell r="AX170">
            <v>0.14000000000000001</v>
          </cell>
        </row>
        <row r="186">
          <cell r="AX186">
            <v>14448.729553485573</v>
          </cell>
        </row>
        <row r="187">
          <cell r="AX187">
            <v>352.391461784</v>
          </cell>
        </row>
        <row r="188">
          <cell r="AX188">
            <v>49.092478100000008</v>
          </cell>
        </row>
        <row r="189">
          <cell r="AX189">
            <v>5328.9829361070724</v>
          </cell>
        </row>
        <row r="190">
          <cell r="AX190">
            <v>1317.6408693306093</v>
          </cell>
        </row>
        <row r="191">
          <cell r="AX191">
            <v>1224.7350963592364</v>
          </cell>
        </row>
        <row r="192">
          <cell r="AX192">
            <v>27585.493113349621</v>
          </cell>
        </row>
        <row r="193">
          <cell r="AX193">
            <v>19468.70404812754</v>
          </cell>
        </row>
        <row r="199">
          <cell r="AX199">
            <v>3440.5303610197225</v>
          </cell>
        </row>
        <row r="200">
          <cell r="AX200">
            <v>84.215784667042712</v>
          </cell>
        </row>
        <row r="201">
          <cell r="AX201">
            <v>71.030860700701609</v>
          </cell>
        </row>
        <row r="202">
          <cell r="AX202">
            <v>279.34017600108757</v>
          </cell>
        </row>
        <row r="203">
          <cell r="AX203">
            <v>12.635104584429097</v>
          </cell>
        </row>
        <row r="204">
          <cell r="AX204">
            <v>7519.9721911548322</v>
          </cell>
        </row>
        <row r="229">
          <cell r="AX229">
            <v>2670.6334727745457</v>
          </cell>
        </row>
      </sheetData>
      <sheetData sheetId="3">
        <row r="15">
          <cell r="AH15">
            <v>36471.840501116902</v>
          </cell>
        </row>
        <row r="69">
          <cell r="AH69">
            <v>4814.9554327546393</v>
          </cell>
        </row>
        <row r="86">
          <cell r="AH86">
            <v>0</v>
          </cell>
        </row>
        <row r="90">
          <cell r="AH90">
            <v>0</v>
          </cell>
        </row>
        <row r="105">
          <cell r="AH105">
            <v>0</v>
          </cell>
        </row>
        <row r="118">
          <cell r="AH118">
            <v>0</v>
          </cell>
        </row>
        <row r="120">
          <cell r="AH120">
            <v>0</v>
          </cell>
        </row>
        <row r="122">
          <cell r="AH122">
            <v>1282.1459408532226</v>
          </cell>
        </row>
        <row r="130">
          <cell r="AH130">
            <v>8792.9682765912003</v>
          </cell>
        </row>
        <row r="141">
          <cell r="AH141">
            <v>4816.8485256277763</v>
          </cell>
        </row>
        <row r="170">
          <cell r="AH170">
            <v>844.57784699299998</v>
          </cell>
        </row>
        <row r="186">
          <cell r="AH186">
            <v>22104.02827326292</v>
          </cell>
        </row>
        <row r="187">
          <cell r="AH187">
            <v>0</v>
          </cell>
        </row>
        <row r="188">
          <cell r="AH188">
            <v>118.19904855199999</v>
          </cell>
        </row>
        <row r="189">
          <cell r="AH189">
            <v>2430.4666539869759</v>
          </cell>
        </row>
        <row r="190">
          <cell r="AH190">
            <v>3783.8416883594182</v>
          </cell>
        </row>
        <row r="191">
          <cell r="AH191">
            <v>3224.3453791778857</v>
          </cell>
        </row>
        <row r="192">
          <cell r="AH192">
            <v>13720.251547251955</v>
          </cell>
        </row>
        <row r="193">
          <cell r="AH193">
            <v>11973.771289374101</v>
          </cell>
        </row>
        <row r="199">
          <cell r="AH199">
            <v>2274.1194951636608</v>
          </cell>
        </row>
        <row r="200">
          <cell r="AH200">
            <v>44.800000000000004</v>
          </cell>
        </row>
        <row r="201">
          <cell r="AH201">
            <v>0.3</v>
          </cell>
        </row>
        <row r="202">
          <cell r="AH202">
            <v>83.828797589999994</v>
          </cell>
        </row>
        <row r="203">
          <cell r="AH203">
            <v>0</v>
          </cell>
        </row>
        <row r="204">
          <cell r="AH204">
            <v>8955.9725107671366</v>
          </cell>
        </row>
        <row r="229">
          <cell r="AH229">
            <v>1100.9866832184011</v>
          </cell>
        </row>
        <row r="272">
          <cell r="AH272">
            <v>129099.42891901487</v>
          </cell>
        </row>
      </sheetData>
      <sheetData sheetId="4">
        <row r="14">
          <cell r="D14">
            <v>1789.1709873090017</v>
          </cell>
          <cell r="G14">
            <v>3529.8221642385138</v>
          </cell>
        </row>
        <row r="16">
          <cell r="D16">
            <v>95942.619873852149</v>
          </cell>
          <cell r="G16">
            <v>96180.721698971087</v>
          </cell>
        </row>
        <row r="17">
          <cell r="D17">
            <v>2392.2988801282845</v>
          </cell>
          <cell r="G17">
            <v>1958.8118915988991</v>
          </cell>
        </row>
        <row r="18">
          <cell r="D18">
            <v>253.60658962477154</v>
          </cell>
          <cell r="G18">
            <v>328.09488289627416</v>
          </cell>
        </row>
        <row r="19">
          <cell r="D19">
            <v>183.04733140490251</v>
          </cell>
          <cell r="G19">
            <v>730.02286925829617</v>
          </cell>
        </row>
        <row r="20">
          <cell r="D20">
            <v>12794.883099014734</v>
          </cell>
          <cell r="G20">
            <v>13699.178971123141</v>
          </cell>
        </row>
        <row r="21">
          <cell r="D21">
            <v>10070.393780123888</v>
          </cell>
          <cell r="G21">
            <v>5236.8714414190863</v>
          </cell>
        </row>
        <row r="22">
          <cell r="D22">
            <v>2102.7133833018424</v>
          </cell>
          <cell r="G22">
            <v>1883.2917521739125</v>
          </cell>
        </row>
        <row r="23">
          <cell r="D23">
            <v>3570.4547482036724</v>
          </cell>
          <cell r="G23">
            <v>5552.480779059053</v>
          </cell>
        </row>
        <row r="24">
          <cell r="G24">
            <v>129099.29645073824</v>
          </cell>
        </row>
      </sheetData>
      <sheetData sheetId="5"/>
      <sheetData sheetId="6"/>
      <sheetData sheetId="7"/>
      <sheetData sheetId="8"/>
      <sheetData sheetId="9"/>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14">
          <cell r="C14">
            <v>0</v>
          </cell>
          <cell r="D14">
            <v>4.17921945383</v>
          </cell>
          <cell r="E14">
            <v>0</v>
          </cell>
          <cell r="F14">
            <v>1097.1089791699799</v>
          </cell>
          <cell r="G14">
            <v>0</v>
          </cell>
          <cell r="H14">
            <v>1.2500000000000001E-6</v>
          </cell>
          <cell r="I14">
            <v>0</v>
          </cell>
          <cell r="J14">
            <v>0</v>
          </cell>
          <cell r="K14">
            <v>1.39664063E-4</v>
          </cell>
          <cell r="L14">
            <v>50.599963783749999</v>
          </cell>
          <cell r="M14">
            <v>0</v>
          </cell>
          <cell r="N14">
            <v>306.2</v>
          </cell>
          <cell r="O14">
            <v>0</v>
          </cell>
          <cell r="P14">
            <v>4301.0201868515205</v>
          </cell>
        </row>
        <row r="18">
          <cell r="C18">
            <v>9.5100870043079695</v>
          </cell>
          <cell r="D18">
            <v>1841.5043312397152</v>
          </cell>
          <cell r="E18">
            <v>3.5947869667644565E-2</v>
          </cell>
          <cell r="F18">
            <v>2271.3486101773774</v>
          </cell>
          <cell r="G18">
            <v>23.000014982</v>
          </cell>
          <cell r="H18">
            <v>56.820178288223552</v>
          </cell>
          <cell r="I18">
            <v>0</v>
          </cell>
          <cell r="J18">
            <v>479.76607756537703</v>
          </cell>
          <cell r="K18">
            <v>3.0065024651989387E-4</v>
          </cell>
          <cell r="L18">
            <v>3152.4961823950816</v>
          </cell>
          <cell r="M18">
            <v>2.9721284937941649E-2</v>
          </cell>
          <cell r="N18">
            <v>6292.6508197728463</v>
          </cell>
          <cell r="O18">
            <v>4.7058898491435013E-2</v>
          </cell>
          <cell r="P18">
            <v>19157.078172963498</v>
          </cell>
        </row>
        <row r="22">
          <cell r="E22">
            <v>0.99062700896902389</v>
          </cell>
          <cell r="F22">
            <v>393.81428488782194</v>
          </cell>
          <cell r="G22">
            <v>46.594716107352937</v>
          </cell>
          <cell r="H22">
            <v>1168.2238830527315</v>
          </cell>
          <cell r="I22">
            <v>0.34096059946949608</v>
          </cell>
          <cell r="J22">
            <v>165.19053668036094</v>
          </cell>
          <cell r="K22">
            <v>13.077783227440918</v>
          </cell>
          <cell r="L22">
            <v>11270.774634053781</v>
          </cell>
          <cell r="M22">
            <v>0.12979834388581429</v>
          </cell>
          <cell r="N22">
            <v>3919.9760989624879</v>
          </cell>
          <cell r="O22">
            <v>54.088902694219406</v>
          </cell>
          <cell r="P22">
            <v>11469.167017322774</v>
          </cell>
        </row>
        <row r="23">
          <cell r="C23">
            <v>1.597498843168013</v>
          </cell>
          <cell r="D23">
            <v>36.799857494668395</v>
          </cell>
        </row>
        <row r="24">
          <cell r="C24">
            <v>0.13611122803555967</v>
          </cell>
          <cell r="D24">
            <v>97.70200812005001</v>
          </cell>
        </row>
        <row r="25">
          <cell r="C25">
            <v>3.6728761266107139</v>
          </cell>
          <cell r="D25">
            <v>88.868455927912791</v>
          </cell>
        </row>
        <row r="26">
          <cell r="C26">
            <v>150.68445450355895</v>
          </cell>
          <cell r="D26">
            <v>292.51519220765925</v>
          </cell>
        </row>
        <row r="27">
          <cell r="C27">
            <v>26.945279900260619</v>
          </cell>
          <cell r="D27">
            <v>337.35215709147303</v>
          </cell>
        </row>
        <row r="28">
          <cell r="C28">
            <v>35.648452604336896</v>
          </cell>
          <cell r="D28">
            <v>128.23760439618297</v>
          </cell>
        </row>
        <row r="29">
          <cell r="C29">
            <v>74.266969203395234</v>
          </cell>
          <cell r="D29">
            <v>55.438704060424399</v>
          </cell>
        </row>
        <row r="30">
          <cell r="C30">
            <v>0</v>
          </cell>
          <cell r="D30">
            <v>967.00922522915994</v>
          </cell>
          <cell r="E30">
            <v>0</v>
          </cell>
          <cell r="F30">
            <v>0</v>
          </cell>
          <cell r="G30">
            <v>0</v>
          </cell>
          <cell r="H30">
            <v>0</v>
          </cell>
          <cell r="I30">
            <v>0</v>
          </cell>
          <cell r="J30">
            <v>0</v>
          </cell>
          <cell r="K30">
            <v>0</v>
          </cell>
          <cell r="L30">
            <v>0</v>
          </cell>
          <cell r="M30">
            <v>0</v>
          </cell>
          <cell r="N30">
            <v>1.6200079520000001E-2</v>
          </cell>
          <cell r="O30">
            <v>0</v>
          </cell>
          <cell r="P30">
            <v>0</v>
          </cell>
        </row>
        <row r="31">
          <cell r="C31">
            <v>0</v>
          </cell>
          <cell r="D31">
            <v>319.58384906371202</v>
          </cell>
          <cell r="E31">
            <v>0</v>
          </cell>
          <cell r="F31">
            <v>14.525212954860001</v>
          </cell>
          <cell r="G31">
            <v>0</v>
          </cell>
          <cell r="H31">
            <v>20.426154939969994</v>
          </cell>
          <cell r="I31">
            <v>0</v>
          </cell>
          <cell r="J31">
            <v>0.91539165999999994</v>
          </cell>
          <cell r="K31">
            <v>0</v>
          </cell>
          <cell r="L31">
            <v>90.794252180714011</v>
          </cell>
          <cell r="M31">
            <v>9.5652500000000008E-3</v>
          </cell>
          <cell r="N31">
            <v>54.685488648437996</v>
          </cell>
          <cell r="O31">
            <v>0</v>
          </cell>
          <cell r="P31">
            <v>1013.6154097409401</v>
          </cell>
        </row>
        <row r="32">
          <cell r="E32"/>
          <cell r="F32"/>
          <cell r="G32"/>
          <cell r="H32"/>
          <cell r="I32"/>
          <cell r="J32"/>
          <cell r="K32"/>
          <cell r="L32"/>
          <cell r="M32"/>
          <cell r="N32"/>
          <cell r="O32">
            <v>0</v>
          </cell>
          <cell r="P32">
            <v>1006.1286685299799</v>
          </cell>
        </row>
        <row r="33">
          <cell r="C33">
            <v>757.673838771791</v>
          </cell>
          <cell r="D33">
            <v>3862.8040904749014</v>
          </cell>
          <cell r="E33">
            <v>1.1000000000000001</v>
          </cell>
          <cell r="F33">
            <v>75.7</v>
          </cell>
          <cell r="G33">
            <v>0</v>
          </cell>
          <cell r="H33">
            <v>171.59408410998998</v>
          </cell>
          <cell r="I33">
            <v>0</v>
          </cell>
          <cell r="J33">
            <v>390.35024427000002</v>
          </cell>
          <cell r="K33">
            <v>0</v>
          </cell>
          <cell r="L33">
            <v>13593.812809691037</v>
          </cell>
          <cell r="M33">
            <v>0.8</v>
          </cell>
          <cell r="N33">
            <v>8359.7387442929703</v>
          </cell>
          <cell r="O33">
            <v>1.776836893889</v>
          </cell>
          <cell r="P33">
            <v>24552.974585483655</v>
          </cell>
        </row>
        <row r="34">
          <cell r="C34">
            <v>100.58326898030097</v>
          </cell>
          <cell r="D34">
            <v>2132.6359453736486</v>
          </cell>
          <cell r="E34">
            <v>0</v>
          </cell>
          <cell r="F34">
            <v>977.53602425000008</v>
          </cell>
          <cell r="G34">
            <v>15.383673474801062</v>
          </cell>
          <cell r="H34">
            <v>10.949883</v>
          </cell>
          <cell r="I34">
            <v>0</v>
          </cell>
          <cell r="J34">
            <v>18.254905399999998</v>
          </cell>
          <cell r="K34">
            <v>0</v>
          </cell>
          <cell r="L34">
            <v>1997.0657829500001</v>
          </cell>
          <cell r="M34">
            <v>0</v>
          </cell>
          <cell r="N34">
            <v>37.11513935</v>
          </cell>
          <cell r="O34">
            <v>0</v>
          </cell>
          <cell r="P34">
            <v>2903.7968162111347</v>
          </cell>
        </row>
        <row r="36">
          <cell r="C36">
            <v>74.799517799991321</v>
          </cell>
          <cell r="D36">
            <v>669.93266155850802</v>
          </cell>
          <cell r="E36">
            <v>0</v>
          </cell>
          <cell r="F36">
            <v>395.05661945970257</v>
          </cell>
          <cell r="G36">
            <v>11.316427664199681</v>
          </cell>
          <cell r="H36">
            <v>0</v>
          </cell>
          <cell r="I36">
            <v>0</v>
          </cell>
          <cell r="J36">
            <v>2.3216652620000004E-3</v>
          </cell>
          <cell r="K36">
            <v>0.91949250753</v>
          </cell>
          <cell r="L36">
            <v>2297.2980844288627</v>
          </cell>
          <cell r="M36">
            <v>0</v>
          </cell>
          <cell r="N36">
            <v>58.246578507628001</v>
          </cell>
          <cell r="O36">
            <v>-0.8</v>
          </cell>
          <cell r="P36">
            <v>1170.5816572921726</v>
          </cell>
        </row>
        <row r="37">
          <cell r="C37">
            <v>217.33009765198267</v>
          </cell>
          <cell r="D37">
            <v>1356.9323056204119</v>
          </cell>
          <cell r="E37">
            <v>0</v>
          </cell>
          <cell r="F37">
            <v>0.5</v>
          </cell>
          <cell r="G37">
            <v>0</v>
          </cell>
          <cell r="H37">
            <v>0</v>
          </cell>
          <cell r="I37">
            <v>0</v>
          </cell>
          <cell r="J37">
            <v>0.1</v>
          </cell>
          <cell r="K37">
            <v>4.6101418224999996E-2</v>
          </cell>
          <cell r="L37">
            <v>25.872250843130999</v>
          </cell>
          <cell r="M37">
            <v>2.4925806000000001E-5</v>
          </cell>
          <cell r="N37">
            <v>147.61321690583</v>
          </cell>
          <cell r="O37">
            <v>12.000024960277999</v>
          </cell>
          <cell r="P37">
            <v>473.52917459386424</v>
          </cell>
        </row>
        <row r="38">
          <cell r="C38">
            <v>1452.8484526177399</v>
          </cell>
          <cell r="D38">
            <v>12191.495607312259</v>
          </cell>
          <cell r="E38">
            <v>2.1265748786366685</v>
          </cell>
          <cell r="F38">
            <v>5225.5897308997419</v>
          </cell>
          <cell r="G38">
            <v>96.29483222835367</v>
          </cell>
          <cell r="H38">
            <v>1428.0141846409151</v>
          </cell>
          <cell r="I38">
            <v>0.34096059946949608</v>
          </cell>
          <cell r="J38">
            <v>1054.5794772409997</v>
          </cell>
          <cell r="K38">
            <v>14.043817467505438</v>
          </cell>
          <cell r="L38">
            <v>32478.71396032636</v>
          </cell>
          <cell r="M38">
            <v>0.96910980462975604</v>
          </cell>
          <cell r="N38">
            <v>19176.242286519722</v>
          </cell>
          <cell r="O38">
            <v>67.11282344687784</v>
          </cell>
          <cell r="P38">
            <v>66047.891688989534</v>
          </cell>
          <cell r="Q38">
            <v>139236.26350697275</v>
          </cell>
        </row>
        <row r="40">
          <cell r="Q40">
            <v>26048.131780299052</v>
          </cell>
        </row>
        <row r="68">
          <cell r="C68">
            <v>0.10099190454141514</v>
          </cell>
          <cell r="D68">
            <v>0.21461174000000002</v>
          </cell>
        </row>
        <row r="69">
          <cell r="C69">
            <v>104.72760935411671</v>
          </cell>
          <cell r="D69">
            <v>-5.0000000000000002E-11</v>
          </cell>
          <cell r="E69">
            <v>0</v>
          </cell>
          <cell r="F69">
            <v>0</v>
          </cell>
          <cell r="G69">
            <v>0</v>
          </cell>
          <cell r="H69">
            <v>0</v>
          </cell>
          <cell r="I69">
            <v>0</v>
          </cell>
          <cell r="J69">
            <v>0</v>
          </cell>
          <cell r="K69">
            <v>0</v>
          </cell>
          <cell r="L69">
            <v>0</v>
          </cell>
          <cell r="M69">
            <v>0</v>
          </cell>
          <cell r="N69">
            <v>0</v>
          </cell>
          <cell r="O69">
            <v>0</v>
          </cell>
          <cell r="P69">
            <v>0</v>
          </cell>
        </row>
        <row r="72">
          <cell r="C72">
            <v>256.02881781955608</v>
          </cell>
          <cell r="D72">
            <v>3220.3399441075862</v>
          </cell>
          <cell r="E72">
            <v>5.5787369916193638E-2</v>
          </cell>
          <cell r="F72">
            <v>1488.0782342704256</v>
          </cell>
          <cell r="G72">
            <v>0</v>
          </cell>
          <cell r="H72">
            <v>397.47381979430827</v>
          </cell>
          <cell r="I72">
            <v>0</v>
          </cell>
          <cell r="J72">
            <v>2322.0031573178294</v>
          </cell>
          <cell r="K72">
            <v>2.7069949040822282E-3</v>
          </cell>
          <cell r="L72">
            <v>3009.9071351435337</v>
          </cell>
          <cell r="M72">
            <v>5.7269921728806362E-3</v>
          </cell>
          <cell r="N72">
            <v>3073.7572818218705</v>
          </cell>
          <cell r="O72">
            <v>5.3042415877984087E-5</v>
          </cell>
          <cell r="P72">
            <v>8035.1725528142397</v>
          </cell>
        </row>
        <row r="76">
          <cell r="E76">
            <v>0.2</v>
          </cell>
          <cell r="F76">
            <v>345.58853543849199</v>
          </cell>
          <cell r="G76">
            <v>0</v>
          </cell>
          <cell r="H76">
            <v>2364.852511644378</v>
          </cell>
          <cell r="I76">
            <v>0</v>
          </cell>
          <cell r="J76">
            <v>669.756763511955</v>
          </cell>
          <cell r="K76">
            <v>0</v>
          </cell>
          <cell r="L76">
            <v>3196.4640093211042</v>
          </cell>
          <cell r="M76">
            <v>0</v>
          </cell>
          <cell r="N76">
            <v>5952.6789935147526</v>
          </cell>
          <cell r="O76">
            <v>2.5000000000000001E-11</v>
          </cell>
          <cell r="P76">
            <v>26130.508216905793</v>
          </cell>
        </row>
        <row r="77">
          <cell r="C77">
            <v>0</v>
          </cell>
          <cell r="D77">
            <v>1063.9972311765</v>
          </cell>
        </row>
        <row r="78">
          <cell r="C78">
            <v>0</v>
          </cell>
          <cell r="D78">
            <v>0</v>
          </cell>
        </row>
        <row r="79">
          <cell r="C79">
            <v>-1.564E-9</v>
          </cell>
          <cell r="D79">
            <v>397.35078873768299</v>
          </cell>
        </row>
        <row r="80">
          <cell r="C80">
            <v>0</v>
          </cell>
          <cell r="D80">
            <v>1817.7825265623349</v>
          </cell>
        </row>
        <row r="81">
          <cell r="C81">
            <v>19.170811333544002</v>
          </cell>
          <cell r="D81">
            <v>936.19963497307504</v>
          </cell>
        </row>
        <row r="82">
          <cell r="C82">
            <v>8.0500631768552111</v>
          </cell>
          <cell r="D82">
            <v>109.496216341845</v>
          </cell>
        </row>
        <row r="83">
          <cell r="C83">
            <v>0</v>
          </cell>
          <cell r="D83">
            <v>11</v>
          </cell>
        </row>
        <row r="84">
          <cell r="E84">
            <v>2.6525199999999998E-3</v>
          </cell>
          <cell r="F84">
            <v>418.00900334798064</v>
          </cell>
          <cell r="G84">
            <v>0</v>
          </cell>
          <cell r="H84">
            <v>860.12657457092837</v>
          </cell>
          <cell r="I84">
            <v>0</v>
          </cell>
          <cell r="J84">
            <v>190.56081589879687</v>
          </cell>
          <cell r="K84">
            <v>0</v>
          </cell>
          <cell r="L84">
            <v>2846.7926906282296</v>
          </cell>
          <cell r="M84">
            <v>0</v>
          </cell>
          <cell r="N84">
            <v>1391.2805739766516</v>
          </cell>
          <cell r="O84">
            <v>0</v>
          </cell>
          <cell r="P84">
            <v>21102.48698733731</v>
          </cell>
        </row>
        <row r="86">
          <cell r="C86">
            <v>306.81541790024716</v>
          </cell>
          <cell r="D86">
            <v>1813.245775267832</v>
          </cell>
        </row>
        <row r="89">
          <cell r="C89">
            <v>0</v>
          </cell>
          <cell r="D89">
            <v>1863.8708441316612</v>
          </cell>
        </row>
        <row r="92">
          <cell r="C92">
            <v>483.09122412323154</v>
          </cell>
          <cell r="D92">
            <v>379.03528147466722</v>
          </cell>
        </row>
        <row r="93">
          <cell r="C93">
            <v>-3.3988672546999998E-2</v>
          </cell>
          <cell r="D93">
            <v>535.01268927931903</v>
          </cell>
          <cell r="E93">
            <v>0</v>
          </cell>
          <cell r="F93">
            <v>28.759251664869993</v>
          </cell>
          <cell r="G93">
            <v>0</v>
          </cell>
          <cell r="H93">
            <v>3.1098332499999994</v>
          </cell>
          <cell r="I93">
            <v>0</v>
          </cell>
          <cell r="J93">
            <v>9.3020074199000007</v>
          </cell>
          <cell r="K93">
            <v>0</v>
          </cell>
          <cell r="L93">
            <v>456.64116371955697</v>
          </cell>
          <cell r="M93">
            <v>7.36763E-3</v>
          </cell>
          <cell r="N93">
            <v>14.248281390219002</v>
          </cell>
          <cell r="O93">
            <v>7.0870000000000004E-5</v>
          </cell>
          <cell r="P93">
            <v>590.35294043333795</v>
          </cell>
        </row>
        <row r="94">
          <cell r="E94"/>
          <cell r="F94"/>
          <cell r="G94"/>
          <cell r="H94"/>
          <cell r="I94"/>
          <cell r="J94"/>
          <cell r="K94"/>
          <cell r="L94"/>
          <cell r="M94"/>
          <cell r="N94"/>
          <cell r="O94">
            <v>0</v>
          </cell>
          <cell r="P94">
            <v>402.23125046087</v>
          </cell>
        </row>
        <row r="95">
          <cell r="C95">
            <v>1440.633151090437</v>
          </cell>
          <cell r="D95">
            <v>4027.7664269173015</v>
          </cell>
          <cell r="E95">
            <v>0.1</v>
          </cell>
          <cell r="F95">
            <v>52.521038170000004</v>
          </cell>
          <cell r="G95">
            <v>0</v>
          </cell>
          <cell r="H95">
            <v>117.33952894545401</v>
          </cell>
          <cell r="I95">
            <v>0</v>
          </cell>
          <cell r="J95">
            <v>2</v>
          </cell>
          <cell r="K95">
            <v>0</v>
          </cell>
          <cell r="L95">
            <v>6177.1527460936759</v>
          </cell>
          <cell r="M95">
            <v>0.4</v>
          </cell>
          <cell r="N95">
            <v>1736.5216112428975</v>
          </cell>
          <cell r="O95">
            <v>66.884258110999994</v>
          </cell>
          <cell r="P95">
            <v>22470.517955667667</v>
          </cell>
        </row>
        <row r="96">
          <cell r="C96">
            <v>86.198603847005401</v>
          </cell>
          <cell r="D96">
            <v>72.817512811333003</v>
          </cell>
        </row>
        <row r="97">
          <cell r="C97">
            <v>570.3693770480636</v>
          </cell>
          <cell r="D97">
            <v>2131.264119027614</v>
          </cell>
          <cell r="E97">
            <v>5.5574441511936336E-2</v>
          </cell>
          <cell r="F97">
            <v>61.085591911759686</v>
          </cell>
          <cell r="G97">
            <v>0.46122413793103451</v>
          </cell>
          <cell r="H97">
            <v>6.1468396392572942</v>
          </cell>
          <cell r="I97">
            <v>3.5809018567639259E-4</v>
          </cell>
          <cell r="J97">
            <v>5.3</v>
          </cell>
          <cell r="K97">
            <v>7.0162811911206893E-2</v>
          </cell>
          <cell r="L97">
            <v>115.2820446010231</v>
          </cell>
          <cell r="M97">
            <v>0.46041270557029179</v>
          </cell>
          <cell r="N97">
            <v>134.6918628208827</v>
          </cell>
          <cell r="O97">
            <v>8.6968848647214853E-2</v>
          </cell>
          <cell r="P97">
            <v>1334.2017256593772</v>
          </cell>
        </row>
        <row r="98">
          <cell r="C98">
            <v>3275.1520789234874</v>
          </cell>
          <cell r="D98">
            <v>18379.393602548702</v>
          </cell>
          <cell r="E98">
            <v>0.41401433142813004</v>
          </cell>
          <cell r="F98">
            <v>2394.0416548035282</v>
          </cell>
          <cell r="G98">
            <v>0.46122413793103451</v>
          </cell>
          <cell r="H98">
            <v>3749.049107844326</v>
          </cell>
          <cell r="I98">
            <v>3.5809018567639259E-4</v>
          </cell>
          <cell r="J98">
            <v>3198.9227441484813</v>
          </cell>
          <cell r="K98">
            <v>7.2869806815289123E-2</v>
          </cell>
          <cell r="L98">
            <v>15802.239789507124</v>
          </cell>
          <cell r="M98">
            <v>0.87350732774317241</v>
          </cell>
          <cell r="N98">
            <v>12303.178604767272</v>
          </cell>
          <cell r="O98">
            <v>66.971350872088095</v>
          </cell>
          <cell r="P98">
            <v>80065.471629278603</v>
          </cell>
          <cell r="Q98">
            <v>139236.24253638773</v>
          </cell>
        </row>
        <row r="100">
          <cell r="Q100">
            <v>26588.657580456889</v>
          </cell>
        </row>
      </sheetData>
      <sheetData sheetId="1"/>
      <sheetData sheetId="2">
        <row r="15">
          <cell r="AX15">
            <v>35434.076730872992</v>
          </cell>
        </row>
        <row r="69">
          <cell r="AX69">
            <v>10434.426936724612</v>
          </cell>
        </row>
        <row r="86">
          <cell r="AX86">
            <v>0</v>
          </cell>
        </row>
        <row r="90">
          <cell r="AX90">
            <v>11.04</v>
          </cell>
        </row>
        <row r="105">
          <cell r="AX105">
            <v>0</v>
          </cell>
        </row>
        <row r="118">
          <cell r="AX118">
            <v>0</v>
          </cell>
        </row>
        <row r="120">
          <cell r="AX120">
            <v>7.7388607305000001E-3</v>
          </cell>
        </row>
        <row r="122">
          <cell r="AX122">
            <v>1498.1724271327239</v>
          </cell>
        </row>
        <row r="130">
          <cell r="AX130">
            <v>1548.470611484207</v>
          </cell>
        </row>
        <row r="141">
          <cell r="AX141">
            <v>705.83616956306878</v>
          </cell>
        </row>
        <row r="170">
          <cell r="AX170">
            <v>0.23</v>
          </cell>
        </row>
        <row r="186">
          <cell r="AX186">
            <v>13644.350882554505</v>
          </cell>
        </row>
        <row r="187">
          <cell r="AX187">
            <v>352.629168472</v>
          </cell>
        </row>
        <row r="188">
          <cell r="AX188">
            <v>50.201305260010002</v>
          </cell>
        </row>
        <row r="189">
          <cell r="AX189">
            <v>5227.7818471688252</v>
          </cell>
        </row>
        <row r="190">
          <cell r="AX190">
            <v>1524.289016017668</v>
          </cell>
        </row>
        <row r="191">
          <cell r="AX191">
            <v>1054.9303748098469</v>
          </cell>
        </row>
        <row r="192">
          <cell r="AX192">
            <v>32492.753866976076</v>
          </cell>
        </row>
        <row r="193">
          <cell r="AX193">
            <v>19177.239489048061</v>
          </cell>
        </row>
        <row r="199">
          <cell r="AX199">
            <v>3477.2375715264993</v>
          </cell>
        </row>
        <row r="200">
          <cell r="AX200">
            <v>93.956560972506907</v>
          </cell>
        </row>
        <row r="201">
          <cell r="AX201">
            <v>71.262583628295985</v>
          </cell>
        </row>
        <row r="202">
          <cell r="AX202">
            <v>269.50340956079572</v>
          </cell>
        </row>
        <row r="203">
          <cell r="AX203">
            <v>12.660218229036499</v>
          </cell>
        </row>
        <row r="204">
          <cell r="AX204">
            <v>8169.7144455242342</v>
          </cell>
        </row>
        <row r="229">
          <cell r="AX229">
            <v>2726.8464727745459</v>
          </cell>
        </row>
      </sheetData>
      <sheetData sheetId="3">
        <row r="15">
          <cell r="AH15">
            <v>36986.200070174091</v>
          </cell>
        </row>
        <row r="69">
          <cell r="AH69">
            <v>4757.4291390298931</v>
          </cell>
        </row>
        <row r="86">
          <cell r="AH86">
            <v>0</v>
          </cell>
        </row>
        <row r="90">
          <cell r="AH90">
            <v>0</v>
          </cell>
        </row>
        <row r="105">
          <cell r="AH105">
            <v>0</v>
          </cell>
        </row>
        <row r="118">
          <cell r="AH118">
            <v>0</v>
          </cell>
        </row>
        <row r="120">
          <cell r="AH120">
            <v>0</v>
          </cell>
        </row>
        <row r="122">
          <cell r="AH122">
            <v>1283.4718545354801</v>
          </cell>
        </row>
        <row r="130">
          <cell r="AH130">
            <v>15917.101757760409</v>
          </cell>
        </row>
        <row r="141">
          <cell r="AH141">
            <v>5046.554719841055</v>
          </cell>
        </row>
        <row r="170">
          <cell r="AH170">
            <v>862.38378959700003</v>
          </cell>
        </row>
        <row r="186">
          <cell r="AH186">
            <v>21654.536542238598</v>
          </cell>
        </row>
        <row r="187">
          <cell r="AH187">
            <v>0</v>
          </cell>
        </row>
        <row r="188">
          <cell r="AH188">
            <v>117.36194493999999</v>
          </cell>
        </row>
        <row r="189">
          <cell r="AH189">
            <v>2394.4148832322371</v>
          </cell>
        </row>
        <row r="190">
          <cell r="AH190">
            <v>3749.5245746422565</v>
          </cell>
        </row>
        <row r="191">
          <cell r="AH191">
            <v>3198.9360206231927</v>
          </cell>
        </row>
        <row r="192">
          <cell r="AH192">
            <v>15802.396220491381</v>
          </cell>
        </row>
        <row r="193">
          <cell r="AH193">
            <v>12304.016110484998</v>
          </cell>
        </row>
        <row r="199">
          <cell r="AH199">
            <v>2291.163453995503</v>
          </cell>
        </row>
        <row r="200">
          <cell r="AH200">
            <v>45.1</v>
          </cell>
        </row>
        <row r="201">
          <cell r="AH201">
            <v>0.34</v>
          </cell>
        </row>
        <row r="202">
          <cell r="AH202">
            <v>84.288858379999994</v>
          </cell>
        </row>
        <row r="203">
          <cell r="AH203">
            <v>0</v>
          </cell>
        </row>
        <row r="204">
          <cell r="AH204">
            <v>9259.6942802061021</v>
          </cell>
        </row>
        <row r="229">
          <cell r="AH229">
            <v>1207.0942222000922</v>
          </cell>
        </row>
        <row r="272">
          <cell r="AH272">
            <v>139236.28418319492</v>
          </cell>
        </row>
      </sheetData>
      <sheetData sheetId="4">
        <row r="14">
          <cell r="D14">
            <v>1633.7731909547276</v>
          </cell>
          <cell r="G14">
            <v>3343.892463124816</v>
          </cell>
        </row>
        <row r="16">
          <cell r="D16">
            <v>103359.40289964953</v>
          </cell>
          <cell r="G16">
            <v>103420.10728501972</v>
          </cell>
        </row>
        <row r="17">
          <cell r="D17">
            <v>2400.5647126657632</v>
          </cell>
          <cell r="G17">
            <v>1967.9535629711083</v>
          </cell>
        </row>
        <row r="18">
          <cell r="D18">
            <v>366.38479906253076</v>
          </cell>
          <cell r="G18">
            <v>339.37965770357505</v>
          </cell>
        </row>
        <row r="19">
          <cell r="D19">
            <v>163.83717582176595</v>
          </cell>
          <cell r="G19">
            <v>692.49774817155094</v>
          </cell>
        </row>
        <row r="20">
          <cell r="D20">
            <v>12424.016531274758</v>
          </cell>
          <cell r="G20">
            <v>14132.726329273666</v>
          </cell>
        </row>
        <row r="21">
          <cell r="D21">
            <v>13213.991951506572</v>
          </cell>
          <cell r="G21">
            <v>7763.9598276183169</v>
          </cell>
        </row>
        <row r="22">
          <cell r="D22">
            <v>2241.9072441814892</v>
          </cell>
          <cell r="G22">
            <v>2047.2749066199763</v>
          </cell>
        </row>
        <row r="23">
          <cell r="D23">
            <v>3432.3173237352094</v>
          </cell>
          <cell r="G23">
            <v>5528.4118746000213</v>
          </cell>
        </row>
        <row r="24">
          <cell r="G24">
            <v>139236.20365510276</v>
          </cell>
        </row>
      </sheetData>
      <sheetData sheetId="5"/>
      <sheetData sheetId="6"/>
      <sheetData sheetId="7"/>
      <sheetData sheetId="8"/>
      <sheetData sheetId="9"/>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14">
          <cell r="C14">
            <v>32.738689289</v>
          </cell>
          <cell r="D14">
            <v>2.6838077934399998</v>
          </cell>
          <cell r="E14">
            <v>0</v>
          </cell>
          <cell r="F14">
            <v>801.71054166996998</v>
          </cell>
          <cell r="G14">
            <v>0</v>
          </cell>
          <cell r="H14">
            <v>1.2500000000000001E-6</v>
          </cell>
          <cell r="I14">
            <v>0</v>
          </cell>
          <cell r="J14">
            <v>0</v>
          </cell>
          <cell r="K14">
            <v>1.3972427100000001E-4</v>
          </cell>
          <cell r="L14">
            <v>-3.1240629000000013E-5</v>
          </cell>
          <cell r="M14">
            <v>0</v>
          </cell>
          <cell r="N14">
            <v>0</v>
          </cell>
          <cell r="O14">
            <v>0</v>
          </cell>
          <cell r="P14">
            <v>4404.9049881099518</v>
          </cell>
        </row>
        <row r="18">
          <cell r="C18">
            <v>22.448431716518449</v>
          </cell>
          <cell r="D18">
            <v>2040.0885851070673</v>
          </cell>
          <cell r="E18">
            <v>3.5947869667644565E-2</v>
          </cell>
          <cell r="F18">
            <v>2198.8809938056806</v>
          </cell>
          <cell r="G18">
            <v>18.000014988459</v>
          </cell>
          <cell r="H18">
            <v>354.27360441983853</v>
          </cell>
          <cell r="I18">
            <v>0</v>
          </cell>
          <cell r="J18">
            <v>617.66910287537701</v>
          </cell>
          <cell r="K18">
            <v>3.0077985051989387E-4</v>
          </cell>
          <cell r="L18">
            <v>2326.2286133851749</v>
          </cell>
          <cell r="M18">
            <v>34.587575971497934</v>
          </cell>
          <cell r="N18">
            <v>6305.3187219073352</v>
          </cell>
          <cell r="O18">
            <v>4.6917065270387269E-2</v>
          </cell>
          <cell r="P18">
            <v>17950.29050515085</v>
          </cell>
        </row>
        <row r="22">
          <cell r="E22">
            <v>0.9093747171918356</v>
          </cell>
          <cell r="F22">
            <v>279.78135098444602</v>
          </cell>
          <cell r="G22">
            <v>39.045780624193966</v>
          </cell>
          <cell r="H22">
            <v>1166.402788467808</v>
          </cell>
          <cell r="I22">
            <v>0.34034105570291784</v>
          </cell>
          <cell r="J22">
            <v>189.63511289462932</v>
          </cell>
          <cell r="K22">
            <v>28.368068586458154</v>
          </cell>
          <cell r="L22">
            <v>11680.456457861292</v>
          </cell>
          <cell r="M22">
            <v>2.4542272472366022</v>
          </cell>
          <cell r="N22">
            <v>3881.3556723810593</v>
          </cell>
          <cell r="O22">
            <v>78.951705661647935</v>
          </cell>
          <cell r="P22">
            <v>11234.672058018245</v>
          </cell>
        </row>
        <row r="23">
          <cell r="C23">
            <v>0.70863148382383279</v>
          </cell>
          <cell r="D23">
            <v>45.711774648438201</v>
          </cell>
        </row>
        <row r="24">
          <cell r="C24">
            <v>0.13611122803655967</v>
          </cell>
          <cell r="D24">
            <v>108.02138259005</v>
          </cell>
        </row>
        <row r="25">
          <cell r="C25">
            <v>3.9579491456774591</v>
          </cell>
          <cell r="D25">
            <v>113.14077990639737</v>
          </cell>
        </row>
        <row r="26">
          <cell r="C26">
            <v>150.18629374488833</v>
          </cell>
          <cell r="D26">
            <v>240.61972669475526</v>
          </cell>
        </row>
        <row r="27">
          <cell r="C27">
            <v>30.589216555502261</v>
          </cell>
          <cell r="D27">
            <v>355.22580942407825</v>
          </cell>
        </row>
        <row r="28">
          <cell r="C28">
            <v>34.745823495583537</v>
          </cell>
          <cell r="D28">
            <v>132.48150914111926</v>
          </cell>
        </row>
        <row r="29">
          <cell r="C29">
            <v>64.266095354588856</v>
          </cell>
          <cell r="D29">
            <v>85.461625941061016</v>
          </cell>
        </row>
        <row r="30">
          <cell r="C30">
            <v>0</v>
          </cell>
          <cell r="D30">
            <v>971.13119309915999</v>
          </cell>
          <cell r="E30">
            <v>0</v>
          </cell>
          <cell r="F30">
            <v>0</v>
          </cell>
          <cell r="G30">
            <v>0</v>
          </cell>
          <cell r="H30">
            <v>0</v>
          </cell>
          <cell r="I30">
            <v>0</v>
          </cell>
          <cell r="J30">
            <v>0</v>
          </cell>
          <cell r="K30">
            <v>0</v>
          </cell>
          <cell r="L30">
            <v>0</v>
          </cell>
          <cell r="M30">
            <v>0</v>
          </cell>
          <cell r="N30">
            <v>1.7896709520000002E-2</v>
          </cell>
          <cell r="O30">
            <v>0</v>
          </cell>
          <cell r="P30">
            <v>0</v>
          </cell>
        </row>
        <row r="31">
          <cell r="C31">
            <v>0</v>
          </cell>
          <cell r="D31">
            <v>285.43458338790697</v>
          </cell>
          <cell r="E31">
            <v>0</v>
          </cell>
          <cell r="F31">
            <v>14.67125196978</v>
          </cell>
          <cell r="G31">
            <v>0</v>
          </cell>
          <cell r="H31">
            <v>19.596396979969995</v>
          </cell>
          <cell r="I31">
            <v>0</v>
          </cell>
          <cell r="J31">
            <v>0.95487754997000007</v>
          </cell>
          <cell r="K31">
            <v>0</v>
          </cell>
          <cell r="L31">
            <v>99.164763959311003</v>
          </cell>
          <cell r="M31">
            <v>3.1199E-4</v>
          </cell>
          <cell r="N31">
            <v>56.256249622925999</v>
          </cell>
          <cell r="O31">
            <v>0</v>
          </cell>
          <cell r="P31">
            <v>1056.3949675132549</v>
          </cell>
        </row>
        <row r="32">
          <cell r="E32"/>
          <cell r="F32"/>
          <cell r="G32"/>
          <cell r="H32"/>
          <cell r="I32"/>
          <cell r="J32"/>
          <cell r="K32"/>
          <cell r="L32"/>
          <cell r="M32"/>
          <cell r="N32"/>
          <cell r="O32">
            <v>0</v>
          </cell>
          <cell r="P32">
            <v>927.12998686994001</v>
          </cell>
        </row>
        <row r="33">
          <cell r="C33">
            <v>752.61935055357992</v>
          </cell>
          <cell r="D33">
            <v>3984.2493281302482</v>
          </cell>
          <cell r="E33">
            <v>1.3</v>
          </cell>
          <cell r="F33">
            <v>75.900000000000006</v>
          </cell>
          <cell r="G33">
            <v>0</v>
          </cell>
          <cell r="H33">
            <v>7.2204788799999999</v>
          </cell>
          <cell r="I33">
            <v>0</v>
          </cell>
          <cell r="J33">
            <v>395.35024494999999</v>
          </cell>
          <cell r="K33">
            <v>0</v>
          </cell>
          <cell r="L33">
            <v>12303.989420566495</v>
          </cell>
          <cell r="M33">
            <v>0</v>
          </cell>
          <cell r="N33">
            <v>7610.0496891101411</v>
          </cell>
          <cell r="O33">
            <v>1.7568384377399999</v>
          </cell>
          <cell r="P33">
            <v>24017.560411803548</v>
          </cell>
        </row>
        <row r="34">
          <cell r="C34">
            <v>100.68326898030098</v>
          </cell>
          <cell r="D34">
            <v>2177.3727418864337</v>
          </cell>
          <cell r="E34">
            <v>0</v>
          </cell>
          <cell r="F34">
            <v>977.53605535000008</v>
          </cell>
          <cell r="G34">
            <v>15.383673474801062</v>
          </cell>
          <cell r="H34">
            <v>10.949883</v>
          </cell>
          <cell r="I34">
            <v>0</v>
          </cell>
          <cell r="J34">
            <v>18.254905399999998</v>
          </cell>
          <cell r="K34">
            <v>0</v>
          </cell>
          <cell r="L34">
            <v>1997.0657829500001</v>
          </cell>
          <cell r="M34">
            <v>0</v>
          </cell>
          <cell r="N34">
            <v>37.11513935</v>
          </cell>
          <cell r="O34">
            <v>0</v>
          </cell>
          <cell r="P34">
            <v>2919.0970204684136</v>
          </cell>
        </row>
        <row r="36">
          <cell r="C36">
            <v>76.986666451853239</v>
          </cell>
          <cell r="D36">
            <v>658.11898636266028</v>
          </cell>
          <cell r="E36">
            <v>0</v>
          </cell>
          <cell r="F36">
            <v>451.10996574496488</v>
          </cell>
          <cell r="G36">
            <v>11.647321635679939</v>
          </cell>
          <cell r="H36">
            <v>0</v>
          </cell>
          <cell r="I36">
            <v>0</v>
          </cell>
          <cell r="J36">
            <v>2.6341148312000002E-3</v>
          </cell>
          <cell r="K36">
            <v>1.4788519204480002</v>
          </cell>
          <cell r="L36">
            <v>2317.8380534784583</v>
          </cell>
          <cell r="M36">
            <v>0</v>
          </cell>
          <cell r="N36">
            <v>60.344667052432804</v>
          </cell>
          <cell r="O36">
            <v>0</v>
          </cell>
          <cell r="P36">
            <v>1312.9663377298643</v>
          </cell>
        </row>
        <row r="37">
          <cell r="C37">
            <v>212.71449024286019</v>
          </cell>
          <cell r="D37">
            <v>1433.848730354611</v>
          </cell>
          <cell r="E37">
            <v>0</v>
          </cell>
          <cell r="F37">
            <v>0.1</v>
          </cell>
          <cell r="G37">
            <v>0</v>
          </cell>
          <cell r="H37">
            <v>0</v>
          </cell>
          <cell r="I37">
            <v>0</v>
          </cell>
          <cell r="J37">
            <v>0.1</v>
          </cell>
          <cell r="K37">
            <v>4.6121291809000001E-2</v>
          </cell>
          <cell r="L37">
            <v>23.009870333809999</v>
          </cell>
          <cell r="M37">
            <v>0.100024936551</v>
          </cell>
          <cell r="N37">
            <v>92.961669051277994</v>
          </cell>
          <cell r="O37">
            <v>1.4000249710380002</v>
          </cell>
          <cell r="P37">
            <v>476.40894502781487</v>
          </cell>
        </row>
        <row r="38">
          <cell r="C38">
            <v>1482.7810182422133</v>
          </cell>
          <cell r="D38">
            <v>12633.590564467429</v>
          </cell>
          <cell r="E38">
            <v>2.2453225868594799</v>
          </cell>
          <cell r="F38">
            <v>4799.6901595248419</v>
          </cell>
          <cell r="G38">
            <v>84.076790723133968</v>
          </cell>
          <cell r="H38">
            <v>1558.4431529976166</v>
          </cell>
          <cell r="I38">
            <v>0.34034105570291784</v>
          </cell>
          <cell r="J38">
            <v>1221.9668777848074</v>
          </cell>
          <cell r="K38">
            <v>29.893482302836677</v>
          </cell>
          <cell r="L38">
            <v>30747.752931293915</v>
          </cell>
          <cell r="M38">
            <v>37.142140145285538</v>
          </cell>
          <cell r="N38">
            <v>18043.419705184693</v>
          </cell>
          <cell r="O38">
            <v>82.155486135696322</v>
          </cell>
          <cell r="P38">
            <v>64299.425220691883</v>
          </cell>
          <cell r="Q38">
            <v>135022.9231931369</v>
          </cell>
        </row>
        <row r="40">
          <cell r="Q40">
            <v>25298.06549210324</v>
          </cell>
        </row>
        <row r="68">
          <cell r="C68">
            <v>0.24420787412182654</v>
          </cell>
          <cell r="D68">
            <v>0.15492982000000002</v>
          </cell>
        </row>
        <row r="69">
          <cell r="C69">
            <v>174.76746697397613</v>
          </cell>
          <cell r="D69">
            <v>-5.0000000000000002E-11</v>
          </cell>
          <cell r="E69">
            <v>0</v>
          </cell>
          <cell r="F69">
            <v>0</v>
          </cell>
          <cell r="G69">
            <v>0</v>
          </cell>
          <cell r="H69">
            <v>0</v>
          </cell>
          <cell r="I69">
            <v>0</v>
          </cell>
          <cell r="J69">
            <v>0</v>
          </cell>
          <cell r="K69">
            <v>0</v>
          </cell>
          <cell r="L69">
            <v>0</v>
          </cell>
          <cell r="M69">
            <v>0</v>
          </cell>
          <cell r="N69">
            <v>0</v>
          </cell>
          <cell r="O69">
            <v>0</v>
          </cell>
          <cell r="P69">
            <v>15.98104165</v>
          </cell>
        </row>
        <row r="72">
          <cell r="C72">
            <v>198.64925248924487</v>
          </cell>
          <cell r="D72">
            <v>3410.0397027636027</v>
          </cell>
          <cell r="E72">
            <v>7.8320810234496024E-2</v>
          </cell>
          <cell r="F72">
            <v>1516.9110286511709</v>
          </cell>
          <cell r="G72">
            <v>0</v>
          </cell>
          <cell r="H72">
            <v>428.4429082184858</v>
          </cell>
          <cell r="I72">
            <v>0</v>
          </cell>
          <cell r="J72">
            <v>2287.5829043435874</v>
          </cell>
          <cell r="K72">
            <v>0.17924300551816183</v>
          </cell>
          <cell r="L72">
            <v>2350.4485154388076</v>
          </cell>
          <cell r="M72">
            <v>1.5835676206896551E-5</v>
          </cell>
          <cell r="N72">
            <v>3057.5035962374036</v>
          </cell>
          <cell r="O72">
            <v>4.7734827301803701E-3</v>
          </cell>
          <cell r="P72">
            <v>7561.4461597848976</v>
          </cell>
        </row>
        <row r="76">
          <cell r="E76">
            <v>0.2</v>
          </cell>
          <cell r="F76">
            <v>339.43683426636795</v>
          </cell>
          <cell r="G76">
            <v>0</v>
          </cell>
          <cell r="H76">
            <v>2582.2027161394089</v>
          </cell>
          <cell r="I76">
            <v>0</v>
          </cell>
          <cell r="J76">
            <v>718.71315885143895</v>
          </cell>
          <cell r="K76">
            <v>0</v>
          </cell>
          <cell r="L76">
            <v>3274.3660975815901</v>
          </cell>
          <cell r="M76">
            <v>0</v>
          </cell>
          <cell r="N76">
            <v>5717.6867091294635</v>
          </cell>
          <cell r="O76">
            <v>3E-11</v>
          </cell>
          <cell r="P76">
            <v>24779.983775695222</v>
          </cell>
        </row>
        <row r="77">
          <cell r="C77">
            <v>0</v>
          </cell>
          <cell r="D77">
            <v>1060.18515161609</v>
          </cell>
        </row>
        <row r="78">
          <cell r="C78">
            <v>0</v>
          </cell>
          <cell r="D78">
            <v>0</v>
          </cell>
        </row>
        <row r="79">
          <cell r="C79">
            <v>-1.5650000000000001E-9</v>
          </cell>
          <cell r="D79">
            <v>511.920780278314</v>
          </cell>
        </row>
        <row r="80">
          <cell r="C80">
            <v>0</v>
          </cell>
          <cell r="D80">
            <v>1704.2132999588011</v>
          </cell>
        </row>
        <row r="81">
          <cell r="C81">
            <v>19.632393826654003</v>
          </cell>
          <cell r="D81">
            <v>880.9421085559319</v>
          </cell>
        </row>
        <row r="82">
          <cell r="C82">
            <v>7.9321333313633495</v>
          </cell>
          <cell r="D82">
            <v>108.220405307253</v>
          </cell>
        </row>
        <row r="83">
          <cell r="C83">
            <v>0</v>
          </cell>
          <cell r="D83">
            <v>8.6</v>
          </cell>
        </row>
        <row r="84">
          <cell r="E84">
            <v>2.6525199999999998E-3</v>
          </cell>
          <cell r="F84">
            <v>572.63714217998654</v>
          </cell>
          <cell r="G84">
            <v>0</v>
          </cell>
          <cell r="H84">
            <v>873.02295525809677</v>
          </cell>
          <cell r="I84">
            <v>0</v>
          </cell>
          <cell r="J84">
            <v>195.33353877418548</v>
          </cell>
          <cell r="K84">
            <v>0</v>
          </cell>
          <cell r="L84">
            <v>3077.1282042441981</v>
          </cell>
          <cell r="M84">
            <v>0</v>
          </cell>
          <cell r="N84">
            <v>1386.654399852267</v>
          </cell>
          <cell r="O84">
            <v>0</v>
          </cell>
          <cell r="P84">
            <v>20615.05745246954</v>
          </cell>
        </row>
        <row r="86">
          <cell r="C86">
            <v>271.47508379532491</v>
          </cell>
          <cell r="D86">
            <v>2179.2384903555535</v>
          </cell>
        </row>
        <row r="89">
          <cell r="C89">
            <v>0</v>
          </cell>
          <cell r="D89">
            <v>1370.814795511159</v>
          </cell>
        </row>
        <row r="92">
          <cell r="C92">
            <v>490.2307191675111</v>
          </cell>
          <cell r="D92">
            <v>394.6352811914814</v>
          </cell>
        </row>
        <row r="93">
          <cell r="C93">
            <v>-3.4003324520000003E-2</v>
          </cell>
          <cell r="D93">
            <v>543.07901648492111</v>
          </cell>
          <cell r="E93">
            <v>0</v>
          </cell>
          <cell r="F93">
            <v>28.687516849839994</v>
          </cell>
          <cell r="G93">
            <v>0</v>
          </cell>
          <cell r="H93">
            <v>2.8568035150400002</v>
          </cell>
          <cell r="I93">
            <v>0</v>
          </cell>
          <cell r="J93">
            <v>8.9572653199200012</v>
          </cell>
          <cell r="K93">
            <v>0</v>
          </cell>
          <cell r="L93">
            <v>448.61860864598799</v>
          </cell>
          <cell r="M93">
            <v>7.36763E-3</v>
          </cell>
          <cell r="N93">
            <v>17.877889773710002</v>
          </cell>
          <cell r="O93">
            <v>7.0870000000000004E-5</v>
          </cell>
          <cell r="P93">
            <v>626.73781753108199</v>
          </cell>
        </row>
        <row r="94">
          <cell r="E94"/>
          <cell r="F94"/>
          <cell r="G94"/>
          <cell r="H94"/>
          <cell r="I94"/>
          <cell r="J94"/>
          <cell r="K94"/>
          <cell r="L94"/>
          <cell r="M94"/>
          <cell r="N94"/>
          <cell r="O94">
            <v>0</v>
          </cell>
          <cell r="P94">
            <v>403.33727186781999</v>
          </cell>
        </row>
        <row r="95">
          <cell r="C95">
            <v>1467.0837595650587</v>
          </cell>
          <cell r="D95">
            <v>4101.8830935160731</v>
          </cell>
          <cell r="E95">
            <v>0.1</v>
          </cell>
          <cell r="F95">
            <v>52.47768722</v>
          </cell>
          <cell r="G95">
            <v>0</v>
          </cell>
          <cell r="H95">
            <v>151.445618738848</v>
          </cell>
          <cell r="I95">
            <v>0</v>
          </cell>
          <cell r="J95">
            <v>2.1</v>
          </cell>
          <cell r="K95">
            <v>0</v>
          </cell>
          <cell r="L95">
            <v>6817.2205542912407</v>
          </cell>
          <cell r="M95">
            <v>0.6</v>
          </cell>
          <cell r="N95">
            <v>1665.508980939909</v>
          </cell>
          <cell r="O95">
            <v>66.784258111</v>
          </cell>
          <cell r="P95">
            <v>20230.228946084768</v>
          </cell>
        </row>
        <row r="96">
          <cell r="C96">
            <v>84.772314743811549</v>
          </cell>
          <cell r="D96">
            <v>71.79938811679898</v>
          </cell>
        </row>
        <row r="97">
          <cell r="C97">
            <v>666.72530430626921</v>
          </cell>
          <cell r="D97">
            <v>1473.5896583460922</v>
          </cell>
          <cell r="E97">
            <v>8.22022399204244E-2</v>
          </cell>
          <cell r="F97">
            <v>60.173255552440324</v>
          </cell>
          <cell r="G97">
            <v>0.49154568435013263</v>
          </cell>
          <cell r="H97">
            <v>7.1632576445045091</v>
          </cell>
          <cell r="I97">
            <v>3.3156498673740051E-4</v>
          </cell>
          <cell r="J97">
            <v>4.3011009599999994</v>
          </cell>
          <cell r="K97">
            <v>1.3461227572308354</v>
          </cell>
          <cell r="L97">
            <v>78.156822208635035</v>
          </cell>
          <cell r="M97">
            <v>0.65625247745358095</v>
          </cell>
          <cell r="N97">
            <v>221.56106832832137</v>
          </cell>
          <cell r="O97">
            <v>2.1411323607427053E-2</v>
          </cell>
          <cell r="P97">
            <v>1573.6769781450175</v>
          </cell>
        </row>
        <row r="98">
          <cell r="C98">
            <v>3381.4786327472507</v>
          </cell>
          <cell r="D98">
            <v>17819.31610182202</v>
          </cell>
          <cell r="E98">
            <v>0.4631755701549205</v>
          </cell>
          <cell r="F98">
            <v>2570.323464719806</v>
          </cell>
          <cell r="G98">
            <v>0.49154568435013263</v>
          </cell>
          <cell r="H98">
            <v>4045.1342595143842</v>
          </cell>
          <cell r="I98">
            <v>3.3156498673740051E-4</v>
          </cell>
          <cell r="J98">
            <v>3216.9879682491319</v>
          </cell>
          <cell r="K98">
            <v>1.5253657627489972</v>
          </cell>
          <cell r="L98">
            <v>16045.938802410459</v>
          </cell>
          <cell r="M98">
            <v>1.2636359431297879</v>
          </cell>
          <cell r="N98">
            <v>12066.792644261073</v>
          </cell>
          <cell r="O98">
            <v>66.810513787367597</v>
          </cell>
          <cell r="P98">
            <v>75806.449443228339</v>
          </cell>
          <cell r="Q98">
            <v>135022.97588526522</v>
          </cell>
        </row>
        <row r="100">
          <cell r="Q100">
            <v>25680.421303162453</v>
          </cell>
        </row>
      </sheetData>
      <sheetData sheetId="1"/>
      <sheetData sheetId="2">
        <row r="15">
          <cell r="AX15">
            <v>34237.983568252537</v>
          </cell>
        </row>
        <row r="69">
          <cell r="AX69">
            <v>10785.44995740153</v>
          </cell>
        </row>
        <row r="86">
          <cell r="AX86">
            <v>0</v>
          </cell>
        </row>
        <row r="90">
          <cell r="AX90">
            <v>22.14</v>
          </cell>
        </row>
        <row r="105">
          <cell r="AX105">
            <v>0</v>
          </cell>
        </row>
        <row r="118">
          <cell r="AX118">
            <v>0</v>
          </cell>
        </row>
        <row r="120">
          <cell r="AX120">
            <v>8.0646465618000006E-3</v>
          </cell>
        </row>
        <row r="122">
          <cell r="AX122">
            <v>1518.9656696510785</v>
          </cell>
        </row>
        <row r="130">
          <cell r="AX130">
            <v>1480.6357104524034</v>
          </cell>
        </row>
        <row r="141">
          <cell r="AX141">
            <v>666.33729330144479</v>
          </cell>
        </row>
        <row r="170">
          <cell r="AX170">
            <v>0.16703181000000003</v>
          </cell>
        </row>
        <row r="186">
          <cell r="AX186">
            <v>14116.348318840255</v>
          </cell>
        </row>
        <row r="187">
          <cell r="AX187">
            <v>352.12700821700003</v>
          </cell>
        </row>
        <row r="188">
          <cell r="AX188">
            <v>61.269986040009996</v>
          </cell>
        </row>
        <row r="189">
          <cell r="AX189">
            <v>4802.0130711303582</v>
          </cell>
        </row>
        <row r="190">
          <cell r="AX190">
            <v>1642.5099437207202</v>
          </cell>
        </row>
        <row r="191">
          <cell r="AX191">
            <v>1222.3053421998679</v>
          </cell>
        </row>
        <row r="192">
          <cell r="AX192">
            <v>30777.653328895416</v>
          </cell>
        </row>
        <row r="193">
          <cell r="AX193">
            <v>18080.584434477463</v>
          </cell>
        </row>
        <row r="199">
          <cell r="AX199">
            <v>3483.0260895525148</v>
          </cell>
        </row>
        <row r="200">
          <cell r="AX200">
            <v>91.548287966140848</v>
          </cell>
        </row>
        <row r="201">
          <cell r="AX201">
            <v>18.489559997278398</v>
          </cell>
        </row>
        <row r="202">
          <cell r="AX202">
            <v>301.63722735946948</v>
          </cell>
        </row>
        <row r="203">
          <cell r="AX203">
            <v>19.448256952607395</v>
          </cell>
        </row>
        <row r="204">
          <cell r="AX204">
            <v>7701.8743464800245</v>
          </cell>
        </row>
        <row r="229">
          <cell r="AX229">
            <v>2445.0204727745449</v>
          </cell>
        </row>
      </sheetData>
      <sheetData sheetId="3">
        <row r="15">
          <cell r="AH15">
            <v>34714.714614534423</v>
          </cell>
        </row>
        <row r="69">
          <cell r="AH69">
            <v>4657.4573420955548</v>
          </cell>
        </row>
        <row r="86">
          <cell r="AH86">
            <v>0</v>
          </cell>
        </row>
        <row r="90">
          <cell r="AH90">
            <v>0</v>
          </cell>
        </row>
        <row r="105">
          <cell r="AH105">
            <v>0</v>
          </cell>
        </row>
        <row r="118">
          <cell r="AH118">
            <v>0</v>
          </cell>
        </row>
        <row r="120">
          <cell r="AH120">
            <v>0</v>
          </cell>
        </row>
        <row r="122">
          <cell r="AH122">
            <v>1284.2403606665857</v>
          </cell>
        </row>
        <row r="130">
          <cell r="AH130">
            <v>15050.323815833226</v>
          </cell>
        </row>
        <row r="141">
          <cell r="AH141">
            <v>4798.2831711430717</v>
          </cell>
        </row>
        <row r="170">
          <cell r="AH170">
            <v>853.88319555800047</v>
          </cell>
        </row>
        <row r="186">
          <cell r="AH186">
            <v>21200.785320895127</v>
          </cell>
        </row>
        <row r="187">
          <cell r="AH187">
            <v>0</v>
          </cell>
        </row>
        <row r="188">
          <cell r="AH188">
            <v>55.316172100000003</v>
          </cell>
        </row>
        <row r="189">
          <cell r="AH189">
            <v>2570.7251871544649</v>
          </cell>
        </row>
        <row r="190">
          <cell r="AH190">
            <v>4045.6200479387339</v>
          </cell>
        </row>
        <row r="191">
          <cell r="AH191">
            <v>3217.0125014586097</v>
          </cell>
        </row>
        <row r="192">
          <cell r="AH192">
            <v>16047.555648537273</v>
          </cell>
        </row>
        <row r="193">
          <cell r="AH193">
            <v>12068.021008117923</v>
          </cell>
        </row>
        <row r="199">
          <cell r="AH199">
            <v>2336.2028504568002</v>
          </cell>
        </row>
        <row r="200">
          <cell r="AH200">
            <v>47.903845000000004</v>
          </cell>
        </row>
        <row r="201">
          <cell r="AH201">
            <v>0.3</v>
          </cell>
        </row>
        <row r="202">
          <cell r="AH202">
            <v>75.123200479999994</v>
          </cell>
        </row>
        <row r="203">
          <cell r="AH203">
            <v>0</v>
          </cell>
        </row>
        <row r="204">
          <cell r="AH204">
            <v>8561.0164191172007</v>
          </cell>
        </row>
        <row r="229">
          <cell r="AH229">
            <v>1125.5357032293748</v>
          </cell>
        </row>
        <row r="272">
          <cell r="AH272">
            <v>135023.06831915688</v>
          </cell>
        </row>
      </sheetData>
      <sheetData sheetId="4">
        <row r="14">
          <cell r="D14">
            <v>1718.6385070228321</v>
          </cell>
          <cell r="G14">
            <v>3452.0156222959276</v>
          </cell>
        </row>
        <row r="16">
          <cell r="D16">
            <v>100149.64722102387</v>
          </cell>
          <cell r="G16">
            <v>100216.49915839404</v>
          </cell>
        </row>
        <row r="17">
          <cell r="D17">
            <v>2197.6357289146686</v>
          </cell>
          <cell r="G17">
            <v>1780.1946317096281</v>
          </cell>
        </row>
        <row r="18">
          <cell r="D18">
            <v>288.33900440267433</v>
          </cell>
          <cell r="G18">
            <v>335.11387090705466</v>
          </cell>
        </row>
        <row r="19">
          <cell r="D19">
            <v>163.98593736568151</v>
          </cell>
          <cell r="G19">
            <v>688.93675775315182</v>
          </cell>
        </row>
        <row r="20">
          <cell r="D20">
            <v>12529.072124199618</v>
          </cell>
          <cell r="G20">
            <v>13496.60725400951</v>
          </cell>
        </row>
        <row r="21">
          <cell r="D21">
            <v>12527.16592756767</v>
          </cell>
          <cell r="G21">
            <v>7707.7829941622267</v>
          </cell>
        </row>
        <row r="22">
          <cell r="D22">
            <v>2133.282177674464</v>
          </cell>
          <cell r="G22">
            <v>1868.4910540906608</v>
          </cell>
        </row>
        <row r="23">
          <cell r="D23">
            <v>3315.0757685404756</v>
          </cell>
          <cell r="G23">
            <v>5477.2564490736859</v>
          </cell>
        </row>
        <row r="24">
          <cell r="G24">
            <v>135022.8977923959</v>
          </cell>
        </row>
      </sheetData>
      <sheetData sheetId="5"/>
      <sheetData sheetId="6"/>
      <sheetData sheetId="7"/>
      <sheetData sheetId="8"/>
      <sheetData sheetId="9"/>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14">
          <cell r="C14">
            <v>0</v>
          </cell>
          <cell r="D14">
            <v>1.5590588329300001</v>
          </cell>
          <cell r="E14">
            <v>0</v>
          </cell>
          <cell r="F14">
            <v>775.1724458399699</v>
          </cell>
          <cell r="G14">
            <v>0</v>
          </cell>
          <cell r="H14">
            <v>1.2500000000000001E-6</v>
          </cell>
          <cell r="I14">
            <v>0</v>
          </cell>
          <cell r="J14">
            <v>0</v>
          </cell>
          <cell r="K14">
            <v>1.3972156500000001E-4</v>
          </cell>
          <cell r="L14">
            <v>-3.2979944000000006E-5</v>
          </cell>
          <cell r="M14">
            <v>0</v>
          </cell>
          <cell r="N14">
            <v>0</v>
          </cell>
          <cell r="O14">
            <v>0</v>
          </cell>
          <cell r="P14">
            <v>4479.7713602518006</v>
          </cell>
        </row>
        <row r="18">
          <cell r="C18">
            <v>12.57514470181429</v>
          </cell>
          <cell r="D18">
            <v>1911.0948219290221</v>
          </cell>
          <cell r="E18">
            <v>3.6119019998278511E-2</v>
          </cell>
          <cell r="F18">
            <v>2423.2947484268193</v>
          </cell>
          <cell r="G18">
            <v>13.000014988168999</v>
          </cell>
          <cell r="H18">
            <v>399.94302731244863</v>
          </cell>
          <cell r="I18">
            <v>0</v>
          </cell>
          <cell r="J18">
            <v>578.10318944738697</v>
          </cell>
          <cell r="K18">
            <v>3.00771372E-4</v>
          </cell>
          <cell r="L18">
            <v>2138.956367529096</v>
          </cell>
          <cell r="M18">
            <v>34.728128566500018</v>
          </cell>
          <cell r="N18">
            <v>6429.7115065430617</v>
          </cell>
          <cell r="O18">
            <v>4.6639349308716188E-2</v>
          </cell>
          <cell r="P18">
            <v>18746.130515361772</v>
          </cell>
        </row>
        <row r="22">
          <cell r="E22">
            <v>7.4644975500830819</v>
          </cell>
          <cell r="F22">
            <v>317.99865880922511</v>
          </cell>
          <cell r="G22">
            <v>22.266964596074128</v>
          </cell>
          <cell r="H22">
            <v>1238.4547533660018</v>
          </cell>
          <cell r="I22">
            <v>0.195215625994695</v>
          </cell>
          <cell r="J22">
            <v>201.37639219199434</v>
          </cell>
          <cell r="K22">
            <v>40.963611945060777</v>
          </cell>
          <cell r="L22">
            <v>11821.905470649948</v>
          </cell>
          <cell r="M22">
            <v>0.13550667392450397</v>
          </cell>
          <cell r="N22">
            <v>3669.0322429922735</v>
          </cell>
          <cell r="O22">
            <v>35.255590662247499</v>
          </cell>
          <cell r="P22">
            <v>12252.125658007551</v>
          </cell>
        </row>
        <row r="23">
          <cell r="C23">
            <v>0.39659734158184357</v>
          </cell>
          <cell r="D23">
            <v>46.836931830877745</v>
          </cell>
        </row>
        <row r="24">
          <cell r="C24">
            <v>0.14013828931076922</v>
          </cell>
          <cell r="D24">
            <v>118.43604718003999</v>
          </cell>
        </row>
        <row r="25">
          <cell r="C25">
            <v>9.2627900638091472</v>
          </cell>
          <cell r="D25">
            <v>144.20474006582717</v>
          </cell>
        </row>
        <row r="26">
          <cell r="C26">
            <v>102.4399237958674</v>
          </cell>
          <cell r="D26">
            <v>240.26843345086525</v>
          </cell>
        </row>
        <row r="27">
          <cell r="C27">
            <v>22.146635133170317</v>
          </cell>
          <cell r="D27">
            <v>344.81463553592698</v>
          </cell>
        </row>
        <row r="28">
          <cell r="C28">
            <v>42.320508355716157</v>
          </cell>
          <cell r="D28">
            <v>131.71945967282488</v>
          </cell>
        </row>
        <row r="29">
          <cell r="C29">
            <v>107.88159463458886</v>
          </cell>
          <cell r="D29">
            <v>87.450959941061015</v>
          </cell>
        </row>
        <row r="30">
          <cell r="C30">
            <v>0</v>
          </cell>
          <cell r="D30">
            <v>955.18386312915993</v>
          </cell>
          <cell r="E30">
            <v>0</v>
          </cell>
          <cell r="F30">
            <v>0</v>
          </cell>
          <cell r="G30">
            <v>0</v>
          </cell>
          <cell r="H30">
            <v>0</v>
          </cell>
          <cell r="I30">
            <v>0</v>
          </cell>
          <cell r="J30">
            <v>0</v>
          </cell>
          <cell r="K30">
            <v>0</v>
          </cell>
          <cell r="L30">
            <v>0</v>
          </cell>
          <cell r="M30">
            <v>0</v>
          </cell>
          <cell r="N30">
            <v>1.953860952E-2</v>
          </cell>
          <cell r="O30">
            <v>0</v>
          </cell>
          <cell r="P30">
            <v>0</v>
          </cell>
        </row>
        <row r="31">
          <cell r="C31">
            <v>0</v>
          </cell>
          <cell r="D31">
            <v>253.94713358733895</v>
          </cell>
          <cell r="E31">
            <v>0</v>
          </cell>
          <cell r="F31">
            <v>12.04011730979</v>
          </cell>
          <cell r="G31">
            <v>0</v>
          </cell>
          <cell r="H31">
            <v>17.54277088597</v>
          </cell>
          <cell r="I31">
            <v>0</v>
          </cell>
          <cell r="J31">
            <v>4.3117531199899997</v>
          </cell>
          <cell r="K31">
            <v>0</v>
          </cell>
          <cell r="L31">
            <v>437.720112416154</v>
          </cell>
          <cell r="M31">
            <v>2.8441999999999999E-3</v>
          </cell>
          <cell r="N31">
            <v>9.0872815346750002</v>
          </cell>
          <cell r="O31">
            <v>0</v>
          </cell>
          <cell r="P31">
            <v>992.32465508644702</v>
          </cell>
        </row>
        <row r="32">
          <cell r="E32"/>
          <cell r="F32"/>
          <cell r="G32"/>
          <cell r="H32"/>
          <cell r="I32"/>
          <cell r="J32"/>
          <cell r="K32"/>
          <cell r="L32"/>
          <cell r="M32"/>
          <cell r="N32"/>
          <cell r="O32">
            <v>0</v>
          </cell>
          <cell r="P32">
            <v>775.00748325998006</v>
          </cell>
        </row>
        <row r="33">
          <cell r="C33">
            <v>807.49560918048599</v>
          </cell>
          <cell r="D33">
            <v>3886.0922987037093</v>
          </cell>
          <cell r="E33">
            <v>2.5</v>
          </cell>
          <cell r="F33">
            <v>75.5</v>
          </cell>
          <cell r="G33">
            <v>0</v>
          </cell>
          <cell r="H33">
            <v>41.110478880000002</v>
          </cell>
          <cell r="I33">
            <v>0</v>
          </cell>
          <cell r="J33">
            <v>531.65025512999989</v>
          </cell>
          <cell r="K33">
            <v>0</v>
          </cell>
          <cell r="L33">
            <v>11065.453839258402</v>
          </cell>
          <cell r="M33">
            <v>0</v>
          </cell>
          <cell r="N33">
            <v>7579.3892616072535</v>
          </cell>
          <cell r="O33">
            <v>2.2568383683570001</v>
          </cell>
          <cell r="P33">
            <v>23181.11238511026</v>
          </cell>
        </row>
        <row r="34">
          <cell r="C34">
            <v>100.38326898030098</v>
          </cell>
          <cell r="D34">
            <v>2184.7566782110521</v>
          </cell>
          <cell r="E34">
            <v>0</v>
          </cell>
          <cell r="F34">
            <v>977.53605535000008</v>
          </cell>
          <cell r="G34">
            <v>15.383673474801062</v>
          </cell>
          <cell r="H34">
            <v>10.949883</v>
          </cell>
          <cell r="I34">
            <v>0</v>
          </cell>
          <cell r="J34">
            <v>18.254905399999998</v>
          </cell>
          <cell r="K34">
            <v>0</v>
          </cell>
          <cell r="L34">
            <v>1997.0657829500001</v>
          </cell>
          <cell r="M34">
            <v>0</v>
          </cell>
          <cell r="N34">
            <v>37.11513935</v>
          </cell>
          <cell r="O34">
            <v>0</v>
          </cell>
          <cell r="P34">
            <v>2927.9104259663627</v>
          </cell>
        </row>
        <row r="36">
          <cell r="C36">
            <v>76.075047441962809</v>
          </cell>
          <cell r="D36">
            <v>689.33804325178687</v>
          </cell>
          <cell r="E36">
            <v>0</v>
          </cell>
          <cell r="F36">
            <v>457.38628887175315</v>
          </cell>
          <cell r="G36">
            <v>11.509402690663215</v>
          </cell>
          <cell r="H36">
            <v>0</v>
          </cell>
          <cell r="I36">
            <v>0</v>
          </cell>
          <cell r="J36">
            <v>2.6695903107999998E-3</v>
          </cell>
          <cell r="K36">
            <v>1.4827767948800001</v>
          </cell>
          <cell r="L36">
            <v>2341.8999525991676</v>
          </cell>
          <cell r="M36">
            <v>0</v>
          </cell>
          <cell r="N36">
            <v>62.9564858039152</v>
          </cell>
          <cell r="O36">
            <v>0</v>
          </cell>
          <cell r="P36">
            <v>1318.3433928050031</v>
          </cell>
        </row>
        <row r="37">
          <cell r="C37">
            <v>209.8772362389571</v>
          </cell>
          <cell r="D37">
            <v>1542.9843546596398</v>
          </cell>
          <cell r="E37">
            <v>0</v>
          </cell>
          <cell r="F37">
            <v>0.3</v>
          </cell>
          <cell r="G37">
            <v>0</v>
          </cell>
          <cell r="H37">
            <v>0</v>
          </cell>
          <cell r="I37">
            <v>0</v>
          </cell>
          <cell r="J37">
            <v>0</v>
          </cell>
          <cell r="K37">
            <v>4.6120398659999999E-2</v>
          </cell>
          <cell r="L37">
            <v>24.893999351707997</v>
          </cell>
          <cell r="M37">
            <v>0.20002493606800001</v>
          </cell>
          <cell r="N37">
            <v>91.724787906458985</v>
          </cell>
          <cell r="O37">
            <v>12.800024970554</v>
          </cell>
          <cell r="P37">
            <v>456.25329711020169</v>
          </cell>
        </row>
        <row r="38">
          <cell r="C38">
            <v>1490.9944941575657</v>
          </cell>
          <cell r="D38">
            <v>12538.687459982062</v>
          </cell>
          <cell r="E38">
            <v>10.000616570081361</v>
          </cell>
          <cell r="F38">
            <v>5039.2283146075579</v>
          </cell>
          <cell r="G38">
            <v>62.160055749707411</v>
          </cell>
          <cell r="H38">
            <v>1708.0009146944205</v>
          </cell>
          <cell r="I38">
            <v>0.195215625994695</v>
          </cell>
          <cell r="J38">
            <v>1333.699164879682</v>
          </cell>
          <cell r="K38">
            <v>42.492949631537783</v>
          </cell>
          <cell r="L38">
            <v>29827.895491774536</v>
          </cell>
          <cell r="M38">
            <v>35.066504376492517</v>
          </cell>
          <cell r="N38">
            <v>17879.03624434716</v>
          </cell>
          <cell r="O38">
            <v>50.359093350467219</v>
          </cell>
          <cell r="P38">
            <v>65128.979172959385</v>
          </cell>
          <cell r="Q38">
            <v>135146.79569270666</v>
          </cell>
        </row>
        <row r="40">
          <cell r="Q40">
            <v>24872.061990308932</v>
          </cell>
        </row>
        <row r="68">
          <cell r="C68">
            <v>0.24033879028761801</v>
          </cell>
          <cell r="D68">
            <v>0.12831449</v>
          </cell>
        </row>
        <row r="69">
          <cell r="C69">
            <v>128.35666007731035</v>
          </cell>
          <cell r="D69">
            <v>-5.0000000000000002E-11</v>
          </cell>
          <cell r="E69">
            <v>0</v>
          </cell>
          <cell r="F69">
            <v>0</v>
          </cell>
          <cell r="G69">
            <v>0</v>
          </cell>
          <cell r="H69">
            <v>0</v>
          </cell>
          <cell r="I69">
            <v>0</v>
          </cell>
          <cell r="J69">
            <v>0</v>
          </cell>
          <cell r="K69">
            <v>0</v>
          </cell>
          <cell r="L69">
            <v>0</v>
          </cell>
          <cell r="M69">
            <v>0</v>
          </cell>
          <cell r="N69">
            <v>0</v>
          </cell>
          <cell r="O69">
            <v>0</v>
          </cell>
          <cell r="P69">
            <v>0</v>
          </cell>
        </row>
        <row r="72">
          <cell r="C72">
            <v>182.83243077617374</v>
          </cell>
          <cell r="D72">
            <v>3388.2830125232354</v>
          </cell>
          <cell r="E72">
            <v>9.2234330559885946E-2</v>
          </cell>
          <cell r="F72">
            <v>1492.8139448921411</v>
          </cell>
          <cell r="G72">
            <v>3.9787798408488063E-5</v>
          </cell>
          <cell r="H72">
            <v>446.84439582220404</v>
          </cell>
          <cell r="I72">
            <v>0</v>
          </cell>
          <cell r="J72">
            <v>2049.7508590378584</v>
          </cell>
          <cell r="K72">
            <v>0.23830686737492576</v>
          </cell>
          <cell r="L72">
            <v>1942.2363723832016</v>
          </cell>
          <cell r="M72">
            <v>1.583567820689655E-5</v>
          </cell>
          <cell r="N72">
            <v>3092.9306194360961</v>
          </cell>
          <cell r="O72">
            <v>0.44132758883097617</v>
          </cell>
          <cell r="P72">
            <v>8388.4107998289364</v>
          </cell>
        </row>
        <row r="76">
          <cell r="E76">
            <v>0.2</v>
          </cell>
          <cell r="F76">
            <v>337.864934092054</v>
          </cell>
          <cell r="G76">
            <v>0</v>
          </cell>
          <cell r="H76">
            <v>2340.4718814565254</v>
          </cell>
          <cell r="I76">
            <v>0</v>
          </cell>
          <cell r="J76">
            <v>732.65607464266998</v>
          </cell>
          <cell r="K76">
            <v>0</v>
          </cell>
          <cell r="L76">
            <v>3280.7863657781509</v>
          </cell>
          <cell r="M76">
            <v>0</v>
          </cell>
          <cell r="N76">
            <v>5513.8843848106189</v>
          </cell>
          <cell r="O76">
            <v>2.6000000000000001E-11</v>
          </cell>
          <cell r="P76">
            <v>24297.685641834541</v>
          </cell>
        </row>
        <row r="77">
          <cell r="C77">
            <v>0</v>
          </cell>
          <cell r="D77">
            <v>982.38408317566007</v>
          </cell>
        </row>
        <row r="78">
          <cell r="C78">
            <v>0</v>
          </cell>
          <cell r="D78">
            <v>0</v>
          </cell>
        </row>
        <row r="79">
          <cell r="C79">
            <v>-1.5650000000000001E-9</v>
          </cell>
          <cell r="D79">
            <v>513.7238231517149</v>
          </cell>
        </row>
        <row r="80">
          <cell r="C80">
            <v>0</v>
          </cell>
          <cell r="D80">
            <v>1701.7834005805921</v>
          </cell>
        </row>
        <row r="81">
          <cell r="C81">
            <v>19.754909872508996</v>
          </cell>
          <cell r="D81">
            <v>799.70787505192504</v>
          </cell>
        </row>
        <row r="82">
          <cell r="C82">
            <v>7.8053746391183498</v>
          </cell>
          <cell r="D82">
            <v>106.96620406129399</v>
          </cell>
        </row>
        <row r="83">
          <cell r="C83">
            <v>0</v>
          </cell>
          <cell r="D83">
            <v>9.5</v>
          </cell>
        </row>
        <row r="84">
          <cell r="E84">
            <v>2.6525199999999998E-3</v>
          </cell>
          <cell r="F84">
            <v>594.76118227499978</v>
          </cell>
          <cell r="G84">
            <v>0</v>
          </cell>
          <cell r="H84">
            <v>874.95550708562337</v>
          </cell>
          <cell r="I84">
            <v>0</v>
          </cell>
          <cell r="J84">
            <v>228.59462693142177</v>
          </cell>
          <cell r="K84">
            <v>0</v>
          </cell>
          <cell r="L84">
            <v>3116.0976702729622</v>
          </cell>
          <cell r="M84">
            <v>0</v>
          </cell>
          <cell r="N84">
            <v>1373.3226357729864</v>
          </cell>
          <cell r="O84">
            <v>0</v>
          </cell>
          <cell r="P84">
            <v>22168.057598964137</v>
          </cell>
        </row>
        <row r="86">
          <cell r="C86">
            <v>264.43848464530788</v>
          </cell>
          <cell r="D86">
            <v>2167.0551651383516</v>
          </cell>
        </row>
        <row r="89">
          <cell r="C89">
            <v>0</v>
          </cell>
          <cell r="D89">
            <v>1379.913106648072</v>
          </cell>
        </row>
        <row r="92">
          <cell r="C92">
            <v>489.54279570511187</v>
          </cell>
          <cell r="D92">
            <v>395.02006821491062</v>
          </cell>
        </row>
        <row r="93">
          <cell r="C93">
            <v>-3.3875716037E-2</v>
          </cell>
          <cell r="D93">
            <v>548.44286036913695</v>
          </cell>
          <cell r="E93">
            <v>0</v>
          </cell>
          <cell r="F93">
            <v>34.868398419850003</v>
          </cell>
          <cell r="G93">
            <v>0</v>
          </cell>
          <cell r="H93">
            <v>4.8501233350400001</v>
          </cell>
          <cell r="I93">
            <v>0</v>
          </cell>
          <cell r="J93">
            <v>5.9997333599299996</v>
          </cell>
          <cell r="K93">
            <v>0</v>
          </cell>
          <cell r="L93">
            <v>80.401253279840006</v>
          </cell>
          <cell r="M93">
            <v>1.5946600000000001E-3</v>
          </cell>
          <cell r="N93">
            <v>24.371910950807003</v>
          </cell>
          <cell r="O93">
            <v>1.9640000000000002E-5</v>
          </cell>
          <cell r="P93">
            <v>1151.8865747995148</v>
          </cell>
        </row>
        <row r="94">
          <cell r="E94"/>
          <cell r="F94"/>
          <cell r="G94"/>
          <cell r="H94"/>
          <cell r="I94"/>
          <cell r="J94"/>
          <cell r="K94"/>
          <cell r="L94"/>
          <cell r="M94"/>
          <cell r="N94"/>
          <cell r="O94">
            <v>0</v>
          </cell>
          <cell r="P94">
            <v>403.78150728478897</v>
          </cell>
        </row>
        <row r="95">
          <cell r="C95">
            <v>1523.3295583198742</v>
          </cell>
          <cell r="D95">
            <v>4024.3956217198643</v>
          </cell>
          <cell r="E95">
            <v>0.1</v>
          </cell>
          <cell r="F95">
            <v>52.47756116</v>
          </cell>
          <cell r="G95">
            <v>0</v>
          </cell>
          <cell r="H95">
            <v>160.66904137215801</v>
          </cell>
          <cell r="I95">
            <v>0</v>
          </cell>
          <cell r="J95">
            <v>13.299999999999999</v>
          </cell>
          <cell r="K95">
            <v>0</v>
          </cell>
          <cell r="L95">
            <v>6968.8014231737243</v>
          </cell>
          <cell r="M95">
            <v>0.1</v>
          </cell>
          <cell r="N95">
            <v>1851.692374537846</v>
          </cell>
          <cell r="O95">
            <v>73.084258111000011</v>
          </cell>
          <cell r="P95">
            <v>19328.505866084746</v>
          </cell>
        </row>
        <row r="96">
          <cell r="C96">
            <v>85.101084427803528</v>
          </cell>
          <cell r="D96">
            <v>69.733500269352987</v>
          </cell>
        </row>
        <row r="97">
          <cell r="C97">
            <v>674.53682927913769</v>
          </cell>
          <cell r="D97">
            <v>1492.9316553353165</v>
          </cell>
          <cell r="E97">
            <v>0.1110608393899204</v>
          </cell>
          <cell r="F97">
            <v>61.041640381007959</v>
          </cell>
          <cell r="G97">
            <v>0.51331238726790462</v>
          </cell>
          <cell r="H97">
            <v>8.5544451379310349</v>
          </cell>
          <cell r="I97">
            <v>2.9177718832891248E-4</v>
          </cell>
          <cell r="J97">
            <v>4.9000000000000004</v>
          </cell>
          <cell r="K97">
            <v>0.2428216988753979</v>
          </cell>
          <cell r="L97">
            <v>46.733063705119243</v>
          </cell>
          <cell r="M97">
            <v>0.23375493103448275</v>
          </cell>
          <cell r="N97">
            <v>219.75712472796059</v>
          </cell>
          <cell r="O97">
            <v>3.7733620689655176E-2</v>
          </cell>
          <cell r="P97">
            <v>1420.7730678734047</v>
          </cell>
        </row>
        <row r="98">
          <cell r="C98">
            <v>3375.904590815032</v>
          </cell>
          <cell r="D98">
            <v>17579.96869072938</v>
          </cell>
          <cell r="E98">
            <v>0.50594768994980632</v>
          </cell>
          <cell r="F98">
            <v>2573.827661220053</v>
          </cell>
          <cell r="G98">
            <v>0.51335217506631314</v>
          </cell>
          <cell r="H98">
            <v>3836.345394209482</v>
          </cell>
          <cell r="I98">
            <v>2.9177718832891248E-4</v>
          </cell>
          <cell r="J98">
            <v>3035.2012939718802</v>
          </cell>
          <cell r="K98">
            <v>0.48112856625032363</v>
          </cell>
          <cell r="L98">
            <v>15435.056148593001</v>
          </cell>
          <cell r="M98">
            <v>0.33536542671268965</v>
          </cell>
          <cell r="N98">
            <v>12075.959050236315</v>
          </cell>
          <cell r="O98">
            <v>73.563338960546631</v>
          </cell>
          <cell r="P98">
            <v>77159.101056670072</v>
          </cell>
          <cell r="Q98">
            <v>135146.76331104094</v>
          </cell>
        </row>
        <row r="100">
          <cell r="Q100">
            <v>25492.604902642073</v>
          </cell>
        </row>
      </sheetData>
      <sheetData sheetId="1"/>
      <sheetData sheetId="2">
        <row r="15">
          <cell r="AX15">
            <v>35788.812821872969</v>
          </cell>
        </row>
        <row r="69">
          <cell r="AX69">
            <v>10988.648289023808</v>
          </cell>
        </row>
        <row r="86">
          <cell r="AX86">
            <v>0</v>
          </cell>
        </row>
        <row r="90">
          <cell r="AX90">
            <v>11.09</v>
          </cell>
        </row>
        <row r="105">
          <cell r="AX105">
            <v>0</v>
          </cell>
        </row>
        <row r="118">
          <cell r="AX118">
            <v>0</v>
          </cell>
        </row>
        <row r="120">
          <cell r="AX120">
            <v>8.1016362386999996E-3</v>
          </cell>
        </row>
        <row r="122">
          <cell r="AX122">
            <v>1615.4942614377064</v>
          </cell>
        </row>
        <row r="130">
          <cell r="AX130">
            <v>1407.4590387869255</v>
          </cell>
        </row>
        <row r="141">
          <cell r="AX141">
            <v>612.55967153918527</v>
          </cell>
        </row>
        <row r="170">
          <cell r="AX170">
            <v>0.17703181000000004</v>
          </cell>
        </row>
        <row r="186">
          <cell r="AX186">
            <v>14029.680687134656</v>
          </cell>
        </row>
        <row r="187">
          <cell r="AX187">
            <v>352.08679628699997</v>
          </cell>
        </row>
        <row r="188">
          <cell r="AX188">
            <v>76.706940860000003</v>
          </cell>
        </row>
        <row r="189">
          <cell r="AX189">
            <v>5049.296335923118</v>
          </cell>
        </row>
        <row r="190">
          <cell r="AX190">
            <v>1770.1504915642477</v>
          </cell>
        </row>
        <row r="191">
          <cell r="AX191">
            <v>1333.8925038651041</v>
          </cell>
        </row>
        <row r="192">
          <cell r="AX192">
            <v>29870.382104996352</v>
          </cell>
        </row>
        <row r="193">
          <cell r="AX193">
            <v>17914.125152450026</v>
          </cell>
        </row>
        <row r="199">
          <cell r="AX199">
            <v>3326.059335582348</v>
          </cell>
        </row>
        <row r="200">
          <cell r="AX200">
            <v>74.714225328290382</v>
          </cell>
        </row>
        <row r="201">
          <cell r="AX201">
            <v>18.506856389547597</v>
          </cell>
        </row>
        <row r="202">
          <cell r="AX202">
            <v>237.04164221946951</v>
          </cell>
        </row>
        <row r="203">
          <cell r="AX203">
            <v>19.501301002939101</v>
          </cell>
        </row>
        <row r="204">
          <cell r="AX204">
            <v>7098.6119311150887</v>
          </cell>
        </row>
        <row r="229">
          <cell r="AX229">
            <v>2500.4077696039353</v>
          </cell>
        </row>
      </sheetData>
      <sheetData sheetId="3">
        <row r="15">
          <cell r="AH15">
            <v>34551.106814766601</v>
          </cell>
        </row>
        <row r="69">
          <cell r="AH69">
            <v>4599.6109502810787</v>
          </cell>
        </row>
        <row r="86">
          <cell r="AH86">
            <v>0</v>
          </cell>
        </row>
        <row r="90">
          <cell r="AH90">
            <v>0</v>
          </cell>
        </row>
        <row r="105">
          <cell r="AH105">
            <v>0</v>
          </cell>
        </row>
        <row r="118">
          <cell r="AH118">
            <v>0</v>
          </cell>
        </row>
        <row r="120">
          <cell r="AH120">
            <v>0</v>
          </cell>
        </row>
        <row r="122">
          <cell r="AH122">
            <v>1281.1300817258887</v>
          </cell>
        </row>
        <row r="130">
          <cell r="AH130">
            <v>16118.468876357276</v>
          </cell>
        </row>
        <row r="141">
          <cell r="AH141">
            <v>5189.3120851273052</v>
          </cell>
        </row>
        <row r="170">
          <cell r="AH170">
            <v>888.02791378400025</v>
          </cell>
        </row>
        <row r="186">
          <cell r="AH186">
            <v>20955.923645716706</v>
          </cell>
        </row>
        <row r="187">
          <cell r="AH187">
            <v>0</v>
          </cell>
        </row>
        <row r="188">
          <cell r="AH188">
            <v>201.27039925000003</v>
          </cell>
        </row>
        <row r="189">
          <cell r="AH189">
            <v>2574.2928229917734</v>
          </cell>
        </row>
        <row r="190">
          <cell r="AH190">
            <v>3836.8529895645479</v>
          </cell>
        </row>
        <row r="191">
          <cell r="AH191">
            <v>3035.226960927364</v>
          </cell>
        </row>
        <row r="192">
          <cell r="AH192">
            <v>15435.629418747016</v>
          </cell>
        </row>
        <row r="193">
          <cell r="AH193">
            <v>12076.264694396959</v>
          </cell>
        </row>
        <row r="199">
          <cell r="AH199">
            <v>2197.95384965944</v>
          </cell>
        </row>
        <row r="200">
          <cell r="AH200">
            <v>47.903845000000011</v>
          </cell>
        </row>
        <row r="201">
          <cell r="AH201">
            <v>0.3</v>
          </cell>
        </row>
        <row r="202">
          <cell r="AH202">
            <v>82.378167989999994</v>
          </cell>
        </row>
        <row r="203">
          <cell r="AH203">
            <v>0</v>
          </cell>
        </row>
        <row r="204">
          <cell r="AH204">
            <v>8616.1289728147185</v>
          </cell>
        </row>
        <row r="229">
          <cell r="AH229">
            <v>1174.0344623366743</v>
          </cell>
        </row>
        <row r="272">
          <cell r="AH272">
            <v>135146.87967241835</v>
          </cell>
        </row>
      </sheetData>
      <sheetData sheetId="4">
        <row r="14">
          <cell r="D14">
            <v>1691.2796383712832</v>
          </cell>
          <cell r="G14">
            <v>3451.2841740145395</v>
          </cell>
        </row>
        <row r="16">
          <cell r="D16">
            <v>99999.811972109397</v>
          </cell>
          <cell r="G16">
            <v>100348.60522467615</v>
          </cell>
        </row>
        <row r="17">
          <cell r="D17">
            <v>2267.8397441731895</v>
          </cell>
          <cell r="G17">
            <v>1858.414746118139</v>
          </cell>
        </row>
        <row r="18">
          <cell r="D18">
            <v>290.61335564697714</v>
          </cell>
          <cell r="G18">
            <v>325.41256265315832</v>
          </cell>
        </row>
        <row r="19">
          <cell r="D19">
            <v>180.59712824039244</v>
          </cell>
          <cell r="G19">
            <v>674.80135746075064</v>
          </cell>
        </row>
        <row r="20">
          <cell r="D20">
            <v>12432.768708468502</v>
          </cell>
          <cell r="G20">
            <v>13143.729564773972</v>
          </cell>
        </row>
        <row r="21">
          <cell r="D21">
            <v>12175.383533135409</v>
          </cell>
          <cell r="G21">
            <v>7617.4147955316057</v>
          </cell>
        </row>
        <row r="22">
          <cell r="D22">
            <v>2476.9741772403931</v>
          </cell>
          <cell r="G22">
            <v>2174.837388910752</v>
          </cell>
        </row>
        <row r="23">
          <cell r="D23">
            <v>3631.5973573492843</v>
          </cell>
          <cell r="G23">
            <v>5552.3321511392569</v>
          </cell>
        </row>
        <row r="24">
          <cell r="G24">
            <v>135146.83196527834</v>
          </cell>
        </row>
      </sheetData>
      <sheetData sheetId="5"/>
      <sheetData sheetId="6"/>
      <sheetData sheetId="7"/>
      <sheetData sheetId="8"/>
      <sheetData sheetId="9"/>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1"/>
      <sheetName val="2"/>
      <sheetName val="3A"/>
      <sheetName val="3B"/>
      <sheetName val="4"/>
      <sheetName val="5"/>
      <sheetName val="6A"/>
      <sheetName val="6B"/>
      <sheetName val="7"/>
      <sheetName val="8"/>
    </sheetNames>
    <sheetDataSet>
      <sheetData sheetId="0">
        <row r="14">
          <cell r="C14">
            <v>0</v>
          </cell>
          <cell r="D14">
            <v>24.762112462280001</v>
          </cell>
          <cell r="E14">
            <v>0</v>
          </cell>
          <cell r="F14">
            <v>782.45001389000004</v>
          </cell>
          <cell r="G14">
            <v>0</v>
          </cell>
          <cell r="H14">
            <v>1.2500000000000001E-6</v>
          </cell>
          <cell r="I14">
            <v>0</v>
          </cell>
          <cell r="J14">
            <v>0</v>
          </cell>
          <cell r="K14">
            <v>1.3971089099999999E-4</v>
          </cell>
          <cell r="L14">
            <v>-3.9510978999999998E-5</v>
          </cell>
          <cell r="M14">
            <v>0</v>
          </cell>
          <cell r="N14">
            <v>0</v>
          </cell>
          <cell r="O14">
            <v>0</v>
          </cell>
          <cell r="P14">
            <v>4317.7228390808259</v>
          </cell>
        </row>
        <row r="18">
          <cell r="C18">
            <v>8.8550312889193812</v>
          </cell>
          <cell r="D18">
            <v>1929.4677756028157</v>
          </cell>
          <cell r="E18">
            <v>3.5947867659644563E-2</v>
          </cell>
          <cell r="F18">
            <v>2044.0366323163944</v>
          </cell>
          <cell r="G18">
            <v>6.0000149870239996</v>
          </cell>
          <cell r="H18">
            <v>401.86573942163574</v>
          </cell>
          <cell r="I18">
            <v>0</v>
          </cell>
          <cell r="J18">
            <v>619.16714025638703</v>
          </cell>
          <cell r="K18">
            <v>3.0075104851989387E-4</v>
          </cell>
          <cell r="L18">
            <v>2085.4087824953626</v>
          </cell>
          <cell r="M18">
            <v>34.873878591150941</v>
          </cell>
          <cell r="N18">
            <v>6125.2075936870669</v>
          </cell>
          <cell r="O18">
            <v>4.6888923809615381E-2</v>
          </cell>
          <cell r="P18">
            <v>19191.568680404893</v>
          </cell>
        </row>
        <row r="22">
          <cell r="E22">
            <v>2.4685383555631302</v>
          </cell>
          <cell r="F22">
            <v>352.13323957698231</v>
          </cell>
          <cell r="G22">
            <v>12.412063120272018</v>
          </cell>
          <cell r="H22">
            <v>1178.1290870210398</v>
          </cell>
          <cell r="I22">
            <v>0.17204929442970826</v>
          </cell>
          <cell r="J22">
            <v>178.33334657077324</v>
          </cell>
          <cell r="K22">
            <v>24.883816610385605</v>
          </cell>
          <cell r="L22">
            <v>12970.882944148496</v>
          </cell>
          <cell r="M22">
            <v>0.13078174027029707</v>
          </cell>
          <cell r="N22">
            <v>3393.6434002711298</v>
          </cell>
          <cell r="O22">
            <v>29.660029044364077</v>
          </cell>
          <cell r="P22">
            <v>11603.150648366685</v>
          </cell>
        </row>
        <row r="23">
          <cell r="C23">
            <v>0.82405569026351988</v>
          </cell>
          <cell r="D23">
            <v>49.935177862883876</v>
          </cell>
        </row>
        <row r="24">
          <cell r="C24">
            <v>0.12209380798350929</v>
          </cell>
          <cell r="D24">
            <v>102.68075459004</v>
          </cell>
        </row>
        <row r="25">
          <cell r="C25">
            <v>7.0482243973179424</v>
          </cell>
          <cell r="D25">
            <v>83.098467314775235</v>
          </cell>
        </row>
        <row r="26">
          <cell r="C26">
            <v>82.958055981731889</v>
          </cell>
          <cell r="D26">
            <v>248.46041628637153</v>
          </cell>
        </row>
        <row r="27">
          <cell r="C27">
            <v>25.258165696233522</v>
          </cell>
          <cell r="D27">
            <v>308.25555718257101</v>
          </cell>
        </row>
        <row r="28">
          <cell r="C28">
            <v>38.414751950092814</v>
          </cell>
          <cell r="D28">
            <v>135.99889451322281</v>
          </cell>
        </row>
        <row r="29">
          <cell r="C29">
            <v>98.246743794588866</v>
          </cell>
          <cell r="D29">
            <v>80.506401941061014</v>
          </cell>
        </row>
        <row r="30">
          <cell r="C30">
            <v>0</v>
          </cell>
          <cell r="D30">
            <v>958.26828404916</v>
          </cell>
          <cell r="E30">
            <v>0</v>
          </cell>
          <cell r="F30">
            <v>0</v>
          </cell>
          <cell r="G30">
            <v>0</v>
          </cell>
          <cell r="H30">
            <v>0</v>
          </cell>
          <cell r="I30">
            <v>0</v>
          </cell>
          <cell r="J30">
            <v>0</v>
          </cell>
          <cell r="K30">
            <v>0</v>
          </cell>
          <cell r="L30">
            <v>0</v>
          </cell>
          <cell r="M30">
            <v>0</v>
          </cell>
          <cell r="N30">
            <v>2.1742879289999999E-2</v>
          </cell>
          <cell r="O30">
            <v>0</v>
          </cell>
          <cell r="P30">
            <v>0</v>
          </cell>
        </row>
        <row r="31">
          <cell r="C31">
            <v>0</v>
          </cell>
          <cell r="D31">
            <v>235.52607191477799</v>
          </cell>
          <cell r="E31">
            <v>0</v>
          </cell>
          <cell r="F31">
            <v>14.568144703810001</v>
          </cell>
          <cell r="G31">
            <v>0</v>
          </cell>
          <cell r="H31">
            <v>15.268410709979999</v>
          </cell>
          <cell r="I31">
            <v>0</v>
          </cell>
          <cell r="J31">
            <v>1.3713460999899998</v>
          </cell>
          <cell r="K31">
            <v>0</v>
          </cell>
          <cell r="L31">
            <v>470.166671960212</v>
          </cell>
          <cell r="M31">
            <v>2.8766000000000002E-4</v>
          </cell>
          <cell r="N31">
            <v>15.263900102268998</v>
          </cell>
          <cell r="O31">
            <v>0</v>
          </cell>
          <cell r="P31">
            <v>647.93399852898278</v>
          </cell>
        </row>
        <row r="32">
          <cell r="E32"/>
          <cell r="F32"/>
          <cell r="G32"/>
          <cell r="H32"/>
          <cell r="I32"/>
          <cell r="J32"/>
          <cell r="K32"/>
          <cell r="L32"/>
          <cell r="M32"/>
          <cell r="N32"/>
          <cell r="O32">
            <v>0</v>
          </cell>
          <cell r="P32">
            <v>464.61755253998001</v>
          </cell>
        </row>
        <row r="33">
          <cell r="C33">
            <v>837.52868127966599</v>
          </cell>
          <cell r="D33">
            <v>3796.2447785895001</v>
          </cell>
          <cell r="E33">
            <v>2.1</v>
          </cell>
          <cell r="F33">
            <v>125.69999999999999</v>
          </cell>
          <cell r="G33">
            <v>0</v>
          </cell>
          <cell r="H33">
            <v>6.43</v>
          </cell>
          <cell r="I33">
            <v>0</v>
          </cell>
          <cell r="J33">
            <v>335.15024359</v>
          </cell>
          <cell r="K33">
            <v>0</v>
          </cell>
          <cell r="L33">
            <v>10630.845121360178</v>
          </cell>
          <cell r="M33">
            <v>1.2</v>
          </cell>
          <cell r="N33">
            <v>8664.7696880290987</v>
          </cell>
          <cell r="O33">
            <v>2.016838094653</v>
          </cell>
          <cell r="P33">
            <v>23694.645770710275</v>
          </cell>
        </row>
        <row r="34">
          <cell r="C34">
            <v>99.983268980300963</v>
          </cell>
          <cell r="D34">
            <v>2288.2678836817549</v>
          </cell>
          <cell r="E34">
            <v>0</v>
          </cell>
          <cell r="F34">
            <v>977.53605535000008</v>
          </cell>
          <cell r="G34">
            <v>15.383673474801062</v>
          </cell>
          <cell r="H34">
            <v>10.949883</v>
          </cell>
          <cell r="I34">
            <v>0</v>
          </cell>
          <cell r="J34">
            <v>18.254905399999998</v>
          </cell>
          <cell r="K34">
            <v>0</v>
          </cell>
          <cell r="L34">
            <v>1997.0657829500001</v>
          </cell>
          <cell r="M34">
            <v>0</v>
          </cell>
          <cell r="N34">
            <v>56.253939349999996</v>
          </cell>
          <cell r="O34">
            <v>0</v>
          </cell>
          <cell r="P34">
            <v>2941.6827207196529</v>
          </cell>
        </row>
        <row r="36">
          <cell r="C36">
            <v>89.224998245367658</v>
          </cell>
          <cell r="D36">
            <v>578.30518589271139</v>
          </cell>
          <cell r="E36">
            <v>0</v>
          </cell>
          <cell r="F36">
            <v>452.44271107113389</v>
          </cell>
          <cell r="G36">
            <v>13.508759310865736</v>
          </cell>
          <cell r="H36">
            <v>0</v>
          </cell>
          <cell r="I36">
            <v>0</v>
          </cell>
          <cell r="J36">
            <v>2.6406790459999998E-3</v>
          </cell>
          <cell r="K36">
            <v>1.4271387042650001</v>
          </cell>
          <cell r="L36">
            <v>2393.0719537695913</v>
          </cell>
          <cell r="M36">
            <v>0</v>
          </cell>
          <cell r="N36">
            <v>67.199754619323997</v>
          </cell>
          <cell r="O36">
            <v>0</v>
          </cell>
          <cell r="P36">
            <v>1225.6262229209453</v>
          </cell>
        </row>
        <row r="37">
          <cell r="C37">
            <v>199.39086074639954</v>
          </cell>
          <cell r="D37">
            <v>1314.4432770981234</v>
          </cell>
          <cell r="E37">
            <v>0</v>
          </cell>
          <cell r="F37">
            <v>0.5</v>
          </cell>
          <cell r="G37">
            <v>0</v>
          </cell>
          <cell r="H37">
            <v>0</v>
          </cell>
          <cell r="I37">
            <v>0</v>
          </cell>
          <cell r="J37">
            <v>0</v>
          </cell>
          <cell r="K37">
            <v>4.6116875336E-2</v>
          </cell>
          <cell r="L37">
            <v>25.841556209821999</v>
          </cell>
          <cell r="M37">
            <v>0.400024934163</v>
          </cell>
          <cell r="N37">
            <v>147.117063277261</v>
          </cell>
          <cell r="O37">
            <v>23.100024968646</v>
          </cell>
          <cell r="P37">
            <v>335.01143511911835</v>
          </cell>
        </row>
        <row r="38">
          <cell r="C38">
            <v>1487.8549318588655</v>
          </cell>
          <cell r="D38">
            <v>12134.22103898205</v>
          </cell>
          <cell r="E38">
            <v>4.604486223222775</v>
          </cell>
          <cell r="F38">
            <v>4749.3667969083208</v>
          </cell>
          <cell r="G38">
            <v>47.304510892962817</v>
          </cell>
          <cell r="H38">
            <v>1612.6431214026557</v>
          </cell>
          <cell r="I38">
            <v>0.17204929442970826</v>
          </cell>
          <cell r="J38">
            <v>1152.2796225961963</v>
          </cell>
          <cell r="K38">
            <v>26.357512651926125</v>
          </cell>
          <cell r="L38">
            <v>30573.282773382689</v>
          </cell>
          <cell r="M38">
            <v>36.604972925584235</v>
          </cell>
          <cell r="N38">
            <v>18469.477082215442</v>
          </cell>
          <cell r="O38">
            <v>54.823781031472691</v>
          </cell>
          <cell r="P38">
            <v>64421.959868391365</v>
          </cell>
          <cell r="Q38">
            <v>134770.9525487572</v>
          </cell>
        </row>
        <row r="40">
          <cell r="Q40">
            <v>25078.559345434871</v>
          </cell>
        </row>
        <row r="68">
          <cell r="C68">
            <v>1.5837597484263274E-2</v>
          </cell>
          <cell r="D68">
            <v>0.15552881000000002</v>
          </cell>
        </row>
        <row r="69">
          <cell r="C69">
            <v>50.636322158787799</v>
          </cell>
          <cell r="D69">
            <v>-5.0000000000000002E-11</v>
          </cell>
          <cell r="E69">
            <v>0</v>
          </cell>
          <cell r="F69">
            <v>0</v>
          </cell>
          <cell r="G69">
            <v>0</v>
          </cell>
          <cell r="H69">
            <v>0</v>
          </cell>
          <cell r="I69">
            <v>0</v>
          </cell>
          <cell r="J69">
            <v>0</v>
          </cell>
          <cell r="K69">
            <v>0</v>
          </cell>
          <cell r="L69">
            <v>-2.9833683E-4</v>
          </cell>
          <cell r="M69">
            <v>0</v>
          </cell>
          <cell r="N69">
            <v>0</v>
          </cell>
          <cell r="O69">
            <v>0</v>
          </cell>
          <cell r="P69">
            <v>0</v>
          </cell>
        </row>
        <row r="72">
          <cell r="C72">
            <v>151.79056112308291</v>
          </cell>
          <cell r="D72">
            <v>3574.2712348284695</v>
          </cell>
          <cell r="E72">
            <v>4.4982058729782497E-2</v>
          </cell>
          <cell r="F72">
            <v>1177.9040908846962</v>
          </cell>
          <cell r="G72">
            <v>3.9787798408488063E-5</v>
          </cell>
          <cell r="H72">
            <v>519.45337925175886</v>
          </cell>
          <cell r="I72">
            <v>0</v>
          </cell>
          <cell r="J72">
            <v>2211.6005852129706</v>
          </cell>
          <cell r="K72">
            <v>0.29309743766570301</v>
          </cell>
          <cell r="L72">
            <v>1475.1265372269502</v>
          </cell>
          <cell r="M72">
            <v>1.5835676206896551E-5</v>
          </cell>
          <cell r="N72">
            <v>2696.3389537161947</v>
          </cell>
          <cell r="O72">
            <v>7.1702501113143233E-2</v>
          </cell>
          <cell r="P72">
            <v>8008.8231358837902</v>
          </cell>
        </row>
        <row r="76">
          <cell r="E76">
            <v>0.2</v>
          </cell>
          <cell r="F76">
            <v>328.25252031455898</v>
          </cell>
          <cell r="G76">
            <v>0</v>
          </cell>
          <cell r="H76">
            <v>2148.9077655800243</v>
          </cell>
          <cell r="I76">
            <v>0</v>
          </cell>
          <cell r="J76">
            <v>742.6011904352581</v>
          </cell>
          <cell r="K76">
            <v>-1.0809225003E-2</v>
          </cell>
          <cell r="L76">
            <v>3560.7392214401348</v>
          </cell>
          <cell r="M76">
            <v>0</v>
          </cell>
          <cell r="N76">
            <v>5750.254509258174</v>
          </cell>
          <cell r="O76">
            <v>2.7E-11</v>
          </cell>
          <cell r="P76">
            <v>24350.958073880338</v>
          </cell>
        </row>
        <row r="77">
          <cell r="C77">
            <v>18.835114573000002</v>
          </cell>
          <cell r="D77">
            <v>977.45820453514</v>
          </cell>
        </row>
        <row r="78">
          <cell r="C78">
            <v>0</v>
          </cell>
          <cell r="D78">
            <v>0</v>
          </cell>
        </row>
        <row r="79">
          <cell r="C79">
            <v>-1.5650000000000001E-9</v>
          </cell>
          <cell r="D79">
            <v>551.15068967294394</v>
          </cell>
        </row>
        <row r="80">
          <cell r="C80">
            <v>0</v>
          </cell>
          <cell r="D80">
            <v>1755.0509686115001</v>
          </cell>
        </row>
        <row r="81">
          <cell r="C81">
            <v>19.880059895898</v>
          </cell>
          <cell r="D81">
            <v>863.63050708101389</v>
          </cell>
        </row>
        <row r="82">
          <cell r="C82">
            <v>7.655924504394835</v>
          </cell>
          <cell r="D82">
            <v>108.38708513868201</v>
          </cell>
        </row>
        <row r="83">
          <cell r="C83">
            <v>0</v>
          </cell>
          <cell r="D83">
            <v>9</v>
          </cell>
        </row>
        <row r="84">
          <cell r="E84">
            <v>2.6525199999999998E-3</v>
          </cell>
          <cell r="F84">
            <v>605.26448138493674</v>
          </cell>
          <cell r="G84">
            <v>0</v>
          </cell>
          <cell r="H84">
            <v>874.85024202841851</v>
          </cell>
          <cell r="I84">
            <v>0</v>
          </cell>
          <cell r="J84">
            <v>228.91683520142178</v>
          </cell>
          <cell r="K84">
            <v>0</v>
          </cell>
          <cell r="L84">
            <v>3145.9708177170814</v>
          </cell>
          <cell r="M84">
            <v>0</v>
          </cell>
          <cell r="N84">
            <v>1406.7031601530362</v>
          </cell>
          <cell r="O84">
            <v>0</v>
          </cell>
          <cell r="P84">
            <v>22611.532210662379</v>
          </cell>
        </row>
        <row r="86">
          <cell r="C86">
            <v>328.27684914359872</v>
          </cell>
          <cell r="D86">
            <v>2244.6024577658445</v>
          </cell>
        </row>
        <row r="89">
          <cell r="C89">
            <v>0</v>
          </cell>
          <cell r="D89">
            <v>1346.5408216510609</v>
          </cell>
        </row>
        <row r="92">
          <cell r="C92">
            <v>493.62729576476568</v>
          </cell>
          <cell r="D92">
            <v>393.99446308974058</v>
          </cell>
        </row>
        <row r="93">
          <cell r="C93">
            <v>-3.3903048435999998E-2</v>
          </cell>
          <cell r="D93">
            <v>524.28809497821101</v>
          </cell>
          <cell r="E93">
            <v>0</v>
          </cell>
          <cell r="F93">
            <v>25.322397849889999</v>
          </cell>
          <cell r="G93">
            <v>0</v>
          </cell>
          <cell r="H93">
            <v>5.3083815330400004</v>
          </cell>
          <cell r="I93">
            <v>0</v>
          </cell>
          <cell r="J93">
            <v>6.4743402099200003</v>
          </cell>
          <cell r="K93">
            <v>0</v>
          </cell>
          <cell r="L93">
            <v>86.295230463609997</v>
          </cell>
          <cell r="M93">
            <v>4.5024700000000006E-3</v>
          </cell>
          <cell r="N93">
            <v>21.574639094135001</v>
          </cell>
          <cell r="O93">
            <v>0</v>
          </cell>
          <cell r="P93">
            <v>860.85398416259295</v>
          </cell>
        </row>
        <row r="94">
          <cell r="E94"/>
          <cell r="F94"/>
          <cell r="G94"/>
          <cell r="H94"/>
          <cell r="I94"/>
          <cell r="J94"/>
          <cell r="K94"/>
          <cell r="L94"/>
          <cell r="M94"/>
          <cell r="N94"/>
          <cell r="O94">
            <v>0</v>
          </cell>
          <cell r="P94">
            <v>303.32716041977994</v>
          </cell>
        </row>
        <row r="95">
          <cell r="C95">
            <v>1354.9458593422119</v>
          </cell>
          <cell r="D95">
            <v>3801.4560389247899</v>
          </cell>
          <cell r="E95">
            <v>0.1</v>
          </cell>
          <cell r="F95">
            <v>51.439644169999994</v>
          </cell>
          <cell r="G95">
            <v>0</v>
          </cell>
          <cell r="H95">
            <v>233.68561453602399</v>
          </cell>
          <cell r="I95">
            <v>0</v>
          </cell>
          <cell r="J95">
            <v>3.0999999999999996</v>
          </cell>
          <cell r="K95">
            <v>0</v>
          </cell>
          <cell r="L95">
            <v>6901.094835947516</v>
          </cell>
          <cell r="M95">
            <v>0</v>
          </cell>
          <cell r="N95">
            <v>1338.1351659182499</v>
          </cell>
          <cell r="O95">
            <v>71.462175592000008</v>
          </cell>
          <cell r="P95">
            <v>20090.900814887642</v>
          </cell>
        </row>
        <row r="96">
          <cell r="C96">
            <v>85.366529914257725</v>
          </cell>
          <cell r="D96">
            <v>70.683597135246984</v>
          </cell>
        </row>
        <row r="97">
          <cell r="C97">
            <v>654.53788293178695</v>
          </cell>
          <cell r="D97">
            <v>1577.9385629356698</v>
          </cell>
          <cell r="E97">
            <v>0.10597080946949602</v>
          </cell>
          <cell r="F97">
            <v>60.548664389124674</v>
          </cell>
          <cell r="G97">
            <v>0.59739145358090184</v>
          </cell>
          <cell r="H97">
            <v>7.9712576300000002</v>
          </cell>
          <cell r="I97">
            <v>2.9177718832891248E-4</v>
          </cell>
          <cell r="J97">
            <v>3.0267652599999999</v>
          </cell>
          <cell r="K97">
            <v>0.28818361929980107</v>
          </cell>
          <cell r="L97">
            <v>86.410211983347892</v>
          </cell>
          <cell r="M97">
            <v>0.44432113811883289</v>
          </cell>
          <cell r="N97">
            <v>217.2199201410198</v>
          </cell>
          <cell r="O97">
            <v>0.11389266888594166</v>
          </cell>
          <cell r="P97">
            <v>1586.1395517371648</v>
          </cell>
        </row>
        <row r="98">
          <cell r="C98">
            <v>3165.5343338992675</v>
          </cell>
          <cell r="D98">
            <v>17798.608255158262</v>
          </cell>
          <cell r="E98">
            <v>0.45360538819927854</v>
          </cell>
          <cell r="F98">
            <v>2248.7317989932062</v>
          </cell>
          <cell r="G98">
            <v>0.59743124137931036</v>
          </cell>
          <cell r="H98">
            <v>3790.1766405592657</v>
          </cell>
          <cell r="I98">
            <v>2.9177718832891248E-4</v>
          </cell>
          <cell r="J98">
            <v>3195.7197163195701</v>
          </cell>
          <cell r="K98">
            <v>0.57047183196250406</v>
          </cell>
          <cell r="L98">
            <v>15255.636556441808</v>
          </cell>
          <cell r="M98">
            <v>0.44883944379503982</v>
          </cell>
          <cell r="N98">
            <v>11430.226348280808</v>
          </cell>
          <cell r="O98">
            <v>71.647770762026084</v>
          </cell>
          <cell r="P98">
            <v>77812.534931633694</v>
          </cell>
          <cell r="Q98">
            <v>134770.88699173043</v>
          </cell>
        </row>
        <row r="100">
          <cell r="Q100">
            <v>25718.763670048385</v>
          </cell>
        </row>
      </sheetData>
      <sheetData sheetId="1"/>
      <sheetData sheetId="2">
        <row r="15">
          <cell r="AX15">
            <v>36033.331119809933</v>
          </cell>
        </row>
        <row r="69">
          <cell r="AX69">
            <v>10673.240482902127</v>
          </cell>
        </row>
        <row r="86">
          <cell r="AX86">
            <v>0</v>
          </cell>
        </row>
        <row r="90">
          <cell r="AX90">
            <v>11.42</v>
          </cell>
        </row>
        <row r="105">
          <cell r="AX105">
            <v>0</v>
          </cell>
        </row>
        <row r="118">
          <cell r="AX118">
            <v>0</v>
          </cell>
        </row>
        <row r="120">
          <cell r="AX120">
            <v>8.0714909564999996E-3</v>
          </cell>
        </row>
        <row r="122">
          <cell r="AX122">
            <v>297.13911626461089</v>
          </cell>
        </row>
        <row r="130">
          <cell r="AX130">
            <v>1356.0022451530931</v>
          </cell>
        </row>
        <row r="141">
          <cell r="AX141">
            <v>692.37672048262357</v>
          </cell>
        </row>
        <row r="170">
          <cell r="AX170">
            <v>0.19000000000000003</v>
          </cell>
        </row>
        <row r="186">
          <cell r="AX186">
            <v>13622.040616389029</v>
          </cell>
        </row>
        <row r="187">
          <cell r="AX187">
            <v>352.82143317700002</v>
          </cell>
        </row>
        <row r="188">
          <cell r="AX188">
            <v>59.142520810009998</v>
          </cell>
        </row>
        <row r="189">
          <cell r="AX189">
            <v>4754.0509313198509</v>
          </cell>
        </row>
        <row r="190">
          <cell r="AX190">
            <v>1659.9276322957185</v>
          </cell>
        </row>
        <row r="191">
          <cell r="AX191">
            <v>1152.4516092844765</v>
          </cell>
        </row>
        <row r="192">
          <cell r="AX192">
            <v>30599.597273962507</v>
          </cell>
        </row>
        <row r="193">
          <cell r="AX193">
            <v>18506.074788614831</v>
          </cell>
        </row>
        <row r="199">
          <cell r="AX199">
            <v>3505.0192725984703</v>
          </cell>
        </row>
        <row r="200">
          <cell r="AX200">
            <v>65.80064101033183</v>
          </cell>
        </row>
        <row r="201">
          <cell r="AX201">
            <v>18.575663156706995</v>
          </cell>
        </row>
        <row r="202">
          <cell r="AX202">
            <v>445.55130963946948</v>
          </cell>
        </row>
        <row r="203">
          <cell r="AX203">
            <v>15.5754076952545</v>
          </cell>
        </row>
        <row r="204">
          <cell r="AX204">
            <v>7597.5266776999961</v>
          </cell>
        </row>
        <row r="229">
          <cell r="AX229">
            <v>2587.5624727639361</v>
          </cell>
        </row>
      </sheetData>
      <sheetData sheetId="3">
        <row r="15">
          <cell r="AH15">
            <v>35503.346000880716</v>
          </cell>
        </row>
        <row r="69">
          <cell r="AH69">
            <v>4594.4884607514696</v>
          </cell>
        </row>
        <row r="86">
          <cell r="AH86">
            <v>0</v>
          </cell>
        </row>
        <row r="90">
          <cell r="AH90">
            <v>0</v>
          </cell>
        </row>
        <row r="105">
          <cell r="AH105">
            <v>0</v>
          </cell>
        </row>
        <row r="118">
          <cell r="AH118">
            <v>0</v>
          </cell>
        </row>
        <row r="120">
          <cell r="AH120">
            <v>0</v>
          </cell>
        </row>
        <row r="122">
          <cell r="AH122">
            <v>21.84846128053103</v>
          </cell>
        </row>
        <row r="130">
          <cell r="AH130">
            <v>16943.370149525985</v>
          </cell>
        </row>
        <row r="141">
          <cell r="AH141">
            <v>5356.9150909857944</v>
          </cell>
        </row>
        <row r="170">
          <cell r="AH170">
            <v>854.13608969000029</v>
          </cell>
        </row>
        <row r="186">
          <cell r="AH186">
            <v>20964.260476939278</v>
          </cell>
        </row>
        <row r="187">
          <cell r="AH187">
            <v>0</v>
          </cell>
        </row>
        <row r="188">
          <cell r="AH188">
            <v>192.62462638</v>
          </cell>
        </row>
        <row r="189">
          <cell r="AH189">
            <v>2249.1624425332056</v>
          </cell>
        </row>
        <row r="190">
          <cell r="AH190">
            <v>3790.7783145906451</v>
          </cell>
        </row>
        <row r="191">
          <cell r="AH191">
            <v>3195.705383259392</v>
          </cell>
        </row>
        <row r="192">
          <cell r="AH192">
            <v>15256.25883129684</v>
          </cell>
        </row>
        <row r="193">
          <cell r="AH193">
            <v>11430.640435881376</v>
          </cell>
        </row>
        <row r="199">
          <cell r="AH199">
            <v>2140.7488920993355</v>
          </cell>
        </row>
        <row r="200">
          <cell r="AH200">
            <v>29.503844999999998</v>
          </cell>
        </row>
        <row r="201">
          <cell r="AH201">
            <v>0.3</v>
          </cell>
        </row>
        <row r="202">
          <cell r="AH202">
            <v>87.324453919999996</v>
          </cell>
        </row>
        <row r="203">
          <cell r="AH203">
            <v>0</v>
          </cell>
        </row>
        <row r="204">
          <cell r="AH204">
            <v>8528.1927416887193</v>
          </cell>
        </row>
        <row r="229">
          <cell r="AH229">
            <v>1446.1128300615371</v>
          </cell>
        </row>
        <row r="272">
          <cell r="AH272">
            <v>134770.80556746115</v>
          </cell>
        </row>
      </sheetData>
      <sheetData sheetId="4">
        <row r="14">
          <cell r="D14">
            <v>1657.7340127201101</v>
          </cell>
          <cell r="G14">
            <v>3239.224315384125</v>
          </cell>
        </row>
        <row r="16">
          <cell r="D16">
            <v>100384.8526097976</v>
          </cell>
          <cell r="G16">
            <v>101879.5717950367</v>
          </cell>
        </row>
        <row r="17">
          <cell r="D17">
            <v>2228.2700677604589</v>
          </cell>
          <cell r="G17">
            <v>2030.8648105567247</v>
          </cell>
        </row>
        <row r="18">
          <cell r="D18">
            <v>193.00010805867421</v>
          </cell>
          <cell r="G18">
            <v>208.81506389517691</v>
          </cell>
        </row>
        <row r="19">
          <cell r="D19">
            <v>166.1316672724204</v>
          </cell>
          <cell r="G19">
            <v>728.7863730292928</v>
          </cell>
        </row>
        <row r="20">
          <cell r="D20">
            <v>12848.720288570064</v>
          </cell>
          <cell r="G20">
            <v>13343.655270679443</v>
          </cell>
        </row>
        <row r="21">
          <cell r="D21">
            <v>12791.077158441945</v>
          </cell>
          <cell r="G21">
            <v>7114.2476852659111</v>
          </cell>
        </row>
        <row r="22">
          <cell r="D22">
            <v>2068.2547742301317</v>
          </cell>
          <cell r="G22">
            <v>1856.7084985741456</v>
          </cell>
        </row>
        <row r="23">
          <cell r="D23">
            <v>2432.8863580757252</v>
          </cell>
          <cell r="G23">
            <v>4369.0396062995214</v>
          </cell>
        </row>
        <row r="24">
          <cell r="G24">
            <v>134770.91341872103</v>
          </cell>
        </row>
      </sheetData>
      <sheetData sheetId="5"/>
      <sheetData sheetId="6"/>
      <sheetData sheetId="7"/>
      <sheetData sheetId="8"/>
      <sheetData sheetId="9"/>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1"/>
      <sheetName val="2"/>
      <sheetName val="3A"/>
      <sheetName val="3B"/>
      <sheetName val="4"/>
      <sheetName val="5"/>
      <sheetName val="6A"/>
      <sheetName val="6B"/>
      <sheetName val="7"/>
      <sheetName val="8"/>
    </sheetNames>
    <sheetDataSet>
      <sheetData sheetId="0">
        <row r="14">
          <cell r="C14">
            <v>0</v>
          </cell>
          <cell r="D14">
            <v>1.6751429417700001</v>
          </cell>
          <cell r="E14">
            <v>0</v>
          </cell>
          <cell r="F14">
            <v>791.82327084996996</v>
          </cell>
          <cell r="G14">
            <v>0</v>
          </cell>
          <cell r="H14">
            <v>1.2500000000000001E-6</v>
          </cell>
          <cell r="I14">
            <v>0</v>
          </cell>
          <cell r="J14">
            <v>0</v>
          </cell>
          <cell r="K14">
            <v>1.3970637000000001E-4</v>
          </cell>
          <cell r="L14">
            <v>-3.9667305000000013E-5</v>
          </cell>
          <cell r="M14">
            <v>0</v>
          </cell>
          <cell r="N14">
            <v>0</v>
          </cell>
          <cell r="O14">
            <v>0</v>
          </cell>
          <cell r="P14">
            <v>4301.2538299019316</v>
          </cell>
        </row>
        <row r="18">
          <cell r="C18">
            <v>8.3857659177307813</v>
          </cell>
          <cell r="D18">
            <v>1940.1161343560614</v>
          </cell>
          <cell r="E18">
            <v>3.5908079377236071E-2</v>
          </cell>
          <cell r="F18">
            <v>2287.0392836250699</v>
          </cell>
          <cell r="G18">
            <v>6.0032665276530581</v>
          </cell>
          <cell r="H18">
            <v>406.12509112715298</v>
          </cell>
          <cell r="I18">
            <v>0</v>
          </cell>
          <cell r="J18">
            <v>515.644523582386</v>
          </cell>
          <cell r="K18">
            <v>3.0074131651989389E-4</v>
          </cell>
          <cell r="L18">
            <v>2198.7148691485827</v>
          </cell>
          <cell r="M18">
            <v>2.9721482081941648E-2</v>
          </cell>
          <cell r="N18">
            <v>6476.2702344498193</v>
          </cell>
          <cell r="O18">
            <v>4.670010776517506E-2</v>
          </cell>
          <cell r="P18">
            <v>15690.59173811403</v>
          </cell>
        </row>
        <row r="22">
          <cell r="E22">
            <v>3.639465986649864</v>
          </cell>
          <cell r="F22">
            <v>312.69998826342299</v>
          </cell>
          <cell r="G22">
            <v>20.616693446319083</v>
          </cell>
          <cell r="H22">
            <v>1174.4529119256008</v>
          </cell>
          <cell r="I22">
            <v>0.17107833952254647</v>
          </cell>
          <cell r="J22">
            <v>159.08303569487984</v>
          </cell>
          <cell r="K22">
            <v>24.681931706296265</v>
          </cell>
          <cell r="L22">
            <v>10288.275713807014</v>
          </cell>
          <cell r="M22">
            <v>0.25509856524110341</v>
          </cell>
          <cell r="N22">
            <v>4287.8750360687745</v>
          </cell>
          <cell r="O22">
            <v>16.561520368940098</v>
          </cell>
          <cell r="P22">
            <v>8516.0277585890253</v>
          </cell>
        </row>
        <row r="23">
          <cell r="C23">
            <v>1.4365226396013977</v>
          </cell>
          <cell r="D23">
            <v>51.327164487480907</v>
          </cell>
        </row>
        <row r="24">
          <cell r="C24">
            <v>1.4107457983509285E-2</v>
          </cell>
          <cell r="D24">
            <v>108.09436792004001</v>
          </cell>
        </row>
        <row r="25">
          <cell r="C25">
            <v>5.0565271110044838</v>
          </cell>
          <cell r="D25">
            <v>114.61428402854679</v>
          </cell>
        </row>
        <row r="26">
          <cell r="C26">
            <v>90.42854269328663</v>
          </cell>
          <cell r="D26">
            <v>308.28644793324355</v>
          </cell>
        </row>
        <row r="27">
          <cell r="C27">
            <v>25.07178773803393</v>
          </cell>
          <cell r="D27">
            <v>224.9568955480818</v>
          </cell>
        </row>
        <row r="28">
          <cell r="C28">
            <v>40.477095259986712</v>
          </cell>
          <cell r="D28">
            <v>147.70779602853057</v>
          </cell>
        </row>
        <row r="29">
          <cell r="C29">
            <v>89.608187153155384</v>
          </cell>
          <cell r="D29">
            <v>14.888743941061009</v>
          </cell>
        </row>
        <row r="30">
          <cell r="C30">
            <v>0</v>
          </cell>
          <cell r="D30">
            <v>961.35579533915995</v>
          </cell>
          <cell r="E30">
            <v>0</v>
          </cell>
          <cell r="F30">
            <v>0</v>
          </cell>
          <cell r="G30">
            <v>0</v>
          </cell>
          <cell r="H30">
            <v>0</v>
          </cell>
          <cell r="I30">
            <v>0</v>
          </cell>
          <cell r="J30">
            <v>0</v>
          </cell>
          <cell r="K30">
            <v>0</v>
          </cell>
          <cell r="L30">
            <v>0</v>
          </cell>
          <cell r="M30">
            <v>0</v>
          </cell>
          <cell r="N30">
            <v>2.4001538980000001E-2</v>
          </cell>
          <cell r="O30">
            <v>0</v>
          </cell>
          <cell r="P30">
            <v>0</v>
          </cell>
        </row>
        <row r="31">
          <cell r="C31">
            <v>0</v>
          </cell>
          <cell r="D31">
            <v>247.72613237811697</v>
          </cell>
          <cell r="E31">
            <v>0</v>
          </cell>
          <cell r="F31">
            <v>15.860450589090002</v>
          </cell>
          <cell r="G31">
            <v>0</v>
          </cell>
          <cell r="H31">
            <v>16.242318169980003</v>
          </cell>
          <cell r="I31">
            <v>0</v>
          </cell>
          <cell r="J31">
            <v>1.59607816999</v>
          </cell>
          <cell r="K31">
            <v>0</v>
          </cell>
          <cell r="L31">
            <v>110.92818747738599</v>
          </cell>
          <cell r="M31">
            <v>1.4160799999999999E-3</v>
          </cell>
          <cell r="N31">
            <v>21.696403584826999</v>
          </cell>
          <cell r="O31">
            <v>7.5740000000000003E-5</v>
          </cell>
          <cell r="P31">
            <v>1031.7215328313337</v>
          </cell>
        </row>
        <row r="32">
          <cell r="E32"/>
          <cell r="F32"/>
          <cell r="G32"/>
          <cell r="H32"/>
          <cell r="I32"/>
          <cell r="J32"/>
          <cell r="K32"/>
          <cell r="L32"/>
          <cell r="M32"/>
          <cell r="N32"/>
          <cell r="O32">
            <v>0</v>
          </cell>
          <cell r="P32">
            <v>790.31099906999304</v>
          </cell>
        </row>
        <row r="33">
          <cell r="C33">
            <v>461.86771506531807</v>
          </cell>
          <cell r="D33">
            <v>4101.0819592289354</v>
          </cell>
          <cell r="E33">
            <v>2</v>
          </cell>
          <cell r="F33">
            <v>176.2</v>
          </cell>
          <cell r="G33">
            <v>0</v>
          </cell>
          <cell r="H33">
            <v>18.4284505</v>
          </cell>
          <cell r="I33">
            <v>0</v>
          </cell>
          <cell r="J33">
            <v>425.15025513000001</v>
          </cell>
          <cell r="K33">
            <v>0</v>
          </cell>
          <cell r="L33">
            <v>13636.915923313958</v>
          </cell>
          <cell r="M33">
            <v>1.6</v>
          </cell>
          <cell r="N33">
            <v>8112.0274505529924</v>
          </cell>
          <cell r="O33">
            <v>0.90683797872100003</v>
          </cell>
          <cell r="P33">
            <v>23467.182365686862</v>
          </cell>
        </row>
        <row r="34">
          <cell r="C34">
            <v>100.58326898030099</v>
          </cell>
          <cell r="D34">
            <v>2300.7105479779202</v>
          </cell>
          <cell r="E34">
            <v>0</v>
          </cell>
          <cell r="F34">
            <v>977.53605535000008</v>
          </cell>
          <cell r="G34">
            <v>15.383673474801062</v>
          </cell>
          <cell r="H34">
            <v>10.949883</v>
          </cell>
          <cell r="I34">
            <v>0</v>
          </cell>
          <cell r="J34">
            <v>18.254905399999998</v>
          </cell>
          <cell r="K34">
            <v>0</v>
          </cell>
          <cell r="L34">
            <v>1997.0657829500001</v>
          </cell>
          <cell r="M34">
            <v>0</v>
          </cell>
          <cell r="N34">
            <v>56.501739350000001</v>
          </cell>
          <cell r="O34">
            <v>0</v>
          </cell>
          <cell r="P34">
            <v>2905.2274087120768</v>
          </cell>
        </row>
        <row r="36">
          <cell r="C36">
            <v>91.768734275665196</v>
          </cell>
          <cell r="D36">
            <v>664.94576854354932</v>
          </cell>
          <cell r="E36">
            <v>0</v>
          </cell>
          <cell r="F36">
            <v>470.88355867126796</v>
          </cell>
          <cell r="G36">
            <v>13.883702379507156</v>
          </cell>
          <cell r="H36">
            <v>0</v>
          </cell>
          <cell r="I36">
            <v>0</v>
          </cell>
          <cell r="J36">
            <v>2.689174092E-3</v>
          </cell>
          <cell r="K36">
            <v>-1.5169598203999997E-2</v>
          </cell>
          <cell r="L36">
            <v>2445.0682162627218</v>
          </cell>
          <cell r="M36">
            <v>0</v>
          </cell>
          <cell r="N36">
            <v>11.240313007648002</v>
          </cell>
          <cell r="O36">
            <v>0</v>
          </cell>
          <cell r="P36">
            <v>1232.7850346969267</v>
          </cell>
        </row>
        <row r="37">
          <cell r="C37">
            <v>204.56409648637614</v>
          </cell>
          <cell r="D37">
            <v>1501.018548621473</v>
          </cell>
          <cell r="E37">
            <v>0</v>
          </cell>
          <cell r="F37">
            <v>0.1</v>
          </cell>
          <cell r="G37">
            <v>0</v>
          </cell>
          <cell r="H37">
            <v>0</v>
          </cell>
          <cell r="I37">
            <v>0</v>
          </cell>
          <cell r="J37">
            <v>0.1</v>
          </cell>
          <cell r="K37">
            <v>4.6115382979000002E-2</v>
          </cell>
          <cell r="L37">
            <v>20.912658816569998</v>
          </cell>
          <cell r="M37">
            <v>0.40002493335600003</v>
          </cell>
          <cell r="N37">
            <v>148.60161623153198</v>
          </cell>
          <cell r="O37">
            <v>23.264887817177542</v>
          </cell>
          <cell r="P37">
            <v>414.0853314035939</v>
          </cell>
        </row>
        <row r="38">
          <cell r="C38">
            <v>1119.2623507784433</v>
          </cell>
          <cell r="D38">
            <v>12688.505729273971</v>
          </cell>
          <cell r="E38">
            <v>5.6753740660270999</v>
          </cell>
          <cell r="F38">
            <v>5032.142607348821</v>
          </cell>
          <cell r="G38">
            <v>55.887335828280357</v>
          </cell>
          <cell r="H38">
            <v>1626.1986559727341</v>
          </cell>
          <cell r="I38">
            <v>0.17107833952254647</v>
          </cell>
          <cell r="J38">
            <v>1119.8314871513478</v>
          </cell>
          <cell r="K38">
            <v>24.713317938757783</v>
          </cell>
          <cell r="L38">
            <v>30697.88131210893</v>
          </cell>
          <cell r="M38">
            <v>2.2862610606790454</v>
          </cell>
          <cell r="N38">
            <v>19114.236794784574</v>
          </cell>
          <cell r="O38">
            <v>40.780022012603816</v>
          </cell>
          <cell r="P38">
            <v>58349.185999005764</v>
          </cell>
          <cell r="Q38">
            <v>129876.75832567047</v>
          </cell>
        </row>
        <row r="40">
          <cell r="Q40">
            <v>25726.890294632809</v>
          </cell>
        </row>
        <row r="68">
          <cell r="C68">
            <v>1.8793550442232725E-2</v>
          </cell>
          <cell r="D68">
            <v>0.15655894000000001</v>
          </cell>
        </row>
        <row r="69">
          <cell r="C69">
            <v>48.135308326169763</v>
          </cell>
          <cell r="D69">
            <v>-5.0000000000000002E-11</v>
          </cell>
          <cell r="E69">
            <v>0</v>
          </cell>
          <cell r="F69">
            <v>0</v>
          </cell>
          <cell r="G69">
            <v>0</v>
          </cell>
          <cell r="H69">
            <v>0</v>
          </cell>
          <cell r="I69">
            <v>0</v>
          </cell>
          <cell r="J69">
            <v>0</v>
          </cell>
          <cell r="K69">
            <v>0</v>
          </cell>
          <cell r="L69">
            <v>-2.9833683E-4</v>
          </cell>
          <cell r="M69">
            <v>0</v>
          </cell>
          <cell r="N69">
            <v>0</v>
          </cell>
          <cell r="O69">
            <v>0</v>
          </cell>
          <cell r="P69">
            <v>45.582549999999998</v>
          </cell>
        </row>
        <row r="72">
          <cell r="C72">
            <v>115.08148176337461</v>
          </cell>
          <cell r="D72">
            <v>3399.860143221088</v>
          </cell>
          <cell r="E72">
            <v>6.4889018460875331E-2</v>
          </cell>
          <cell r="F72">
            <v>1167.8984837975001</v>
          </cell>
          <cell r="G72">
            <v>3.9787798408488063E-5</v>
          </cell>
          <cell r="H72">
            <v>604.33599944577156</v>
          </cell>
          <cell r="I72">
            <v>0</v>
          </cell>
          <cell r="J72">
            <v>2369.1933695388038</v>
          </cell>
          <cell r="K72">
            <v>0.34957790716172416</v>
          </cell>
          <cell r="L72">
            <v>2957.9114326704785</v>
          </cell>
          <cell r="M72">
            <v>1.5835676206896551E-5</v>
          </cell>
          <cell r="N72">
            <v>2659.6037011766284</v>
          </cell>
          <cell r="O72">
            <v>8.3596312722944294E-3</v>
          </cell>
          <cell r="P72">
            <v>8089.421866792225</v>
          </cell>
        </row>
        <row r="76">
          <cell r="E76">
            <v>0.2</v>
          </cell>
          <cell r="F76">
            <v>392.87426198169197</v>
          </cell>
          <cell r="G76">
            <v>0</v>
          </cell>
          <cell r="H76">
            <v>1930.6131564010377</v>
          </cell>
          <cell r="I76">
            <v>0</v>
          </cell>
          <cell r="J76">
            <v>729.95699119103108</v>
          </cell>
          <cell r="K76">
            <v>0</v>
          </cell>
          <cell r="L76">
            <v>3516.8130527290809</v>
          </cell>
          <cell r="M76">
            <v>0</v>
          </cell>
          <cell r="N76">
            <v>5349.4461833984151</v>
          </cell>
          <cell r="O76">
            <v>2.3000000000000001E-11</v>
          </cell>
          <cell r="P76">
            <v>24618.742289775029</v>
          </cell>
        </row>
        <row r="77">
          <cell r="C77">
            <v>42.455349249000001</v>
          </cell>
          <cell r="D77">
            <v>980.85661353470005</v>
          </cell>
        </row>
        <row r="78">
          <cell r="C78">
            <v>0</v>
          </cell>
          <cell r="D78">
            <v>0</v>
          </cell>
        </row>
        <row r="79">
          <cell r="C79">
            <v>-1.5650000000000001E-9</v>
          </cell>
          <cell r="D79">
            <v>681.69034034017591</v>
          </cell>
        </row>
        <row r="80">
          <cell r="C80">
            <v>0</v>
          </cell>
          <cell r="D80">
            <v>1755.5789563346607</v>
          </cell>
        </row>
        <row r="81">
          <cell r="C81">
            <v>20.007501171924002</v>
          </cell>
          <cell r="D81">
            <v>815.82145800788396</v>
          </cell>
        </row>
        <row r="82">
          <cell r="C82">
            <v>7.6785316816250404</v>
          </cell>
          <cell r="D82">
            <v>92.717571307059984</v>
          </cell>
        </row>
        <row r="83">
          <cell r="C83">
            <v>0</v>
          </cell>
          <cell r="D83">
            <v>5.2</v>
          </cell>
        </row>
        <row r="84">
          <cell r="E84">
            <v>2.6525199999999998E-3</v>
          </cell>
          <cell r="F84">
            <v>605.76496017123975</v>
          </cell>
          <cell r="G84">
            <v>0</v>
          </cell>
          <cell r="H84">
            <v>876.80234003955911</v>
          </cell>
          <cell r="I84">
            <v>0</v>
          </cell>
          <cell r="J84">
            <v>249.12294902666426</v>
          </cell>
          <cell r="K84">
            <v>0</v>
          </cell>
          <cell r="L84">
            <v>3184.4953124996964</v>
          </cell>
          <cell r="M84">
            <v>0</v>
          </cell>
          <cell r="N84">
            <v>1431.5771596922468</v>
          </cell>
          <cell r="O84">
            <v>0</v>
          </cell>
          <cell r="P84">
            <v>14491.285793986348</v>
          </cell>
        </row>
        <row r="86">
          <cell r="C86">
            <v>356.62498343588771</v>
          </cell>
          <cell r="D86">
            <v>2288.8478574430169</v>
          </cell>
        </row>
        <row r="89">
          <cell r="C89">
            <v>0</v>
          </cell>
          <cell r="D89">
            <v>1354.778526426069</v>
          </cell>
        </row>
        <row r="92">
          <cell r="C92">
            <v>491.48319712977582</v>
          </cell>
          <cell r="D92">
            <v>548.14568662317424</v>
          </cell>
        </row>
        <row r="93">
          <cell r="C93">
            <v>-3.3998968183000002E-2</v>
          </cell>
          <cell r="D93">
            <v>482.80517826432595</v>
          </cell>
          <cell r="E93">
            <v>0</v>
          </cell>
          <cell r="F93">
            <v>18.979057680719997</v>
          </cell>
          <cell r="G93">
            <v>0</v>
          </cell>
          <cell r="H93">
            <v>3.1621239330400002</v>
          </cell>
          <cell r="I93">
            <v>0</v>
          </cell>
          <cell r="J93">
            <v>8.4314002199200022</v>
          </cell>
          <cell r="K93">
            <v>0</v>
          </cell>
          <cell r="L93">
            <v>454.30354341915097</v>
          </cell>
          <cell r="M93">
            <v>5.1708800000000001E-3</v>
          </cell>
          <cell r="N93">
            <v>13.265238826113002</v>
          </cell>
          <cell r="O93">
            <v>0</v>
          </cell>
          <cell r="P93">
            <v>591.20743497454805</v>
          </cell>
        </row>
        <row r="94">
          <cell r="E94"/>
          <cell r="F94"/>
          <cell r="G94"/>
          <cell r="H94"/>
          <cell r="I94"/>
          <cell r="J94"/>
          <cell r="K94"/>
          <cell r="L94"/>
          <cell r="M94"/>
          <cell r="N94"/>
          <cell r="O94">
            <v>0</v>
          </cell>
          <cell r="P94">
            <v>310.80205472019998</v>
          </cell>
        </row>
        <row r="95">
          <cell r="C95">
            <v>1932.0890895384828</v>
          </cell>
          <cell r="D95">
            <v>3780.0112514931529</v>
          </cell>
          <cell r="E95">
            <v>0.1</v>
          </cell>
          <cell r="F95">
            <v>51.745127850000003</v>
          </cell>
          <cell r="G95">
            <v>0</v>
          </cell>
          <cell r="H95">
            <v>144.76287877105199</v>
          </cell>
          <cell r="I95">
            <v>0</v>
          </cell>
          <cell r="J95">
            <v>1.6</v>
          </cell>
          <cell r="K95">
            <v>0</v>
          </cell>
          <cell r="L95">
            <v>7292.8398019823371</v>
          </cell>
          <cell r="M95">
            <v>0</v>
          </cell>
          <cell r="N95">
            <v>1434.3941308445776</v>
          </cell>
          <cell r="O95">
            <v>69.362175591999986</v>
          </cell>
          <cell r="P95">
            <v>20662.222591172354</v>
          </cell>
        </row>
        <row r="96">
          <cell r="C96">
            <v>85.360835848124154</v>
          </cell>
          <cell r="D96">
            <v>71.00460053745698</v>
          </cell>
        </row>
        <row r="97">
          <cell r="C97">
            <v>609.39869682588812</v>
          </cell>
          <cell r="D97">
            <v>1670.0393225249595</v>
          </cell>
          <cell r="E97">
            <v>0.13371708912466843</v>
          </cell>
          <cell r="F97">
            <v>63.225325104986737</v>
          </cell>
          <cell r="G97">
            <v>0.52756911936339523</v>
          </cell>
          <cell r="H97">
            <v>5.2632810405835553</v>
          </cell>
          <cell r="I97">
            <v>2.9177718832891248E-4</v>
          </cell>
          <cell r="J97">
            <v>3.0267652599999999</v>
          </cell>
          <cell r="K97">
            <v>0.3368859341486074</v>
          </cell>
          <cell r="L97">
            <v>90.871881060974118</v>
          </cell>
          <cell r="M97">
            <v>0.66682407158408485</v>
          </cell>
          <cell r="N97">
            <v>257.26432300772433</v>
          </cell>
          <cell r="O97">
            <v>11.428945024031831</v>
          </cell>
          <cell r="P97">
            <v>1478.9909690594477</v>
          </cell>
        </row>
        <row r="98">
          <cell r="C98">
            <v>3708.2997695509466</v>
          </cell>
          <cell r="D98">
            <v>17927.514064997675</v>
          </cell>
          <cell r="E98">
            <v>0.50125862758554374</v>
          </cell>
          <cell r="F98">
            <v>2300.4872165861384</v>
          </cell>
          <cell r="G98">
            <v>0.52760890716180375</v>
          </cell>
          <cell r="H98">
            <v>3564.9397796310441</v>
          </cell>
          <cell r="I98">
            <v>2.9177718832891248E-4</v>
          </cell>
          <cell r="J98">
            <v>3361.331475236419</v>
          </cell>
          <cell r="K98">
            <v>0.68646384131033156</v>
          </cell>
          <cell r="L98">
            <v>17497.23472602489</v>
          </cell>
          <cell r="M98">
            <v>0.67201078726029173</v>
          </cell>
          <cell r="N98">
            <v>11145.550736945705</v>
          </cell>
          <cell r="O98">
            <v>80.799480247327111</v>
          </cell>
          <cell r="P98">
            <v>70288.255550480157</v>
          </cell>
          <cell r="Q98">
            <v>129876.8004336408</v>
          </cell>
        </row>
        <row r="100">
          <cell r="Q100">
            <v>26381.104950669087</v>
          </cell>
        </row>
      </sheetData>
      <sheetData sheetId="1"/>
      <sheetData sheetId="2">
        <row r="15">
          <cell r="AX15">
            <v>29256.47778094688</v>
          </cell>
        </row>
        <row r="69">
          <cell r="AX69">
            <v>10854.711201982673</v>
          </cell>
        </row>
        <row r="86">
          <cell r="AX86">
            <v>0</v>
          </cell>
        </row>
        <row r="90">
          <cell r="AX90">
            <v>101.53</v>
          </cell>
        </row>
        <row r="105">
          <cell r="AX105">
            <v>0</v>
          </cell>
        </row>
        <row r="118">
          <cell r="AX118">
            <v>0</v>
          </cell>
        </row>
        <row r="120">
          <cell r="AX120">
            <v>8.1220559129999998E-3</v>
          </cell>
        </row>
        <row r="122">
          <cell r="AX122">
            <v>260.91584171180057</v>
          </cell>
        </row>
        <row r="130">
          <cell r="AX130">
            <v>1558.515302530054</v>
          </cell>
        </row>
        <row r="141">
          <cell r="AX141">
            <v>706.96500931368564</v>
          </cell>
        </row>
        <row r="170">
          <cell r="AX170">
            <v>0.21000000000000002</v>
          </cell>
        </row>
        <row r="186">
          <cell r="AX186">
            <v>13807.683441546198</v>
          </cell>
        </row>
        <row r="187">
          <cell r="AX187">
            <v>354.06518298599997</v>
          </cell>
        </row>
        <row r="188">
          <cell r="AX188">
            <v>60.311525669999995</v>
          </cell>
        </row>
        <row r="189">
          <cell r="AX189">
            <v>5037.8489813729993</v>
          </cell>
        </row>
        <row r="190">
          <cell r="AX190">
            <v>1682.0660047885619</v>
          </cell>
        </row>
        <row r="191">
          <cell r="AX191">
            <v>1120.002502884721</v>
          </cell>
        </row>
        <row r="192">
          <cell r="AX192">
            <v>30722.744691802156</v>
          </cell>
        </row>
        <row r="193">
          <cell r="AX193">
            <v>19116.520691371836</v>
          </cell>
        </row>
        <row r="199">
          <cell r="AX199">
            <v>3920.9147111988923</v>
          </cell>
        </row>
        <row r="200">
          <cell r="AX200">
            <v>83.782662911818235</v>
          </cell>
        </row>
        <row r="201">
          <cell r="AX201">
            <v>16.737593934570004</v>
          </cell>
        </row>
        <row r="202">
          <cell r="AX202">
            <v>391.23955353100803</v>
          </cell>
        </row>
        <row r="203">
          <cell r="AX203">
            <v>15.689547852509</v>
          </cell>
        </row>
        <row r="204">
          <cell r="AX204">
            <v>7187.8367741930333</v>
          </cell>
        </row>
        <row r="229">
          <cell r="AX229">
            <v>2448.6764727639356</v>
          </cell>
        </row>
      </sheetData>
      <sheetData sheetId="3">
        <row r="15">
          <cell r="AH15">
            <v>35901.363940572483</v>
          </cell>
        </row>
        <row r="69">
          <cell r="AH69">
            <v>4588.045591200771</v>
          </cell>
        </row>
        <row r="86">
          <cell r="AH86">
            <v>0</v>
          </cell>
        </row>
        <row r="90">
          <cell r="AH90">
            <v>0</v>
          </cell>
        </row>
        <row r="105">
          <cell r="AH105">
            <v>0</v>
          </cell>
        </row>
        <row r="118">
          <cell r="AH118">
            <v>0</v>
          </cell>
        </row>
        <row r="120">
          <cell r="AH120">
            <v>0</v>
          </cell>
        </row>
        <row r="122">
          <cell r="AH122">
            <v>46.726972259929944</v>
          </cell>
        </row>
        <row r="130">
          <cell r="AH130">
            <v>8132.7289895048834</v>
          </cell>
        </row>
        <row r="141">
          <cell r="AH141">
            <v>5504.7008938587987</v>
          </cell>
        </row>
        <row r="170">
          <cell r="AH170">
            <v>895.1938782310001</v>
          </cell>
        </row>
        <row r="186">
          <cell r="AH186">
            <v>21635.95970168868</v>
          </cell>
        </row>
        <row r="187">
          <cell r="AH187">
            <v>0</v>
          </cell>
        </row>
        <row r="188">
          <cell r="AH188">
            <v>190.12856851999999</v>
          </cell>
        </row>
        <row r="189">
          <cell r="AH189">
            <v>2300.9761133525253</v>
          </cell>
        </row>
        <row r="190">
          <cell r="AH190">
            <v>3565.4516317082052</v>
          </cell>
        </row>
        <row r="191">
          <cell r="AH191">
            <v>3361.3271421762438</v>
          </cell>
        </row>
        <row r="192">
          <cell r="AH192">
            <v>17497.939734720938</v>
          </cell>
        </row>
        <row r="193">
          <cell r="AH193">
            <v>11146.190964067748</v>
          </cell>
        </row>
        <row r="199">
          <cell r="AH199">
            <v>2406.2511770262031</v>
          </cell>
        </row>
        <row r="200">
          <cell r="AH200">
            <v>29.496485</v>
          </cell>
        </row>
        <row r="201">
          <cell r="AH201">
            <v>0.3</v>
          </cell>
        </row>
        <row r="202">
          <cell r="AH202">
            <v>84.182422930000001</v>
          </cell>
        </row>
        <row r="203">
          <cell r="AH203">
            <v>0</v>
          </cell>
        </row>
        <row r="204">
          <cell r="AH204">
            <v>8645.2423210083543</v>
          </cell>
        </row>
        <row r="229">
          <cell r="AH229">
            <v>1595.4913302566977</v>
          </cell>
        </row>
        <row r="272">
          <cell r="AH272">
            <v>129876.86887424241</v>
          </cell>
        </row>
      </sheetData>
      <sheetData sheetId="4">
        <row r="14">
          <cell r="D14">
            <v>1248.7207574429804</v>
          </cell>
          <cell r="G14">
            <v>3791.4476384410509</v>
          </cell>
        </row>
        <row r="16">
          <cell r="D16">
            <v>94643.917631546341</v>
          </cell>
          <cell r="G16">
            <v>94351.789051037384</v>
          </cell>
        </row>
        <row r="17">
          <cell r="D17">
            <v>2258.9232624559081</v>
          </cell>
          <cell r="G17">
            <v>1856.57751953708</v>
          </cell>
        </row>
        <row r="18">
          <cell r="D18">
            <v>221.57992484440828</v>
          </cell>
          <cell r="G18">
            <v>266.90872919049741</v>
          </cell>
        </row>
        <row r="19">
          <cell r="D19">
            <v>171.48116390594987</v>
          </cell>
          <cell r="G19">
            <v>643.2380210713668</v>
          </cell>
        </row>
        <row r="20">
          <cell r="D20">
            <v>13075.962289317882</v>
          </cell>
          <cell r="G20">
            <v>13758.612144076935</v>
          </cell>
        </row>
        <row r="21">
          <cell r="D21">
            <v>13229.324036829255</v>
          </cell>
          <cell r="G21">
            <v>8619.3084718753762</v>
          </cell>
        </row>
        <row r="22">
          <cell r="D22">
            <v>2080.9522158312338</v>
          </cell>
          <cell r="G22">
            <v>1818.897304672058</v>
          </cell>
        </row>
        <row r="23">
          <cell r="D23">
            <v>2945.9674300011129</v>
          </cell>
          <cell r="G23">
            <v>4770.012795560031</v>
          </cell>
        </row>
        <row r="24">
          <cell r="G24">
            <v>129876.79167546176</v>
          </cell>
        </row>
      </sheetData>
      <sheetData sheetId="5"/>
      <sheetData sheetId="6"/>
      <sheetData sheetId="7"/>
      <sheetData sheetId="8"/>
      <sheetData sheetId="9"/>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14">
          <cell r="C14">
            <v>0</v>
          </cell>
          <cell r="D14">
            <v>141.48092981157001</v>
          </cell>
          <cell r="E14">
            <v>0</v>
          </cell>
          <cell r="F14">
            <v>680.27656528998</v>
          </cell>
          <cell r="G14">
            <v>0</v>
          </cell>
          <cell r="H14">
            <v>1.2500000000000001E-6</v>
          </cell>
          <cell r="I14">
            <v>0</v>
          </cell>
          <cell r="J14">
            <v>0</v>
          </cell>
          <cell r="K14">
            <v>1.3970084800000001E-4</v>
          </cell>
          <cell r="L14">
            <v>-4.0361251000000016E-5</v>
          </cell>
          <cell r="M14">
            <v>0</v>
          </cell>
          <cell r="N14">
            <v>0</v>
          </cell>
          <cell r="O14">
            <v>0</v>
          </cell>
          <cell r="P14">
            <v>4371.9342645583702</v>
          </cell>
        </row>
        <row r="18">
          <cell r="C18">
            <v>11.720549554270496</v>
          </cell>
          <cell r="D18">
            <v>1688.2391129565485</v>
          </cell>
          <cell r="E18">
            <v>3.8560598679135277E-2</v>
          </cell>
          <cell r="F18">
            <v>2121.6140013827116</v>
          </cell>
          <cell r="G18">
            <v>6.0000149859459997</v>
          </cell>
          <cell r="H18">
            <v>355.21018869850229</v>
          </cell>
          <cell r="I18">
            <v>0</v>
          </cell>
          <cell r="J18">
            <v>505.13167249838699</v>
          </cell>
          <cell r="K18">
            <v>8.4799184519893897E-5</v>
          </cell>
          <cell r="L18">
            <v>2065.2813205099164</v>
          </cell>
          <cell r="M18">
            <v>53.212885291978942</v>
          </cell>
          <cell r="N18">
            <v>6913.5476919681851</v>
          </cell>
          <cell r="O18">
            <v>4.6699101475175066E-2</v>
          </cell>
          <cell r="P18">
            <v>14995.650003422665</v>
          </cell>
        </row>
        <row r="22">
          <cell r="E22">
            <v>1.7671720606594219</v>
          </cell>
          <cell r="F22">
            <v>184.55946693982358</v>
          </cell>
          <cell r="G22">
            <v>22.460495228930206</v>
          </cell>
          <cell r="H22">
            <v>1083.2152402653826</v>
          </cell>
          <cell r="I22">
            <v>0.17107833952254647</v>
          </cell>
          <cell r="J22">
            <v>165.39214937942978</v>
          </cell>
          <cell r="K22">
            <v>13.984533319555725</v>
          </cell>
          <cell r="L22">
            <v>9995.7048426379952</v>
          </cell>
          <cell r="M22">
            <v>0.12716070956773737</v>
          </cell>
          <cell r="N22">
            <v>4407.65558668617</v>
          </cell>
          <cell r="O22">
            <v>16.573134881778557</v>
          </cell>
          <cell r="P22">
            <v>8246.2681491443564</v>
          </cell>
        </row>
        <row r="23">
          <cell r="C23">
            <v>43.406900281746879</v>
          </cell>
          <cell r="D23">
            <v>42.789704263424298</v>
          </cell>
        </row>
        <row r="24">
          <cell r="C24">
            <v>1.6121107982509285E-2</v>
          </cell>
          <cell r="D24">
            <v>118.50894770004001</v>
          </cell>
        </row>
        <row r="25">
          <cell r="C25">
            <v>5.1971429290490105</v>
          </cell>
          <cell r="D25">
            <v>120.32171952181945</v>
          </cell>
        </row>
        <row r="26">
          <cell r="C26">
            <v>101.661340651709</v>
          </cell>
          <cell r="D26">
            <v>177.95127652307625</v>
          </cell>
        </row>
        <row r="27">
          <cell r="C27">
            <v>23.753745563411552</v>
          </cell>
          <cell r="D27">
            <v>199.23527785518053</v>
          </cell>
        </row>
        <row r="28">
          <cell r="C28">
            <v>40.008189072374009</v>
          </cell>
          <cell r="D28">
            <v>137.74515216189124</v>
          </cell>
        </row>
        <row r="29">
          <cell r="C29">
            <v>122.43142037041567</v>
          </cell>
          <cell r="D29">
            <v>116.86566094106101</v>
          </cell>
        </row>
        <row r="30">
          <cell r="C30">
            <v>0</v>
          </cell>
          <cell r="D30">
            <v>964.21359651915998</v>
          </cell>
          <cell r="E30">
            <v>0</v>
          </cell>
          <cell r="F30">
            <v>0</v>
          </cell>
          <cell r="G30">
            <v>0</v>
          </cell>
          <cell r="H30">
            <v>0</v>
          </cell>
          <cell r="I30">
            <v>0</v>
          </cell>
          <cell r="J30">
            <v>0</v>
          </cell>
          <cell r="K30">
            <v>0</v>
          </cell>
          <cell r="L30">
            <v>0</v>
          </cell>
          <cell r="M30">
            <v>0</v>
          </cell>
          <cell r="N30">
            <v>2.6041618700000001E-2</v>
          </cell>
          <cell r="O30">
            <v>0</v>
          </cell>
          <cell r="P30">
            <v>0</v>
          </cell>
        </row>
        <row r="31">
          <cell r="C31">
            <v>0</v>
          </cell>
          <cell r="D31">
            <v>274.46441732827202</v>
          </cell>
          <cell r="E31">
            <v>0</v>
          </cell>
          <cell r="F31">
            <v>9.2800343890000008</v>
          </cell>
          <cell r="G31">
            <v>0</v>
          </cell>
          <cell r="H31">
            <v>13.719294582970001</v>
          </cell>
          <cell r="I31">
            <v>0</v>
          </cell>
          <cell r="J31">
            <v>0.61249220998999998</v>
          </cell>
          <cell r="K31">
            <v>0</v>
          </cell>
          <cell r="L31">
            <v>90.008524163489</v>
          </cell>
          <cell r="M31">
            <v>5.4166400000000003E-3</v>
          </cell>
          <cell r="N31">
            <v>12.043516687497002</v>
          </cell>
          <cell r="O31">
            <v>0</v>
          </cell>
          <cell r="P31">
            <v>870.93425650625386</v>
          </cell>
        </row>
        <row r="32">
          <cell r="E32"/>
          <cell r="F32"/>
          <cell r="G32"/>
          <cell r="H32"/>
          <cell r="I32"/>
          <cell r="J32"/>
          <cell r="K32"/>
          <cell r="L32"/>
          <cell r="M32"/>
          <cell r="N32"/>
          <cell r="O32">
            <v>0</v>
          </cell>
          <cell r="P32">
            <v>318.5601544865109</v>
          </cell>
        </row>
        <row r="33">
          <cell r="C33">
            <v>868.85633991628606</v>
          </cell>
          <cell r="D33">
            <v>4419.2266617317964</v>
          </cell>
          <cell r="E33">
            <v>2</v>
          </cell>
          <cell r="F33">
            <v>176.8</v>
          </cell>
          <cell r="G33">
            <v>0</v>
          </cell>
          <cell r="H33">
            <v>8.1472375199999991</v>
          </cell>
          <cell r="I33">
            <v>0</v>
          </cell>
          <cell r="J33">
            <v>350.85024630000004</v>
          </cell>
          <cell r="K33">
            <v>0</v>
          </cell>
          <cell r="L33">
            <v>12573.975938528656</v>
          </cell>
          <cell r="M33">
            <v>1.3</v>
          </cell>
          <cell r="N33">
            <v>7736.7394466529267</v>
          </cell>
          <cell r="O33">
            <v>0.68683783714300006</v>
          </cell>
          <cell r="P33">
            <v>23982.396242656028</v>
          </cell>
        </row>
        <row r="34">
          <cell r="C34">
            <v>100.583268980301</v>
          </cell>
          <cell r="D34">
            <v>2306.7768160417772</v>
          </cell>
          <cell r="E34">
            <v>0</v>
          </cell>
          <cell r="F34">
            <v>977.53605535000008</v>
          </cell>
          <cell r="G34">
            <v>15.383673474801062</v>
          </cell>
          <cell r="H34">
            <v>10.949883</v>
          </cell>
          <cell r="I34">
            <v>0</v>
          </cell>
          <cell r="J34">
            <v>18.254905399999998</v>
          </cell>
          <cell r="K34">
            <v>0</v>
          </cell>
          <cell r="L34">
            <v>1996.4658017500001</v>
          </cell>
          <cell r="M34">
            <v>0</v>
          </cell>
          <cell r="N34">
            <v>56.477939350000007</v>
          </cell>
          <cell r="O34">
            <v>0</v>
          </cell>
          <cell r="P34">
            <v>2909.6472609262464</v>
          </cell>
        </row>
        <row r="36">
          <cell r="C36">
            <v>93.485980379061857</v>
          </cell>
          <cell r="D36">
            <v>668.90482663913281</v>
          </cell>
          <cell r="E36">
            <v>0</v>
          </cell>
          <cell r="F36">
            <v>472.18166615207446</v>
          </cell>
          <cell r="G36">
            <v>14.143504740301511</v>
          </cell>
          <cell r="H36">
            <v>0</v>
          </cell>
          <cell r="I36">
            <v>0</v>
          </cell>
          <cell r="J36">
            <v>2.6917209135999998E-3</v>
          </cell>
          <cell r="K36">
            <v>7.5472111107999992E-2</v>
          </cell>
          <cell r="L36">
            <v>2527.5039921010971</v>
          </cell>
          <cell r="M36">
            <v>0</v>
          </cell>
          <cell r="N36">
            <v>17.9815060957784</v>
          </cell>
          <cell r="O36">
            <v>0</v>
          </cell>
          <cell r="P36">
            <v>1246.7002750744909</v>
          </cell>
        </row>
        <row r="37">
          <cell r="C37">
            <v>203.07011381149789</v>
          </cell>
          <cell r="D37">
            <v>1338.3248535857679</v>
          </cell>
          <cell r="E37">
            <v>0</v>
          </cell>
          <cell r="F37">
            <v>0</v>
          </cell>
          <cell r="G37">
            <v>0</v>
          </cell>
          <cell r="H37">
            <v>0</v>
          </cell>
          <cell r="I37">
            <v>0</v>
          </cell>
          <cell r="J37">
            <v>0</v>
          </cell>
          <cell r="K37">
            <v>4.6329490723000001E-2</v>
          </cell>
          <cell r="L37">
            <v>37.124112261040992</v>
          </cell>
          <cell r="M37">
            <v>0.20002493237100002</v>
          </cell>
          <cell r="N37">
            <v>149.23910031921</v>
          </cell>
          <cell r="O37">
            <v>32.761746864181418</v>
          </cell>
          <cell r="P37">
            <v>449.41682774395258</v>
          </cell>
        </row>
        <row r="38">
          <cell r="C38">
            <v>1614.1911126181058</v>
          </cell>
          <cell r="D38">
            <v>12715.048953580517</v>
          </cell>
          <cell r="E38">
            <v>3.805732659338557</v>
          </cell>
          <cell r="F38">
            <v>4622.24778950359</v>
          </cell>
          <cell r="G38">
            <v>57.987688429978775</v>
          </cell>
          <cell r="H38">
            <v>1471.241845316855</v>
          </cell>
          <cell r="I38">
            <v>0.17107833952254647</v>
          </cell>
          <cell r="J38">
            <v>1040.2441575087205</v>
          </cell>
          <cell r="K38">
            <v>14.106559421419245</v>
          </cell>
          <cell r="L38">
            <v>29286.064491590943</v>
          </cell>
          <cell r="M38">
            <v>54.84548757391768</v>
          </cell>
          <cell r="N38">
            <v>19293.710829378466</v>
          </cell>
          <cell r="O38">
            <v>50.068418684578148</v>
          </cell>
          <cell r="P38">
            <v>57391.507434518877</v>
          </cell>
          <cell r="Q38">
            <v>127615.24157912482</v>
          </cell>
        </row>
        <row r="40">
          <cell r="Q40">
            <v>26896.738860754573</v>
          </cell>
        </row>
        <row r="68">
          <cell r="C68">
            <v>1.7064582596243577E-2</v>
          </cell>
          <cell r="D68">
            <v>0.15194689</v>
          </cell>
        </row>
        <row r="69">
          <cell r="C69">
            <v>50.105817250180365</v>
          </cell>
          <cell r="D69">
            <v>-5.0000000000000002E-11</v>
          </cell>
          <cell r="E69">
            <v>0</v>
          </cell>
          <cell r="F69">
            <v>0</v>
          </cell>
          <cell r="G69">
            <v>0</v>
          </cell>
          <cell r="H69">
            <v>0</v>
          </cell>
          <cell r="I69">
            <v>0</v>
          </cell>
          <cell r="J69">
            <v>0</v>
          </cell>
          <cell r="K69">
            <v>0</v>
          </cell>
          <cell r="L69">
            <v>-2.9833683E-4</v>
          </cell>
          <cell r="M69">
            <v>0</v>
          </cell>
          <cell r="N69">
            <v>0</v>
          </cell>
          <cell r="O69">
            <v>0</v>
          </cell>
          <cell r="P69">
            <v>0</v>
          </cell>
        </row>
        <row r="72">
          <cell r="C72">
            <v>196.84433417725319</v>
          </cell>
          <cell r="D72">
            <v>3154.2978541118609</v>
          </cell>
          <cell r="E72">
            <v>8.8164225357427045E-2</v>
          </cell>
          <cell r="F72">
            <v>1040.9367337145047</v>
          </cell>
          <cell r="G72">
            <v>3.9787798408488063E-5</v>
          </cell>
          <cell r="H72">
            <v>482.1842081598121</v>
          </cell>
          <cell r="I72">
            <v>0</v>
          </cell>
          <cell r="J72">
            <v>2343.0995785584173</v>
          </cell>
          <cell r="K72">
            <v>0.34957789655172417</v>
          </cell>
          <cell r="L72">
            <v>2437.5570767189424</v>
          </cell>
          <cell r="M72">
            <v>1.5835677206896551E-5</v>
          </cell>
          <cell r="N72">
            <v>2765.3925173124735</v>
          </cell>
          <cell r="O72">
            <v>4.515376389828913E-2</v>
          </cell>
          <cell r="P72">
            <v>8132.9198957577328</v>
          </cell>
        </row>
        <row r="76">
          <cell r="E76">
            <v>0.2</v>
          </cell>
          <cell r="F76">
            <v>398.64595268949802</v>
          </cell>
          <cell r="G76">
            <v>0</v>
          </cell>
          <cell r="H76">
            <v>1870.3467257838331</v>
          </cell>
          <cell r="I76">
            <v>0</v>
          </cell>
          <cell r="J76">
            <v>724.03027995117088</v>
          </cell>
          <cell r="K76">
            <v>9.9999999999999998E-13</v>
          </cell>
          <cell r="L76">
            <v>2795.8208301220079</v>
          </cell>
          <cell r="M76">
            <v>9.9999999999999998E-13</v>
          </cell>
          <cell r="N76">
            <v>5154.9577636350277</v>
          </cell>
          <cell r="O76">
            <v>2.7E-11</v>
          </cell>
          <cell r="P76">
            <v>23766.542650115469</v>
          </cell>
        </row>
        <row r="77">
          <cell r="C77">
            <v>128.95812334299998</v>
          </cell>
          <cell r="D77">
            <v>1058.5063859142399</v>
          </cell>
        </row>
        <row r="78">
          <cell r="C78">
            <v>0</v>
          </cell>
          <cell r="D78">
            <v>0</v>
          </cell>
        </row>
        <row r="79">
          <cell r="C79">
            <v>-3.3997626093999998E-2</v>
          </cell>
          <cell r="D79">
            <v>587.8257876960181</v>
          </cell>
        </row>
        <row r="80">
          <cell r="C80">
            <v>0</v>
          </cell>
          <cell r="D80">
            <v>1760.3083958369962</v>
          </cell>
        </row>
        <row r="81">
          <cell r="C81">
            <v>20.111409025684999</v>
          </cell>
          <cell r="D81">
            <v>905.29991201879989</v>
          </cell>
        </row>
        <row r="82">
          <cell r="C82">
            <v>7.5590817557600953</v>
          </cell>
          <cell r="D82">
            <v>92.486037624019005</v>
          </cell>
        </row>
        <row r="83">
          <cell r="C83">
            <v>0</v>
          </cell>
          <cell r="D83">
            <v>2.2999999999999998</v>
          </cell>
        </row>
        <row r="84">
          <cell r="E84">
            <v>2.6525199999999998E-3</v>
          </cell>
          <cell r="F84">
            <v>607.30929971908461</v>
          </cell>
          <cell r="G84">
            <v>0</v>
          </cell>
          <cell r="H84">
            <v>876.77351942517248</v>
          </cell>
          <cell r="I84">
            <v>0</v>
          </cell>
          <cell r="J84">
            <v>259.65686453521533</v>
          </cell>
          <cell r="K84">
            <v>0</v>
          </cell>
          <cell r="L84">
            <v>3258.2696927973966</v>
          </cell>
          <cell r="M84">
            <v>0</v>
          </cell>
          <cell r="N84">
            <v>1410.9327801524578</v>
          </cell>
          <cell r="O84">
            <v>0</v>
          </cell>
          <cell r="P84">
            <v>14183.533301019792</v>
          </cell>
        </row>
        <row r="86">
          <cell r="C86">
            <v>367.8451031011312</v>
          </cell>
          <cell r="D86">
            <v>2280.3680172572344</v>
          </cell>
        </row>
        <row r="89">
          <cell r="C89">
            <v>0</v>
          </cell>
          <cell r="D89">
            <v>1392.1044906231477</v>
          </cell>
        </row>
        <row r="92">
          <cell r="C92">
            <v>488.25284848985638</v>
          </cell>
          <cell r="D92">
            <v>546.44160361057527</v>
          </cell>
        </row>
        <row r="93">
          <cell r="C93">
            <v>0</v>
          </cell>
          <cell r="D93">
            <v>441.53489600849707</v>
          </cell>
          <cell r="E93">
            <v>0</v>
          </cell>
          <cell r="F93">
            <v>35.296629056809998</v>
          </cell>
          <cell r="G93">
            <v>0</v>
          </cell>
          <cell r="H93">
            <v>8.8193828690199982</v>
          </cell>
          <cell r="I93">
            <v>0</v>
          </cell>
          <cell r="J93">
            <v>14.017520639900003</v>
          </cell>
          <cell r="K93">
            <v>0</v>
          </cell>
          <cell r="L93">
            <v>352.47476873847802</v>
          </cell>
          <cell r="M93">
            <v>0</v>
          </cell>
          <cell r="N93">
            <v>21.810323459414999</v>
          </cell>
          <cell r="O93">
            <v>0</v>
          </cell>
          <cell r="P93">
            <v>438.12912340343706</v>
          </cell>
        </row>
        <row r="94">
          <cell r="E94"/>
          <cell r="F94"/>
          <cell r="G94"/>
          <cell r="H94"/>
          <cell r="I94"/>
          <cell r="J94"/>
          <cell r="K94"/>
          <cell r="L94"/>
          <cell r="M94"/>
          <cell r="N94"/>
          <cell r="O94">
            <v>0</v>
          </cell>
          <cell r="P94">
            <v>147.11573690164099</v>
          </cell>
        </row>
        <row r="95">
          <cell r="C95">
            <v>1689.3600528217919</v>
          </cell>
          <cell r="D95">
            <v>4453.1505814560942</v>
          </cell>
          <cell r="E95">
            <v>0.1</v>
          </cell>
          <cell r="F95">
            <v>51.663007380000003</v>
          </cell>
          <cell r="G95">
            <v>0</v>
          </cell>
          <cell r="H95">
            <v>158.78114439266599</v>
          </cell>
          <cell r="I95">
            <v>0</v>
          </cell>
          <cell r="J95">
            <v>6.8</v>
          </cell>
          <cell r="K95">
            <v>0</v>
          </cell>
          <cell r="L95">
            <v>7597.7109126381802</v>
          </cell>
          <cell r="M95">
            <v>0</v>
          </cell>
          <cell r="N95">
            <v>1696.8871838755292</v>
          </cell>
          <cell r="O95">
            <v>84.262175591999991</v>
          </cell>
          <cell r="P95">
            <v>20019.59123182224</v>
          </cell>
        </row>
        <row r="96">
          <cell r="C96">
            <v>84.581734419487063</v>
          </cell>
          <cell r="D96">
            <v>71.727131885845992</v>
          </cell>
        </row>
        <row r="97">
          <cell r="C97">
            <v>613.13846498711121</v>
          </cell>
          <cell r="D97">
            <v>1845.8594177943351</v>
          </cell>
          <cell r="E97">
            <v>2.8952266445623345E-2</v>
          </cell>
          <cell r="F97">
            <v>59.515016583580902</v>
          </cell>
          <cell r="G97">
            <v>0.54530514323607426</v>
          </cell>
          <cell r="H97">
            <v>8.5360935418519901</v>
          </cell>
          <cell r="I97">
            <v>2.9177718832891248E-4</v>
          </cell>
          <cell r="J97">
            <v>3.62676526</v>
          </cell>
          <cell r="K97">
            <v>0.3463121158726658</v>
          </cell>
          <cell r="L97">
            <v>75.929988004856057</v>
          </cell>
          <cell r="M97">
            <v>0.64429182105358107</v>
          </cell>
          <cell r="N97">
            <v>281.82353373702136</v>
          </cell>
          <cell r="O97">
            <v>21.045769912466845</v>
          </cell>
          <cell r="P97">
            <v>1780.9127484806781</v>
          </cell>
        </row>
        <row r="98">
          <cell r="C98">
            <v>3646.7400363277584</v>
          </cell>
          <cell r="D98">
            <v>18592.362458727614</v>
          </cell>
          <cell r="E98">
            <v>0.41976901180305037</v>
          </cell>
          <cell r="F98">
            <v>2193.3666391434786</v>
          </cell>
          <cell r="G98">
            <v>0.54534493103448278</v>
          </cell>
          <cell r="H98">
            <v>3405.4410741723564</v>
          </cell>
          <cell r="I98">
            <v>2.9177718832891248E-4</v>
          </cell>
          <cell r="J98">
            <v>3351.2310089447037</v>
          </cell>
          <cell r="K98">
            <v>0.69589001242538995</v>
          </cell>
          <cell r="L98">
            <v>16517.762970683034</v>
          </cell>
          <cell r="M98">
            <v>0.64430765673178791</v>
          </cell>
          <cell r="N98">
            <v>11331.804102171924</v>
          </cell>
          <cell r="O98">
            <v>105.35309926839213</v>
          </cell>
          <cell r="P98">
            <v>68468.744687500992</v>
          </cell>
          <cell r="Q98">
            <v>127615.11168032943</v>
          </cell>
        </row>
        <row r="100">
          <cell r="Q100">
            <v>27448.290948012749</v>
          </cell>
        </row>
      </sheetData>
      <sheetData sheetId="1"/>
      <sheetData sheetId="2"/>
      <sheetData sheetId="3"/>
      <sheetData sheetId="4">
        <row r="14">
          <cell r="D14">
            <v>1795.186005973959</v>
          </cell>
          <cell r="G14">
            <v>3754.3775012566634</v>
          </cell>
        </row>
        <row r="16">
          <cell r="D16">
            <v>91530.765133346707</v>
          </cell>
          <cell r="G16">
            <v>90972.896590610544</v>
          </cell>
        </row>
        <row r="17">
          <cell r="D17">
            <v>2193.9308828083763</v>
          </cell>
          <cell r="G17">
            <v>2221.6943904181785</v>
          </cell>
        </row>
        <row r="18">
          <cell r="D18">
            <v>181.75033758138144</v>
          </cell>
          <cell r="G18">
            <v>252.44007781101561</v>
          </cell>
        </row>
        <row r="19">
          <cell r="D19">
            <v>172.28099246859679</v>
          </cell>
          <cell r="G19">
            <v>634.42160029599586</v>
          </cell>
        </row>
        <row r="20">
          <cell r="D20">
            <v>12676.60777855068</v>
          </cell>
          <cell r="G20">
            <v>13479.346542708587</v>
          </cell>
        </row>
        <row r="21">
          <cell r="D21">
            <v>13987.821389874716</v>
          </cell>
          <cell r="G21">
            <v>8679.5782979032228</v>
          </cell>
        </row>
        <row r="22">
          <cell r="D22">
            <v>1950.1143454319747</v>
          </cell>
          <cell r="G22">
            <v>1794.2369363182595</v>
          </cell>
        </row>
        <row r="23">
          <cell r="D23">
            <v>3126.6871393767497</v>
          </cell>
          <cell r="G23">
            <v>5826.161646471015</v>
          </cell>
        </row>
        <row r="24">
          <cell r="G24">
            <v>127615.15358379345</v>
          </cell>
        </row>
      </sheetData>
      <sheetData sheetId="5"/>
      <sheetData sheetId="6"/>
      <sheetData sheetId="7"/>
      <sheetData sheetId="8"/>
      <sheetData sheetId="9"/>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14">
          <cell r="C14">
            <v>0</v>
          </cell>
          <cell r="D14">
            <v>517.24645270116002</v>
          </cell>
          <cell r="E14">
            <v>0</v>
          </cell>
          <cell r="F14">
            <v>494.71155001</v>
          </cell>
          <cell r="G14">
            <v>0</v>
          </cell>
          <cell r="H14">
            <v>1.2500000000000001E-6</v>
          </cell>
          <cell r="I14">
            <v>0</v>
          </cell>
          <cell r="J14">
            <v>0</v>
          </cell>
          <cell r="K14">
            <v>1.3885509299999999E-4</v>
          </cell>
          <cell r="L14">
            <v>-3.6805528999999998E-5</v>
          </cell>
          <cell r="M14">
            <v>0</v>
          </cell>
          <cell r="N14">
            <v>0</v>
          </cell>
          <cell r="O14">
            <v>0</v>
          </cell>
          <cell r="P14">
            <v>4293.1507124761247</v>
          </cell>
        </row>
        <row r="18">
          <cell r="C18">
            <v>42.788389015898225</v>
          </cell>
          <cell r="D18">
            <v>1646.2384811108136</v>
          </cell>
          <cell r="E18">
            <v>3.856050798513528E-2</v>
          </cell>
          <cell r="F18">
            <v>2110.9019795284366</v>
          </cell>
          <cell r="G18">
            <v>6.0000446592729997</v>
          </cell>
          <cell r="H18">
            <v>48.800066993391908</v>
          </cell>
          <cell r="I18">
            <v>0</v>
          </cell>
          <cell r="J18">
            <v>457.605214036387</v>
          </cell>
          <cell r="K18">
            <v>8.4285822519893907E-5</v>
          </cell>
          <cell r="L18">
            <v>2136.5551558215525</v>
          </cell>
          <cell r="M18">
            <v>2.9717515180941647E-2</v>
          </cell>
          <cell r="N18">
            <v>6146.7822458630708</v>
          </cell>
          <cell r="O18">
            <v>4.6544956405175066E-2</v>
          </cell>
          <cell r="P18">
            <v>19522.827299906639</v>
          </cell>
        </row>
        <row r="22">
          <cell r="E22">
            <v>1.0879774450786048</v>
          </cell>
          <cell r="F22">
            <v>291.81935799819587</v>
          </cell>
          <cell r="G22">
            <v>10.723284517709539</v>
          </cell>
          <cell r="H22">
            <v>710.15263910611509</v>
          </cell>
          <cell r="I22">
            <v>0.22545287533156499</v>
          </cell>
          <cell r="J22">
            <v>160.53197649221863</v>
          </cell>
          <cell r="K22">
            <v>8.6481345105181333</v>
          </cell>
          <cell r="L22">
            <v>10117.592833918337</v>
          </cell>
          <cell r="M22">
            <v>0.13086995989615119</v>
          </cell>
          <cell r="N22">
            <v>3436.0988863733196</v>
          </cell>
          <cell r="O22">
            <v>41.836685298184925</v>
          </cell>
          <cell r="P22">
            <v>8849.9542809587638</v>
          </cell>
        </row>
        <row r="23">
          <cell r="C23">
            <v>0.43170574021887531</v>
          </cell>
          <cell r="D23">
            <v>49.276824519112402</v>
          </cell>
        </row>
        <row r="24">
          <cell r="C24">
            <v>8.1347579845092825E-3</v>
          </cell>
          <cell r="D24">
            <v>118.93268626003</v>
          </cell>
        </row>
        <row r="25">
          <cell r="C25">
            <v>4.2877199593230024</v>
          </cell>
          <cell r="D25">
            <v>67.6286902863243</v>
          </cell>
        </row>
        <row r="26">
          <cell r="C26">
            <v>89.091766633508229</v>
          </cell>
          <cell r="D26">
            <v>318.21899541270818</v>
          </cell>
        </row>
        <row r="27">
          <cell r="C27">
            <v>26.460217812171795</v>
          </cell>
          <cell r="D27">
            <v>146.2949176284819</v>
          </cell>
        </row>
        <row r="28">
          <cell r="C28">
            <v>44.291768776591468</v>
          </cell>
          <cell r="D28">
            <v>203.13527281251191</v>
          </cell>
        </row>
        <row r="29">
          <cell r="C29">
            <v>81.604548023163801</v>
          </cell>
          <cell r="D29">
            <v>23.935249819045094</v>
          </cell>
        </row>
        <row r="30">
          <cell r="C30">
            <v>0</v>
          </cell>
          <cell r="D30">
            <v>967.3246657991599</v>
          </cell>
          <cell r="E30">
            <v>0</v>
          </cell>
          <cell r="F30">
            <v>0</v>
          </cell>
          <cell r="G30">
            <v>0</v>
          </cell>
          <cell r="H30">
            <v>0</v>
          </cell>
          <cell r="I30">
            <v>0</v>
          </cell>
          <cell r="J30">
            <v>0</v>
          </cell>
          <cell r="K30">
            <v>0</v>
          </cell>
          <cell r="L30">
            <v>0</v>
          </cell>
          <cell r="M30">
            <v>0</v>
          </cell>
          <cell r="N30">
            <v>2.8300278120000001E-2</v>
          </cell>
          <cell r="O30">
            <v>0</v>
          </cell>
          <cell r="P30">
            <v>0</v>
          </cell>
        </row>
        <row r="31">
          <cell r="C31">
            <v>0</v>
          </cell>
          <cell r="D31">
            <v>201.30547366376101</v>
          </cell>
          <cell r="E31">
            <v>0</v>
          </cell>
          <cell r="F31">
            <v>16.078471014049999</v>
          </cell>
          <cell r="G31">
            <v>0</v>
          </cell>
          <cell r="H31">
            <v>18.20001173995</v>
          </cell>
          <cell r="I31">
            <v>0</v>
          </cell>
          <cell r="J31">
            <v>1.1709340399900001</v>
          </cell>
          <cell r="K31">
            <v>0</v>
          </cell>
          <cell r="L31">
            <v>81.750963938558002</v>
          </cell>
          <cell r="M31">
            <v>2.61627E-3</v>
          </cell>
          <cell r="N31">
            <v>18.031430141636999</v>
          </cell>
          <cell r="O31">
            <v>0</v>
          </cell>
          <cell r="P31">
            <v>1021.6508161025193</v>
          </cell>
        </row>
        <row r="32">
          <cell r="E32"/>
          <cell r="F32"/>
          <cell r="G32"/>
          <cell r="H32"/>
          <cell r="I32"/>
          <cell r="J32"/>
          <cell r="K32"/>
          <cell r="L32"/>
          <cell r="M32"/>
          <cell r="N32"/>
          <cell r="O32">
            <v>0</v>
          </cell>
          <cell r="P32">
            <v>653.76082650993999</v>
          </cell>
        </row>
        <row r="33">
          <cell r="C33">
            <v>873.56520345650904</v>
          </cell>
          <cell r="D33">
            <v>4500.7102581134677</v>
          </cell>
          <cell r="E33">
            <v>2</v>
          </cell>
          <cell r="F33">
            <v>185.8</v>
          </cell>
          <cell r="G33">
            <v>0</v>
          </cell>
          <cell r="H33">
            <v>209.92592992994</v>
          </cell>
          <cell r="I33">
            <v>0</v>
          </cell>
          <cell r="J33">
            <v>364.15023476000005</v>
          </cell>
          <cell r="K33">
            <v>0</v>
          </cell>
          <cell r="L33">
            <v>12322.417705662634</v>
          </cell>
          <cell r="M33">
            <v>1.3</v>
          </cell>
          <cell r="N33">
            <v>8758.9507028403823</v>
          </cell>
          <cell r="O33">
            <v>0.6768161499180001</v>
          </cell>
          <cell r="P33">
            <v>24534.637454372616</v>
          </cell>
        </row>
        <row r="34">
          <cell r="C34">
            <v>100.38328045551727</v>
          </cell>
          <cell r="D34">
            <v>2388.458731972853</v>
          </cell>
          <cell r="E34">
            <v>0</v>
          </cell>
          <cell r="F34">
            <v>977.53605535000008</v>
          </cell>
          <cell r="G34">
            <v>15.383673474801062</v>
          </cell>
          <cell r="H34">
            <v>10.949883</v>
          </cell>
          <cell r="I34">
            <v>0</v>
          </cell>
          <cell r="J34">
            <v>18.254905399999998</v>
          </cell>
          <cell r="K34">
            <v>0</v>
          </cell>
          <cell r="L34">
            <v>1996.4658017500001</v>
          </cell>
          <cell r="M34">
            <v>0</v>
          </cell>
          <cell r="N34">
            <v>56.335925544959601</v>
          </cell>
          <cell r="O34">
            <v>0</v>
          </cell>
          <cell r="P34">
            <v>2829.1611753430043</v>
          </cell>
        </row>
        <row r="36">
          <cell r="C36">
            <v>84.483573965174642</v>
          </cell>
          <cell r="D36">
            <v>421.30819872610408</v>
          </cell>
          <cell r="E36">
            <v>0</v>
          </cell>
          <cell r="F36">
            <v>419.18400533351195</v>
          </cell>
          <cell r="G36">
            <v>12.781529636947385</v>
          </cell>
          <cell r="H36">
            <v>0</v>
          </cell>
          <cell r="I36">
            <v>0</v>
          </cell>
          <cell r="J36">
            <v>2.4026167279999999E-3</v>
          </cell>
          <cell r="K36">
            <v>0</v>
          </cell>
          <cell r="L36">
            <v>2459.5907467584257</v>
          </cell>
          <cell r="M36">
            <v>0</v>
          </cell>
          <cell r="N36">
            <v>22.650793234432001</v>
          </cell>
          <cell r="O36">
            <v>0</v>
          </cell>
          <cell r="P36">
            <v>1146.7712515108399</v>
          </cell>
        </row>
        <row r="37">
          <cell r="C37">
            <v>244.97409154338865</v>
          </cell>
          <cell r="D37">
            <v>1499.7066363548261</v>
          </cell>
          <cell r="E37">
            <v>0</v>
          </cell>
          <cell r="F37">
            <v>0</v>
          </cell>
          <cell r="G37">
            <v>0</v>
          </cell>
          <cell r="H37">
            <v>0</v>
          </cell>
          <cell r="I37">
            <v>0</v>
          </cell>
          <cell r="J37">
            <v>0</v>
          </cell>
          <cell r="K37">
            <v>4.6049009652999996E-2</v>
          </cell>
          <cell r="L37">
            <v>39.790105877534003</v>
          </cell>
          <cell r="M37">
            <v>0.20002478142900001</v>
          </cell>
          <cell r="N37">
            <v>154.42796660222601</v>
          </cell>
          <cell r="O37">
            <v>32.858527657458801</v>
          </cell>
          <cell r="P37">
            <v>420.24881095394397</v>
          </cell>
        </row>
        <row r="38">
          <cell r="C38">
            <v>1592.3704001394494</v>
          </cell>
          <cell r="D38">
            <v>13069.721535180359</v>
          </cell>
          <cell r="E38">
            <v>3.1265379530637398</v>
          </cell>
          <cell r="F38">
            <v>4496.0314192341948</v>
          </cell>
          <cell r="G38">
            <v>44.888532288730985</v>
          </cell>
          <cell r="H38">
            <v>998.02853201939706</v>
          </cell>
          <cell r="I38">
            <v>0.22545287533156499</v>
          </cell>
          <cell r="J38">
            <v>1001.7156673453236</v>
          </cell>
          <cell r="K38">
            <v>8.6944066610866528</v>
          </cell>
          <cell r="L38">
            <v>29154.163276921514</v>
          </cell>
          <cell r="M38">
            <v>1.6632285265060929</v>
          </cell>
          <cell r="N38">
            <v>18593.306250878151</v>
          </cell>
          <cell r="O38">
            <v>75.418574061966893</v>
          </cell>
          <cell r="P38">
            <v>63272.162628134392</v>
          </cell>
          <cell r="Q38">
            <v>132311.51644221946</v>
          </cell>
        </row>
        <row r="40">
          <cell r="Q40">
            <v>26505.367325115571</v>
          </cell>
        </row>
        <row r="68">
          <cell r="C68">
            <v>1.8392588160328977E-2</v>
          </cell>
          <cell r="D68">
            <v>0.45186489000000002</v>
          </cell>
        </row>
        <row r="69">
          <cell r="C69">
            <v>49.910253878007964</v>
          </cell>
          <cell r="D69">
            <v>-5.0000000000000002E-11</v>
          </cell>
          <cell r="E69">
            <v>0</v>
          </cell>
          <cell r="F69">
            <v>0</v>
          </cell>
          <cell r="G69">
            <v>0</v>
          </cell>
          <cell r="H69">
            <v>0</v>
          </cell>
          <cell r="I69">
            <v>0</v>
          </cell>
          <cell r="J69">
            <v>0</v>
          </cell>
          <cell r="K69">
            <v>0</v>
          </cell>
          <cell r="L69">
            <v>-2.9833683E-4</v>
          </cell>
          <cell r="M69">
            <v>0</v>
          </cell>
          <cell r="N69">
            <v>0</v>
          </cell>
          <cell r="O69">
            <v>0</v>
          </cell>
          <cell r="P69">
            <v>0</v>
          </cell>
        </row>
        <row r="72">
          <cell r="C72">
            <v>153.14210466912769</v>
          </cell>
          <cell r="D72">
            <v>3443.5184738393336</v>
          </cell>
          <cell r="E72">
            <v>0.10857273198872679</v>
          </cell>
          <cell r="F72">
            <v>1039.5981372220494</v>
          </cell>
          <cell r="G72">
            <v>3.9787798408488063E-5</v>
          </cell>
          <cell r="H72">
            <v>579.97660466687364</v>
          </cell>
          <cell r="I72">
            <v>0</v>
          </cell>
          <cell r="J72">
            <v>2626.2606117903915</v>
          </cell>
          <cell r="K72">
            <v>0.34957789655172417</v>
          </cell>
          <cell r="L72">
            <v>2556.0951580015249</v>
          </cell>
          <cell r="M72">
            <v>1.5835627206896551E-5</v>
          </cell>
          <cell r="N72">
            <v>2248.2761043107766</v>
          </cell>
          <cell r="O72">
            <v>8.8238594187015906E-2</v>
          </cell>
          <cell r="P72">
            <v>7811.0957090722613</v>
          </cell>
        </row>
        <row r="76">
          <cell r="E76">
            <v>0.2</v>
          </cell>
          <cell r="F76">
            <v>422.31585475052299</v>
          </cell>
          <cell r="G76">
            <v>0</v>
          </cell>
          <cell r="H76">
            <v>1846.7455810969229</v>
          </cell>
          <cell r="I76">
            <v>0</v>
          </cell>
          <cell r="J76">
            <v>718.52072611964195</v>
          </cell>
          <cell r="K76">
            <v>9.9999999999999998E-13</v>
          </cell>
          <cell r="L76">
            <v>2734.2533854894568</v>
          </cell>
          <cell r="M76">
            <v>9.9999999999999998E-13</v>
          </cell>
          <cell r="N76">
            <v>6132.389947379369</v>
          </cell>
          <cell r="O76">
            <v>2.0000000000000002E-11</v>
          </cell>
          <cell r="P76">
            <v>23876.557255589309</v>
          </cell>
        </row>
        <row r="77">
          <cell r="C77">
            <v>92.05330644</v>
          </cell>
          <cell r="D77">
            <v>1059.65158229394</v>
          </cell>
        </row>
        <row r="78">
          <cell r="C78">
            <v>0</v>
          </cell>
          <cell r="D78">
            <v>0</v>
          </cell>
        </row>
        <row r="79">
          <cell r="C79">
            <v>-1.5549999999999999E-9</v>
          </cell>
          <cell r="D79">
            <v>535.03073863019699</v>
          </cell>
        </row>
        <row r="80">
          <cell r="C80">
            <v>0</v>
          </cell>
          <cell r="D80">
            <v>2102.5895703416636</v>
          </cell>
        </row>
        <row r="81">
          <cell r="C81">
            <v>20.115660906153</v>
          </cell>
          <cell r="D81">
            <v>997.2308173324501</v>
          </cell>
        </row>
        <row r="82">
          <cell r="C82">
            <v>7.5501893039089367</v>
          </cell>
          <cell r="D82">
            <v>89.685839386087991</v>
          </cell>
        </row>
        <row r="83">
          <cell r="C83">
            <v>0</v>
          </cell>
          <cell r="D83">
            <v>1.6</v>
          </cell>
        </row>
        <row r="84">
          <cell r="E84">
            <v>2.6525199999999998E-3</v>
          </cell>
          <cell r="F84">
            <v>600.70954132446275</v>
          </cell>
          <cell r="G84">
            <v>0</v>
          </cell>
          <cell r="H84">
            <v>851.72976657718834</v>
          </cell>
          <cell r="I84">
            <v>0</v>
          </cell>
          <cell r="J84">
            <v>246.73043291153061</v>
          </cell>
          <cell r="K84">
            <v>0</v>
          </cell>
          <cell r="L84">
            <v>3259.9007359394313</v>
          </cell>
          <cell r="M84">
            <v>0</v>
          </cell>
          <cell r="N84">
            <v>1396.5448394857019</v>
          </cell>
          <cell r="O84">
            <v>0</v>
          </cell>
          <cell r="P84">
            <v>18287.654615032439</v>
          </cell>
        </row>
        <row r="86">
          <cell r="C86">
            <v>332.79967417943408</v>
          </cell>
          <cell r="D86">
            <v>2172.2468937420053</v>
          </cell>
        </row>
        <row r="89">
          <cell r="C89">
            <v>0</v>
          </cell>
          <cell r="D89">
            <v>1331.0697827800639</v>
          </cell>
        </row>
        <row r="92">
          <cell r="C92">
            <v>487.56946429542865</v>
          </cell>
          <cell r="D92">
            <v>544.49764387689231</v>
          </cell>
        </row>
        <row r="93">
          <cell r="C93">
            <v>-3.3791801195999997E-2</v>
          </cell>
          <cell r="D93">
            <v>460.21279699102399</v>
          </cell>
          <cell r="E93">
            <v>0</v>
          </cell>
          <cell r="F93">
            <v>15.774472479729999</v>
          </cell>
          <cell r="G93">
            <v>0</v>
          </cell>
          <cell r="H93">
            <v>2.50364921705</v>
          </cell>
          <cell r="I93">
            <v>0</v>
          </cell>
          <cell r="J93">
            <v>6.0880065199100004</v>
          </cell>
          <cell r="K93">
            <v>0</v>
          </cell>
          <cell r="L93">
            <v>420.47364199830798</v>
          </cell>
          <cell r="M93">
            <v>0</v>
          </cell>
          <cell r="N93">
            <v>12.473017016505</v>
          </cell>
          <cell r="O93">
            <v>1.0951E-4</v>
          </cell>
          <cell r="P93">
            <v>547.44524007722305</v>
          </cell>
        </row>
        <row r="94">
          <cell r="E94"/>
          <cell r="F94"/>
          <cell r="G94"/>
          <cell r="H94"/>
          <cell r="I94"/>
          <cell r="J94"/>
          <cell r="K94"/>
          <cell r="L94"/>
          <cell r="M94"/>
          <cell r="N94"/>
          <cell r="O94">
            <v>0</v>
          </cell>
          <cell r="P94">
            <v>316.07678849503395</v>
          </cell>
        </row>
        <row r="95">
          <cell r="C95">
            <v>1378.4618942342618</v>
          </cell>
          <cell r="D95">
            <v>4464.8798695688565</v>
          </cell>
          <cell r="E95">
            <v>0.1</v>
          </cell>
          <cell r="F95">
            <v>51.787118499999998</v>
          </cell>
          <cell r="G95">
            <v>0</v>
          </cell>
          <cell r="H95">
            <v>141.467039267849</v>
          </cell>
          <cell r="I95">
            <v>0</v>
          </cell>
          <cell r="J95">
            <v>12.799999999999999</v>
          </cell>
          <cell r="K95">
            <v>0</v>
          </cell>
          <cell r="L95">
            <v>6869.599797325377</v>
          </cell>
          <cell r="M95">
            <v>0.4</v>
          </cell>
          <cell r="N95">
            <v>1918.1002879995608</v>
          </cell>
          <cell r="O95">
            <v>84.762966292000002</v>
          </cell>
          <cell r="P95">
            <v>20025.987741190689</v>
          </cell>
        </row>
        <row r="96">
          <cell r="C96">
            <v>83.808650135855913</v>
          </cell>
          <cell r="D96">
            <v>71.504387877607996</v>
          </cell>
        </row>
        <row r="97">
          <cell r="C97">
            <v>622.68960997273655</v>
          </cell>
          <cell r="D97">
            <v>1851.1879527230174</v>
          </cell>
          <cell r="E97">
            <v>8.0734231962864708E-2</v>
          </cell>
          <cell r="F97">
            <v>60.566810733448278</v>
          </cell>
          <cell r="G97">
            <v>0.55513631034482758</v>
          </cell>
          <cell r="H97">
            <v>10.74644513</v>
          </cell>
          <cell r="I97">
            <v>2.9177718832891248E-4</v>
          </cell>
          <cell r="J97">
            <v>4.1278652600000001</v>
          </cell>
          <cell r="K97">
            <v>0.40428289820342173</v>
          </cell>
          <cell r="L97">
            <v>90.578618726026889</v>
          </cell>
          <cell r="M97">
            <v>0.68133548010610079</v>
          </cell>
          <cell r="N97">
            <v>261.27768385565957</v>
          </cell>
          <cell r="O97">
            <v>21.170902854111407</v>
          </cell>
          <cell r="P97">
            <v>1846.0302875667126</v>
          </cell>
        </row>
        <row r="98">
          <cell r="C98">
            <v>3228.0854088003234</v>
          </cell>
          <cell r="D98">
            <v>19125.358214273088</v>
          </cell>
          <cell r="E98">
            <v>0.49195948395159156</v>
          </cell>
          <cell r="F98">
            <v>2190.7519350102129</v>
          </cell>
          <cell r="G98">
            <v>0.5551760981432361</v>
          </cell>
          <cell r="H98">
            <v>3433.1690859558844</v>
          </cell>
          <cell r="I98">
            <v>2.9177718832891248E-4</v>
          </cell>
          <cell r="J98">
            <v>3614.5276426014739</v>
          </cell>
          <cell r="K98">
            <v>0.75386079475614587</v>
          </cell>
          <cell r="L98">
            <v>15930.901039143293</v>
          </cell>
          <cell r="M98">
            <v>1.0813513157343078</v>
          </cell>
          <cell r="N98">
            <v>11969.061880047575</v>
          </cell>
          <cell r="O98">
            <v>106.02221725031842</v>
          </cell>
          <cell r="P98">
            <v>72710.84763702366</v>
          </cell>
          <cell r="Q98">
            <v>132311.6076995756</v>
          </cell>
        </row>
        <row r="100">
          <cell r="Q100">
            <v>27027.255587424661</v>
          </cell>
        </row>
      </sheetData>
      <sheetData sheetId="1"/>
      <sheetData sheetId="2">
        <row r="15">
          <cell r="AX15">
            <v>37428.985190140062</v>
          </cell>
        </row>
        <row r="69">
          <cell r="AX69">
            <v>7308.3612604795444</v>
          </cell>
        </row>
        <row r="86">
          <cell r="AX86">
            <v>0</v>
          </cell>
        </row>
        <row r="90">
          <cell r="AX90">
            <v>11.32</v>
          </cell>
        </row>
        <row r="105">
          <cell r="AX105">
            <v>0</v>
          </cell>
        </row>
        <row r="118">
          <cell r="AX118">
            <v>0</v>
          </cell>
        </row>
        <row r="120">
          <cell r="AX120">
            <v>7.8141174216000017E-2</v>
          </cell>
        </row>
        <row r="122">
          <cell r="AX122">
            <v>383.92696301162619</v>
          </cell>
        </row>
        <row r="130">
          <cell r="AX130">
            <v>1375.7493189485685</v>
          </cell>
        </row>
        <row r="141">
          <cell r="AX141">
            <v>789.01024263335034</v>
          </cell>
        </row>
        <row r="170">
          <cell r="AX170">
            <v>0.27</v>
          </cell>
        </row>
        <row r="186">
          <cell r="AX186">
            <v>14662.069644996362</v>
          </cell>
        </row>
        <row r="187">
          <cell r="AX187">
            <v>351.30366264700001</v>
          </cell>
        </row>
        <row r="188">
          <cell r="AX188">
            <v>66.567895200000009</v>
          </cell>
        </row>
        <row r="189">
          <cell r="AX189">
            <v>4499.3089572057343</v>
          </cell>
        </row>
        <row r="190">
          <cell r="AX190">
            <v>1042.9070136358405</v>
          </cell>
        </row>
        <row r="191">
          <cell r="AX191">
            <v>1001.9510562882558</v>
          </cell>
        </row>
        <row r="192">
          <cell r="AX192">
            <v>29162.822760457686</v>
          </cell>
        </row>
        <row r="193">
          <cell r="AX193">
            <v>18594.954088504175</v>
          </cell>
        </row>
        <row r="199">
          <cell r="AX199">
            <v>4002.7447702071536</v>
          </cell>
        </row>
        <row r="200">
          <cell r="AX200">
            <v>94.046427633621974</v>
          </cell>
        </row>
        <row r="201">
          <cell r="AX201">
            <v>69.582692220409996</v>
          </cell>
        </row>
        <row r="202">
          <cell r="AX202">
            <v>283.90247192968167</v>
          </cell>
        </row>
        <row r="203">
          <cell r="AX203">
            <v>20.691294020506</v>
          </cell>
        </row>
        <row r="204">
          <cell r="AX204">
            <v>7603.515574359215</v>
          </cell>
        </row>
        <row r="229">
          <cell r="AX229">
            <v>2580.843472763936</v>
          </cell>
        </row>
      </sheetData>
      <sheetData sheetId="3">
        <row r="15">
          <cell r="AH15">
            <v>33829.151363297038</v>
          </cell>
        </row>
        <row r="69">
          <cell r="AH69">
            <v>4693.9339283547943</v>
          </cell>
        </row>
        <row r="86">
          <cell r="AH86">
            <v>0</v>
          </cell>
        </row>
        <row r="90">
          <cell r="AH90">
            <v>0</v>
          </cell>
        </row>
        <row r="105">
          <cell r="AH105">
            <v>0</v>
          </cell>
        </row>
        <row r="118">
          <cell r="AH118">
            <v>0</v>
          </cell>
        </row>
        <row r="120">
          <cell r="AH120">
            <v>0</v>
          </cell>
        </row>
        <row r="122">
          <cell r="AH122">
            <v>155.52256507161806</v>
          </cell>
        </row>
        <row r="130">
          <cell r="AH130">
            <v>12492.975325650266</v>
          </cell>
        </row>
        <row r="141">
          <cell r="AH141">
            <v>5614.8044014931093</v>
          </cell>
        </row>
        <row r="170">
          <cell r="AH170">
            <v>920.18343243599998</v>
          </cell>
        </row>
        <row r="186">
          <cell r="AH186">
            <v>22353.485482766671</v>
          </cell>
        </row>
        <row r="187">
          <cell r="AH187">
            <v>0</v>
          </cell>
        </row>
        <row r="188">
          <cell r="AH188">
            <v>213.68114438999999</v>
          </cell>
        </row>
        <row r="189">
          <cell r="AH189">
            <v>2191.2215326329333</v>
          </cell>
        </row>
        <row r="190">
          <cell r="AH190">
            <v>3433.7234038703368</v>
          </cell>
        </row>
        <row r="191">
          <cell r="AH191">
            <v>3614.5233095412959</v>
          </cell>
        </row>
        <row r="192">
          <cell r="AH192">
            <v>15931.690503593818</v>
          </cell>
        </row>
        <row r="193">
          <cell r="AH193">
            <v>11970.111262129549</v>
          </cell>
        </row>
        <row r="199">
          <cell r="AH199">
            <v>2888.6226512656676</v>
          </cell>
        </row>
        <row r="200">
          <cell r="AH200">
            <v>29.481764999999999</v>
          </cell>
        </row>
        <row r="201">
          <cell r="AH201">
            <v>0</v>
          </cell>
        </row>
        <row r="202">
          <cell r="AH202">
            <v>89.747916349999997</v>
          </cell>
        </row>
        <row r="203">
          <cell r="AH203">
            <v>0</v>
          </cell>
        </row>
        <row r="204">
          <cell r="AH204">
            <v>8145.6000630201233</v>
          </cell>
        </row>
        <row r="229">
          <cell r="AH229">
            <v>1527.933509181629</v>
          </cell>
        </row>
        <row r="272">
          <cell r="AH272">
            <v>132311.62687141742</v>
          </cell>
        </row>
      </sheetData>
      <sheetData sheetId="4">
        <row r="14">
          <cell r="D14">
            <v>1726.3959865915447</v>
          </cell>
          <cell r="G14">
            <v>3336.9428620441063</v>
          </cell>
        </row>
        <row r="16">
          <cell r="D16">
            <v>96392.982842153157</v>
          </cell>
          <cell r="G16">
            <v>96410.297510393793</v>
          </cell>
        </row>
        <row r="17">
          <cell r="D17">
            <v>2169.5298501602847</v>
          </cell>
          <cell r="G17">
            <v>1855.6666004693905</v>
          </cell>
        </row>
        <row r="18">
          <cell r="D18">
            <v>178.98248705657974</v>
          </cell>
          <cell r="G18">
            <v>254.66956878642489</v>
          </cell>
        </row>
        <row r="19">
          <cell r="D19">
            <v>159.87576955244094</v>
          </cell>
          <cell r="G19">
            <v>598.85778193447027</v>
          </cell>
        </row>
        <row r="20">
          <cell r="D20">
            <v>12483.884602842845</v>
          </cell>
          <cell r="G20">
            <v>13047.167087705791</v>
          </cell>
        </row>
        <row r="21">
          <cell r="D21">
            <v>14862.613375117135</v>
          </cell>
          <cell r="G21">
            <v>9618.3095791226606</v>
          </cell>
        </row>
        <row r="22">
          <cell r="D22">
            <v>1681.792851008571</v>
          </cell>
          <cell r="G22">
            <v>1788.0858513003288</v>
          </cell>
        </row>
        <row r="23">
          <cell r="D23">
            <v>2655.5077983747133</v>
          </cell>
          <cell r="G23">
            <v>5401.4951306220773</v>
          </cell>
        </row>
        <row r="24">
          <cell r="G24">
            <v>132311.49197237907</v>
          </cell>
        </row>
      </sheetData>
      <sheetData sheetId="5"/>
      <sheetData sheetId="6"/>
      <sheetData sheetId="7"/>
      <sheetData sheetId="8"/>
      <sheetData sheetId="9"/>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1"/>
      <sheetName val="2"/>
      <sheetName val="3A"/>
      <sheetName val="3B"/>
      <sheetName val="4"/>
      <sheetName val="5"/>
      <sheetName val="6A"/>
      <sheetName val="6B"/>
      <sheetName val="7"/>
      <sheetName val="8"/>
    </sheetNames>
    <sheetDataSet>
      <sheetData sheetId="0">
        <row r="14">
          <cell r="C14">
            <v>0</v>
          </cell>
          <cell r="D14">
            <v>2.08345498086</v>
          </cell>
          <cell r="E14">
            <v>0</v>
          </cell>
          <cell r="F14">
            <v>605.21406665998006</v>
          </cell>
          <cell r="G14">
            <v>0</v>
          </cell>
          <cell r="H14">
            <v>1.2500000000000001E-6</v>
          </cell>
          <cell r="I14">
            <v>0</v>
          </cell>
          <cell r="J14">
            <v>0</v>
          </cell>
          <cell r="K14">
            <v>1.3950747300000001E-4</v>
          </cell>
          <cell r="L14">
            <v>-4.1226553000000014E-5</v>
          </cell>
          <cell r="M14">
            <v>0</v>
          </cell>
          <cell r="N14">
            <v>0</v>
          </cell>
          <cell r="O14">
            <v>0</v>
          </cell>
          <cell r="P14">
            <v>4334.0055213054638</v>
          </cell>
        </row>
        <row r="18">
          <cell r="C18">
            <v>145.11404953189179</v>
          </cell>
          <cell r="D18">
            <v>1740.2373478179186</v>
          </cell>
          <cell r="E18">
            <v>3.8560577942135278E-2</v>
          </cell>
          <cell r="F18">
            <v>2067.9619304172766</v>
          </cell>
          <cell r="G18">
            <v>5.0000448690950003</v>
          </cell>
          <cell r="H18">
            <v>48.850358239477131</v>
          </cell>
          <cell r="I18">
            <v>0</v>
          </cell>
          <cell r="J18">
            <v>407.09996403638604</v>
          </cell>
          <cell r="K18">
            <v>8.4681808519893896E-5</v>
          </cell>
          <cell r="L18">
            <v>882.35470666514061</v>
          </cell>
          <cell r="M18">
            <v>2.9722006160323607E-2</v>
          </cell>
          <cell r="N18">
            <v>5864.6994217123756</v>
          </cell>
          <cell r="O18">
            <v>2.6251727341700264E-2</v>
          </cell>
          <cell r="P18">
            <v>15407.292120930801</v>
          </cell>
        </row>
        <row r="22">
          <cell r="E22">
            <v>0.7043900647800212</v>
          </cell>
          <cell r="F22">
            <v>148.78613585796859</v>
          </cell>
          <cell r="G22">
            <v>14.358089495883656</v>
          </cell>
          <cell r="H22">
            <v>715.10303355622011</v>
          </cell>
          <cell r="I22">
            <v>0.18549555702917772</v>
          </cell>
          <cell r="J22">
            <v>55.980330306418622</v>
          </cell>
          <cell r="K22">
            <v>7.3235017727984593</v>
          </cell>
          <cell r="L22">
            <v>12946.52404371408</v>
          </cell>
          <cell r="M22">
            <v>0.36937177455913794</v>
          </cell>
          <cell r="N22">
            <v>3258.7654365740641</v>
          </cell>
          <cell r="O22">
            <v>57.271915772398188</v>
          </cell>
          <cell r="P22">
            <v>9120.6001315418125</v>
          </cell>
        </row>
        <row r="23">
          <cell r="C23">
            <v>0.479062410818687</v>
          </cell>
          <cell r="D23">
            <v>35.889174627770842</v>
          </cell>
        </row>
        <row r="24">
          <cell r="C24">
            <v>1.3688243760822281E-3</v>
          </cell>
          <cell r="D24">
            <v>129.35095982005998</v>
          </cell>
        </row>
        <row r="25">
          <cell r="C25">
            <v>3.4304942980893736</v>
          </cell>
          <cell r="D25">
            <v>102.40780288890871</v>
          </cell>
        </row>
        <row r="26">
          <cell r="C26">
            <v>88.887783613706972</v>
          </cell>
          <cell r="D26">
            <v>454.62995045527003</v>
          </cell>
        </row>
        <row r="27">
          <cell r="C27">
            <v>15.894824379682921</v>
          </cell>
          <cell r="D27">
            <v>305.81561607939125</v>
          </cell>
        </row>
        <row r="28">
          <cell r="C28">
            <v>94.999192435503971</v>
          </cell>
          <cell r="D28">
            <v>272.35092679750926</v>
          </cell>
        </row>
        <row r="29">
          <cell r="C29">
            <v>8.236236691772671</v>
          </cell>
          <cell r="D29">
            <v>189.20718223283822</v>
          </cell>
        </row>
        <row r="30">
          <cell r="C30">
            <v>0</v>
          </cell>
          <cell r="D30">
            <v>970.36673718914994</v>
          </cell>
          <cell r="E30">
            <v>0</v>
          </cell>
          <cell r="F30">
            <v>0</v>
          </cell>
          <cell r="G30">
            <v>0</v>
          </cell>
          <cell r="H30">
            <v>0</v>
          </cell>
          <cell r="I30">
            <v>0</v>
          </cell>
          <cell r="J30">
            <v>0</v>
          </cell>
          <cell r="K30">
            <v>0</v>
          </cell>
          <cell r="L30">
            <v>0</v>
          </cell>
          <cell r="M30">
            <v>0</v>
          </cell>
          <cell r="N30">
            <v>3.0486077520000002E-2</v>
          </cell>
          <cell r="O30">
            <v>0</v>
          </cell>
          <cell r="P30">
            <v>0</v>
          </cell>
        </row>
        <row r="31">
          <cell r="C31">
            <v>0</v>
          </cell>
          <cell r="D31">
            <v>193.14899828369201</v>
          </cell>
          <cell r="E31">
            <v>0</v>
          </cell>
          <cell r="F31">
            <v>18.493515366200004</v>
          </cell>
          <cell r="G31">
            <v>0</v>
          </cell>
          <cell r="H31">
            <v>20.351196477950005</v>
          </cell>
          <cell r="I31">
            <v>0</v>
          </cell>
          <cell r="J31">
            <v>2.1348250500099999</v>
          </cell>
          <cell r="K31">
            <v>0</v>
          </cell>
          <cell r="L31">
            <v>73.489401385148</v>
          </cell>
          <cell r="M31">
            <v>5.0097660000000002E-2</v>
          </cell>
          <cell r="N31">
            <v>25.017983497249002</v>
          </cell>
          <cell r="O31">
            <v>0</v>
          </cell>
          <cell r="P31">
            <v>977.41601126508112</v>
          </cell>
        </row>
        <row r="32">
          <cell r="E32"/>
          <cell r="F32"/>
          <cell r="G32"/>
          <cell r="H32"/>
          <cell r="I32"/>
          <cell r="J32"/>
          <cell r="K32"/>
          <cell r="L32"/>
          <cell r="M32"/>
          <cell r="N32"/>
          <cell r="O32">
            <v>0</v>
          </cell>
          <cell r="P32">
            <v>464.28120226993997</v>
          </cell>
        </row>
        <row r="33">
          <cell r="C33">
            <v>966.35617922457084</v>
          </cell>
          <cell r="D33">
            <v>4615.6811660868734</v>
          </cell>
          <cell r="E33">
            <v>2.6</v>
          </cell>
          <cell r="F33">
            <v>190.9</v>
          </cell>
          <cell r="G33">
            <v>0</v>
          </cell>
          <cell r="H33">
            <v>250.17627522995997</v>
          </cell>
          <cell r="I33">
            <v>0</v>
          </cell>
          <cell r="J33">
            <v>209.75024698000001</v>
          </cell>
          <cell r="K33">
            <v>0</v>
          </cell>
          <cell r="L33">
            <v>11498.382905987442</v>
          </cell>
          <cell r="M33">
            <v>0.2</v>
          </cell>
          <cell r="N33">
            <v>8372.3000610132676</v>
          </cell>
          <cell r="O33">
            <v>0.96683287851499999</v>
          </cell>
          <cell r="P33">
            <v>24911.606522836162</v>
          </cell>
        </row>
        <row r="34">
          <cell r="C34">
            <v>100.08328045551724</v>
          </cell>
          <cell r="D34">
            <v>2396.6983554553799</v>
          </cell>
          <cell r="E34">
            <v>0</v>
          </cell>
          <cell r="F34">
            <v>977.53605535000008</v>
          </cell>
          <cell r="G34">
            <v>15.383673474801062</v>
          </cell>
          <cell r="H34">
            <v>10.949883</v>
          </cell>
          <cell r="I34">
            <v>0</v>
          </cell>
          <cell r="J34">
            <v>18.254905399999998</v>
          </cell>
          <cell r="K34">
            <v>0</v>
          </cell>
          <cell r="L34">
            <v>1996.4658017500001</v>
          </cell>
          <cell r="M34">
            <v>0</v>
          </cell>
          <cell r="N34">
            <v>56.181139350000002</v>
          </cell>
          <cell r="O34">
            <v>0</v>
          </cell>
          <cell r="P34">
            <v>2859.3114729329286</v>
          </cell>
        </row>
        <row r="36">
          <cell r="C36">
            <v>85.552871824557783</v>
          </cell>
          <cell r="D36">
            <v>432.60758887242343</v>
          </cell>
          <cell r="E36">
            <v>0</v>
          </cell>
          <cell r="F36">
            <v>436.74729749921244</v>
          </cell>
          <cell r="G36">
            <v>12.943303833267059</v>
          </cell>
          <cell r="H36">
            <v>0</v>
          </cell>
          <cell r="I36">
            <v>0</v>
          </cell>
          <cell r="J36">
            <v>2.5095965355999999E-3</v>
          </cell>
          <cell r="K36">
            <v>-4.3571044247000035E-2</v>
          </cell>
          <cell r="L36">
            <v>2483.5124921205438</v>
          </cell>
          <cell r="M36">
            <v>0</v>
          </cell>
          <cell r="N36">
            <v>17.1212947397464</v>
          </cell>
          <cell r="O36">
            <v>0</v>
          </cell>
          <cell r="P36">
            <v>1221.1335498073015</v>
          </cell>
        </row>
        <row r="37">
          <cell r="C37">
            <v>329.39174024401404</v>
          </cell>
          <cell r="D37">
            <v>1306.1868436961909</v>
          </cell>
          <cell r="E37">
            <v>0</v>
          </cell>
          <cell r="F37">
            <v>0</v>
          </cell>
          <cell r="G37">
            <v>0</v>
          </cell>
          <cell r="H37">
            <v>0</v>
          </cell>
          <cell r="I37">
            <v>0</v>
          </cell>
          <cell r="J37">
            <v>0</v>
          </cell>
          <cell r="K37">
            <v>4.6265360748999999E-2</v>
          </cell>
          <cell r="L37">
            <v>35.807311805079003</v>
          </cell>
          <cell r="M37">
            <v>0.30002489785899999</v>
          </cell>
          <cell r="N37">
            <v>153.79072502999199</v>
          </cell>
          <cell r="O37">
            <v>11.855669305391467</v>
          </cell>
          <cell r="P37">
            <v>418.32088598756587</v>
          </cell>
        </row>
        <row r="38">
          <cell r="C38">
            <v>1838.4270839345024</v>
          </cell>
          <cell r="D38">
            <v>13146.662105284237</v>
          </cell>
          <cell r="E38">
            <v>3.3429506427221565</v>
          </cell>
          <cell r="F38">
            <v>4445.6390011506373</v>
          </cell>
          <cell r="G38">
            <v>47.685111673046777</v>
          </cell>
          <cell r="H38">
            <v>1045.4307477536072</v>
          </cell>
          <cell r="I38">
            <v>0.18549555702917772</v>
          </cell>
          <cell r="J38">
            <v>693.22278136935029</v>
          </cell>
          <cell r="K38">
            <v>7.3264202785819785</v>
          </cell>
          <cell r="L38">
            <v>29916.536622200882</v>
          </cell>
          <cell r="M38">
            <v>0.94921633857846155</v>
          </cell>
          <cell r="N38">
            <v>17747.906547994215</v>
          </cell>
          <cell r="O38">
            <v>70.120669683646355</v>
          </cell>
          <cell r="P38">
            <v>59713.967418877059</v>
          </cell>
          <cell r="Q38">
            <v>128677.4021727381</v>
          </cell>
        </row>
        <row r="40">
          <cell r="Q40">
            <v>27256.627265686082</v>
          </cell>
        </row>
        <row r="68">
          <cell r="C68">
            <v>7.9717449451309745</v>
          </cell>
          <cell r="D68">
            <v>6.7092669899999997</v>
          </cell>
        </row>
        <row r="69">
          <cell r="C69">
            <v>48.113940897403189</v>
          </cell>
          <cell r="D69">
            <v>-5.0000000000000002E-11</v>
          </cell>
          <cell r="E69">
            <v>0</v>
          </cell>
          <cell r="F69">
            <v>0</v>
          </cell>
          <cell r="G69">
            <v>0</v>
          </cell>
          <cell r="H69">
            <v>0</v>
          </cell>
          <cell r="I69">
            <v>0</v>
          </cell>
          <cell r="J69">
            <v>0</v>
          </cell>
          <cell r="K69">
            <v>0</v>
          </cell>
          <cell r="L69">
            <v>-2.9833683E-4</v>
          </cell>
          <cell r="M69">
            <v>0</v>
          </cell>
          <cell r="N69">
            <v>0</v>
          </cell>
          <cell r="O69">
            <v>0</v>
          </cell>
          <cell r="P69">
            <v>0</v>
          </cell>
        </row>
        <row r="72">
          <cell r="C72">
            <v>381.0327518687169</v>
          </cell>
          <cell r="D72">
            <v>3436.5379596149478</v>
          </cell>
          <cell r="E72">
            <v>6.5553172413793104E-2</v>
          </cell>
          <cell r="F72">
            <v>1000.9093568156893</v>
          </cell>
          <cell r="G72">
            <v>3.9787798408488063E-5</v>
          </cell>
          <cell r="H72">
            <v>609.91253300759536</v>
          </cell>
          <cell r="I72">
            <v>0</v>
          </cell>
          <cell r="J72">
            <v>2528.3574299528923</v>
          </cell>
          <cell r="K72">
            <v>0.34957789655172417</v>
          </cell>
          <cell r="L72">
            <v>2655.9300562150024</v>
          </cell>
          <cell r="M72">
            <v>1.5835664206896552E-5</v>
          </cell>
          <cell r="N72">
            <v>2260.7371227192734</v>
          </cell>
          <cell r="O72">
            <v>0.16239092647198142</v>
          </cell>
          <cell r="P72">
            <v>8159.971812686812</v>
          </cell>
        </row>
        <row r="76">
          <cell r="E76">
            <v>0.2</v>
          </cell>
          <cell r="F76">
            <v>393.25056917636493</v>
          </cell>
          <cell r="G76">
            <v>0</v>
          </cell>
          <cell r="H76">
            <v>1924.485717448805</v>
          </cell>
          <cell r="I76">
            <v>0</v>
          </cell>
          <cell r="J76">
            <v>717.70868655454296</v>
          </cell>
          <cell r="K76">
            <v>9.9999999999999998E-13</v>
          </cell>
          <cell r="L76">
            <v>2738.6839767992278</v>
          </cell>
          <cell r="M76">
            <v>9.9999999999999998E-13</v>
          </cell>
          <cell r="N76">
            <v>5497.8418673150827</v>
          </cell>
          <cell r="O76">
            <v>2.9E-11</v>
          </cell>
          <cell r="P76">
            <v>23964.552733852168</v>
          </cell>
        </row>
        <row r="77">
          <cell r="C77">
            <v>425.84785772199996</v>
          </cell>
          <cell r="D77">
            <v>1048.01232154371</v>
          </cell>
        </row>
        <row r="78">
          <cell r="C78">
            <v>0</v>
          </cell>
          <cell r="D78">
            <v>0</v>
          </cell>
        </row>
        <row r="79">
          <cell r="C79">
            <v>-1.5630000000000001E-9</v>
          </cell>
          <cell r="D79">
            <v>554.283797111941</v>
          </cell>
        </row>
        <row r="80">
          <cell r="C80">
            <v>0</v>
          </cell>
          <cell r="D80">
            <v>2152.2458581124047</v>
          </cell>
        </row>
        <row r="81">
          <cell r="C81">
            <v>20.310109844772999</v>
          </cell>
          <cell r="D81">
            <v>1070.4833265630762</v>
          </cell>
        </row>
        <row r="82">
          <cell r="C82">
            <v>7.5383040789879479</v>
          </cell>
          <cell r="D82">
            <v>90.055902868374005</v>
          </cell>
        </row>
        <row r="83">
          <cell r="C83">
            <v>0</v>
          </cell>
          <cell r="D83">
            <v>1.7</v>
          </cell>
        </row>
        <row r="84">
          <cell r="E84">
            <v>2.6525199999999998E-3</v>
          </cell>
          <cell r="F84">
            <v>595.54102860576893</v>
          </cell>
          <cell r="G84">
            <v>0</v>
          </cell>
          <cell r="H84">
            <v>845.1696430880171</v>
          </cell>
          <cell r="I84">
            <v>0</v>
          </cell>
          <cell r="J84">
            <v>247.67525628409453</v>
          </cell>
          <cell r="K84">
            <v>0</v>
          </cell>
          <cell r="L84">
            <v>3254.0299094144029</v>
          </cell>
          <cell r="M84">
            <v>0</v>
          </cell>
          <cell r="N84">
            <v>1371.1090805647952</v>
          </cell>
          <cell r="O84">
            <v>0</v>
          </cell>
          <cell r="P84">
            <v>13429.107403500706</v>
          </cell>
        </row>
        <row r="86">
          <cell r="C86">
            <v>288.11515713571174</v>
          </cell>
          <cell r="D86">
            <v>2243.082635290431</v>
          </cell>
        </row>
        <row r="89">
          <cell r="C89">
            <v>0</v>
          </cell>
          <cell r="D89">
            <v>1311.7226766538979</v>
          </cell>
        </row>
        <row r="92">
          <cell r="C92">
            <v>482.37929145770937</v>
          </cell>
          <cell r="D92">
            <v>586.30162085305119</v>
          </cell>
        </row>
        <row r="93">
          <cell r="C93">
            <v>0</v>
          </cell>
          <cell r="D93">
            <v>449.24483036948402</v>
          </cell>
          <cell r="E93">
            <v>0</v>
          </cell>
          <cell r="F93">
            <v>10.53386002994</v>
          </cell>
          <cell r="G93">
            <v>0</v>
          </cell>
          <cell r="H93">
            <v>1.7709368920299999</v>
          </cell>
          <cell r="I93">
            <v>0</v>
          </cell>
          <cell r="J93">
            <v>7.5227506399199999</v>
          </cell>
          <cell r="K93">
            <v>0</v>
          </cell>
          <cell r="L93">
            <v>425.863322385689</v>
          </cell>
          <cell r="M93">
            <v>0</v>
          </cell>
          <cell r="N93">
            <v>13.172514138753002</v>
          </cell>
          <cell r="O93">
            <v>0</v>
          </cell>
          <cell r="P93">
            <v>516.182700223918</v>
          </cell>
        </row>
        <row r="94">
          <cell r="E94"/>
          <cell r="F94"/>
          <cell r="G94"/>
          <cell r="H94"/>
          <cell r="I94"/>
          <cell r="J94"/>
          <cell r="K94"/>
          <cell r="L94"/>
          <cell r="M94"/>
          <cell r="N94"/>
          <cell r="O94">
            <v>0</v>
          </cell>
          <cell r="P94">
            <v>338.82160448938703</v>
          </cell>
        </row>
        <row r="95">
          <cell r="C95">
            <v>574.18558975381404</v>
          </cell>
          <cell r="D95">
            <v>4624.1399776362487</v>
          </cell>
          <cell r="E95">
            <v>0.1</v>
          </cell>
          <cell r="F95">
            <v>51.841965850000001</v>
          </cell>
          <cell r="G95">
            <v>0</v>
          </cell>
          <cell r="H95">
            <v>156.16238697574198</v>
          </cell>
          <cell r="I95">
            <v>0.2</v>
          </cell>
          <cell r="J95">
            <v>15.600000000000001</v>
          </cell>
          <cell r="K95">
            <v>0</v>
          </cell>
          <cell r="L95">
            <v>6271.7552072704966</v>
          </cell>
          <cell r="M95">
            <v>0.3</v>
          </cell>
          <cell r="N95">
            <v>1832.1999960380288</v>
          </cell>
          <cell r="O95">
            <v>84.862175592</v>
          </cell>
          <cell r="P95">
            <v>22217.151032136182</v>
          </cell>
        </row>
        <row r="96">
          <cell r="C96">
            <v>83.00479222559207</v>
          </cell>
          <cell r="D96">
            <v>70.669459691260997</v>
          </cell>
        </row>
        <row r="97">
          <cell r="C97">
            <v>639.84101628593874</v>
          </cell>
          <cell r="D97">
            <v>1786.6797184958841</v>
          </cell>
          <cell r="E97">
            <v>8.389546538461537E-2</v>
          </cell>
          <cell r="F97">
            <v>59.2512979665252</v>
          </cell>
          <cell r="G97">
            <v>0.65227403978779841</v>
          </cell>
          <cell r="H97">
            <v>7.6632576496938984</v>
          </cell>
          <cell r="I97">
            <v>3.393766578249337E-4</v>
          </cell>
          <cell r="J97">
            <v>2.5267652599999999</v>
          </cell>
          <cell r="K97">
            <v>0.32096254812079578</v>
          </cell>
          <cell r="L97">
            <v>88.721224129324099</v>
          </cell>
          <cell r="M97">
            <v>0.65417419363395235</v>
          </cell>
          <cell r="N97">
            <v>240.38336885454876</v>
          </cell>
          <cell r="O97">
            <v>3.3205249336870024E-2</v>
          </cell>
          <cell r="P97">
            <v>1747.2334609837612</v>
          </cell>
        </row>
        <row r="98">
          <cell r="C98">
            <v>2958.3405562142148</v>
          </cell>
          <cell r="D98">
            <v>19431.869351794663</v>
          </cell>
          <cell r="E98">
            <v>0.45210115779840843</v>
          </cell>
          <cell r="F98">
            <v>2111.3280784442882</v>
          </cell>
          <cell r="G98">
            <v>0.65231382758620693</v>
          </cell>
          <cell r="H98">
            <v>3545.164475061883</v>
          </cell>
          <cell r="I98">
            <v>0.20033937665782495</v>
          </cell>
          <cell r="J98">
            <v>3519.3908886914501</v>
          </cell>
          <cell r="K98">
            <v>0.67054044467351992</v>
          </cell>
          <cell r="L98">
            <v>15434.983397877313</v>
          </cell>
          <cell r="M98">
            <v>0.95419002929915919</v>
          </cell>
          <cell r="N98">
            <v>11215.443949630482</v>
          </cell>
          <cell r="O98">
            <v>85.057771767837849</v>
          </cell>
          <cell r="P98">
            <v>70373.020747872928</v>
          </cell>
          <cell r="Q98">
            <v>128677.52870219108</v>
          </cell>
        </row>
        <row r="100">
          <cell r="Q100">
            <v>28008.282958543568</v>
          </cell>
        </row>
      </sheetData>
      <sheetData sheetId="1"/>
      <sheetData sheetId="2">
        <row r="15">
          <cell r="AX15">
            <v>33327.272058033246</v>
          </cell>
        </row>
        <row r="69">
          <cell r="AX69">
            <v>7440.7384010804844</v>
          </cell>
        </row>
        <row r="86">
          <cell r="AX86">
            <v>0</v>
          </cell>
        </row>
        <row r="90">
          <cell r="AX90">
            <v>6.94</v>
          </cell>
        </row>
        <row r="105">
          <cell r="AX105">
            <v>0</v>
          </cell>
        </row>
        <row r="118">
          <cell r="AX118">
            <v>0</v>
          </cell>
        </row>
        <row r="120">
          <cell r="AX120">
            <v>7.9255329773200003E-2</v>
          </cell>
        </row>
        <row r="122">
          <cell r="AX122">
            <v>359.59547403643631</v>
          </cell>
        </row>
        <row r="130">
          <cell r="AX130">
            <v>1343.8264382910811</v>
          </cell>
        </row>
        <row r="141">
          <cell r="AX141">
            <v>783.47802867016424</v>
          </cell>
        </row>
        <row r="170">
          <cell r="AX170">
            <v>0.54</v>
          </cell>
        </row>
        <row r="186">
          <cell r="AX186">
            <v>14985.061323479458</v>
          </cell>
        </row>
        <row r="187">
          <cell r="AX187">
            <v>352.39210602699995</v>
          </cell>
        </row>
        <row r="188">
          <cell r="AX188">
            <v>68.184087820030001</v>
          </cell>
        </row>
        <row r="189">
          <cell r="AX189">
            <v>4449.1129517516529</v>
          </cell>
        </row>
        <row r="190">
          <cell r="AX190">
            <v>1093.0958724131121</v>
          </cell>
        </row>
        <row r="191">
          <cell r="AX191">
            <v>693.41821405500787</v>
          </cell>
        </row>
        <row r="192">
          <cell r="AX192">
            <v>29923.833226360151</v>
          </cell>
        </row>
        <row r="193">
          <cell r="AX193">
            <v>17748.850373432313</v>
          </cell>
        </row>
        <row r="199">
          <cell r="AX199">
            <v>4136.9510244687272</v>
          </cell>
        </row>
        <row r="200">
          <cell r="AX200">
            <v>206.19130249436569</v>
          </cell>
        </row>
        <row r="201">
          <cell r="AX201">
            <v>70.520216512300408</v>
          </cell>
        </row>
        <row r="202">
          <cell r="AX202">
            <v>393.7205218696817</v>
          </cell>
        </row>
        <row r="203">
          <cell r="AX203">
            <v>16.738531629043699</v>
          </cell>
        </row>
        <row r="204">
          <cell r="AX204">
            <v>7972.9896601851015</v>
          </cell>
        </row>
        <row r="229">
          <cell r="AX229">
            <v>2496.5144727745464</v>
          </cell>
        </row>
      </sheetData>
      <sheetData sheetId="3">
        <row r="15">
          <cell r="AH15">
            <v>36894.435442658098</v>
          </cell>
        </row>
        <row r="69">
          <cell r="AH69">
            <v>4748.9208581311123</v>
          </cell>
        </row>
        <row r="86">
          <cell r="AH86">
            <v>0</v>
          </cell>
        </row>
        <row r="90">
          <cell r="AH90">
            <v>0</v>
          </cell>
        </row>
        <row r="105">
          <cell r="AH105">
            <v>0</v>
          </cell>
        </row>
        <row r="118">
          <cell r="AH118">
            <v>0</v>
          </cell>
        </row>
        <row r="120">
          <cell r="AH120">
            <v>0</v>
          </cell>
        </row>
        <row r="122">
          <cell r="AH122">
            <v>133.02988459416446</v>
          </cell>
        </row>
        <row r="130">
          <cell r="AH130">
            <v>7382.6476389579584</v>
          </cell>
        </row>
        <row r="141">
          <cell r="AH141">
            <v>5576.5001704719061</v>
          </cell>
        </row>
        <row r="170">
          <cell r="AH170">
            <v>963.31951646899984</v>
          </cell>
        </row>
        <row r="186">
          <cell r="AH186">
            <v>22390.174095740585</v>
          </cell>
        </row>
        <row r="187">
          <cell r="AH187">
            <v>0</v>
          </cell>
        </row>
        <row r="188">
          <cell r="AH188">
            <v>200.70743228999999</v>
          </cell>
        </row>
        <row r="189">
          <cell r="AH189">
            <v>2111.7878177408561</v>
          </cell>
        </row>
        <row r="190">
          <cell r="AH190">
            <v>3545.816230132391</v>
          </cell>
        </row>
        <row r="191">
          <cell r="AH191">
            <v>3519.5980336607417</v>
          </cell>
        </row>
        <row r="192">
          <cell r="AH192">
            <v>15435.651326390964</v>
          </cell>
        </row>
        <row r="193">
          <cell r="AH193">
            <v>11216.485371025035</v>
          </cell>
        </row>
        <row r="199">
          <cell r="AH199">
            <v>3000.8554917065967</v>
          </cell>
        </row>
        <row r="200">
          <cell r="AH200">
            <v>29.474404999999997</v>
          </cell>
        </row>
        <row r="201">
          <cell r="AH201">
            <v>0</v>
          </cell>
        </row>
        <row r="202">
          <cell r="AH202">
            <v>90.033498833899202</v>
          </cell>
        </row>
        <row r="203">
          <cell r="AH203">
            <v>0</v>
          </cell>
        </row>
        <row r="204">
          <cell r="AH204">
            <v>7725.0332942968989</v>
          </cell>
        </row>
        <row r="229">
          <cell r="AH229">
            <v>1418.2974905357119</v>
          </cell>
        </row>
        <row r="272">
          <cell r="AH272">
            <v>128677.57301043285</v>
          </cell>
        </row>
      </sheetData>
      <sheetData sheetId="4">
        <row r="14">
          <cell r="D14">
            <v>1968.0606999693975</v>
          </cell>
          <cell r="G14">
            <v>3046.2674321609611</v>
          </cell>
        </row>
        <row r="16">
          <cell r="D16">
            <v>93414.279238689633</v>
          </cell>
          <cell r="G16">
            <v>93673.640596855403</v>
          </cell>
        </row>
        <row r="17">
          <cell r="D17">
            <v>2163.3047885366786</v>
          </cell>
          <cell r="G17">
            <v>1848.8874986476101</v>
          </cell>
        </row>
        <row r="18">
          <cell r="D18">
            <v>199.31830358186798</v>
          </cell>
          <cell r="G18">
            <v>215.24835263856579</v>
          </cell>
        </row>
        <row r="19">
          <cell r="D19">
            <v>165.12046375057835</v>
          </cell>
          <cell r="G19">
            <v>600.32563722285056</v>
          </cell>
        </row>
        <row r="20">
          <cell r="D20">
            <v>12438.185931671787</v>
          </cell>
          <cell r="G20">
            <v>13269.168355017669</v>
          </cell>
        </row>
        <row r="21">
          <cell r="D21">
            <v>14113.152843349075</v>
          </cell>
          <cell r="G21">
            <v>8954.2446009246341</v>
          </cell>
        </row>
        <row r="22">
          <cell r="D22">
            <v>1666.7447422027719</v>
          </cell>
          <cell r="G22">
            <v>1590.5513950586296</v>
          </cell>
        </row>
        <row r="23">
          <cell r="D23">
            <v>2549.3247979884959</v>
          </cell>
          <cell r="G23">
            <v>5479.2704429382984</v>
          </cell>
        </row>
        <row r="24">
          <cell r="G24">
            <v>128677.60431146463</v>
          </cell>
        </row>
      </sheetData>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14">
          <cell r="C14">
            <v>24.840464957000002</v>
          </cell>
          <cell r="D14">
            <v>0</v>
          </cell>
        </row>
        <row r="18">
          <cell r="C18">
            <v>382.6058758119101</v>
          </cell>
          <cell r="D18">
            <v>1162.8807070440339</v>
          </cell>
        </row>
        <row r="23">
          <cell r="C23">
            <v>1441.8908041776176</v>
          </cell>
          <cell r="D23">
            <v>225.77929198632998</v>
          </cell>
        </row>
        <row r="24">
          <cell r="C24">
            <v>327.90036614308195</v>
          </cell>
          <cell r="D24">
            <v>87.830401294284002</v>
          </cell>
        </row>
        <row r="25">
          <cell r="C25">
            <v>212.00963492368805</v>
          </cell>
          <cell r="D25">
            <v>217.38207329015074</v>
          </cell>
        </row>
        <row r="26">
          <cell r="C26">
            <v>347.17684615046994</v>
          </cell>
          <cell r="D26">
            <v>262.47083834806449</v>
          </cell>
        </row>
        <row r="27">
          <cell r="C27">
            <v>2696.8387682271923</v>
          </cell>
          <cell r="D27">
            <v>1199.8647454482345</v>
          </cell>
        </row>
        <row r="28">
          <cell r="C28">
            <v>7653.3098054440379</v>
          </cell>
          <cell r="D28">
            <v>1204.0025786941374</v>
          </cell>
        </row>
        <row r="29">
          <cell r="C29">
            <v>241.86149120736849</v>
          </cell>
          <cell r="D29">
            <v>11.073238392330001</v>
          </cell>
        </row>
        <row r="30">
          <cell r="C30">
            <v>0</v>
          </cell>
          <cell r="D30">
            <v>0</v>
          </cell>
        </row>
        <row r="31">
          <cell r="C31">
            <v>0.7</v>
          </cell>
          <cell r="D31">
            <v>22.081542289353379</v>
          </cell>
        </row>
        <row r="33">
          <cell r="C33">
            <v>394.16324902829894</v>
          </cell>
          <cell r="D33">
            <v>74.654746018692208</v>
          </cell>
        </row>
        <row r="34">
          <cell r="C34">
            <v>2635.2773674199743</v>
          </cell>
          <cell r="D34">
            <v>194.51079652126595</v>
          </cell>
        </row>
        <row r="36">
          <cell r="C36">
            <v>1123.4835787756833</v>
          </cell>
          <cell r="D36">
            <v>-24.307002982490296</v>
          </cell>
        </row>
        <row r="37">
          <cell r="C37">
            <v>423.64187823356212</v>
          </cell>
          <cell r="D37">
            <v>413.75843181034168</v>
          </cell>
        </row>
        <row r="38">
          <cell r="C38">
            <v>17905.700130499885</v>
          </cell>
          <cell r="D38">
            <v>5051.9823881547281</v>
          </cell>
          <cell r="E38">
            <v>100.60794933424683</v>
          </cell>
          <cell r="F38">
            <v>4896.1185071864456</v>
          </cell>
          <cell r="G38">
            <v>2.5825160668990006</v>
          </cell>
          <cell r="H38">
            <v>161.44474350074131</v>
          </cell>
          <cell r="I38">
            <v>16.513243672706999</v>
          </cell>
          <cell r="J38">
            <v>150.91276397017157</v>
          </cell>
          <cell r="K38">
            <v>54.615419490094034</v>
          </cell>
          <cell r="L38">
            <v>248.6525928591484</v>
          </cell>
          <cell r="M38">
            <v>1500.6653089448321</v>
          </cell>
          <cell r="N38">
            <v>4070.8713036872032</v>
          </cell>
          <cell r="O38">
            <v>733.13174625043951</v>
          </cell>
          <cell r="P38">
            <v>8905.8375718418538</v>
          </cell>
          <cell r="Q38">
            <v>43799.6361854594</v>
          </cell>
        </row>
        <row r="40">
          <cell r="Q40">
            <v>8028.1163575250321</v>
          </cell>
        </row>
        <row r="68">
          <cell r="C68">
            <v>109.90179953451901</v>
          </cell>
          <cell r="D68">
            <v>74.099583832549271</v>
          </cell>
        </row>
        <row r="69">
          <cell r="C69">
            <v>4802.6263011870196</v>
          </cell>
          <cell r="D69">
            <v>3.3200000009999999</v>
          </cell>
        </row>
        <row r="72">
          <cell r="C72">
            <v>472.89638961514703</v>
          </cell>
          <cell r="D72">
            <v>384.9491009311497</v>
          </cell>
        </row>
        <row r="76">
          <cell r="C76">
            <v>9143.3176047736233</v>
          </cell>
          <cell r="D76">
            <v>3381.63671063837</v>
          </cell>
        </row>
        <row r="77">
          <cell r="C77">
            <v>262.52263962500001</v>
          </cell>
          <cell r="D77">
            <v>850.15197169899989</v>
          </cell>
        </row>
        <row r="78">
          <cell r="C78">
            <v>0</v>
          </cell>
          <cell r="D78">
            <v>0</v>
          </cell>
        </row>
        <row r="79">
          <cell r="C79">
            <v>191.656376241</v>
          </cell>
          <cell r="D79">
            <v>108.02420906712001</v>
          </cell>
        </row>
        <row r="80">
          <cell r="C80">
            <v>34.519309972049996</v>
          </cell>
          <cell r="D80">
            <v>1081.8922196793797</v>
          </cell>
        </row>
        <row r="81">
          <cell r="C81">
            <v>2593.0197896784348</v>
          </cell>
          <cell r="D81">
            <v>1067.6660676074721</v>
          </cell>
        </row>
        <row r="82">
          <cell r="C82">
            <v>6028.3756261641383</v>
          </cell>
          <cell r="D82">
            <v>228.34951706723939</v>
          </cell>
        </row>
        <row r="83">
          <cell r="C83">
            <v>33.223863092999835</v>
          </cell>
          <cell r="D83">
            <v>45.552725518159356</v>
          </cell>
        </row>
        <row r="84">
          <cell r="E84">
            <v>0</v>
          </cell>
          <cell r="F84">
            <v>807.56643810330434</v>
          </cell>
          <cell r="G84">
            <v>0</v>
          </cell>
          <cell r="H84">
            <v>421.61433715020331</v>
          </cell>
          <cell r="I84">
            <v>0</v>
          </cell>
          <cell r="J84">
            <v>263.18694331509596</v>
          </cell>
          <cell r="K84">
            <v>0</v>
          </cell>
          <cell r="L84">
            <v>1834.484916418754</v>
          </cell>
          <cell r="M84">
            <v>0</v>
          </cell>
          <cell r="N84">
            <v>1165.3551932623252</v>
          </cell>
          <cell r="O84">
            <v>1.0505158000000001</v>
          </cell>
          <cell r="P84">
            <v>2291.3253376198104</v>
          </cell>
        </row>
        <row r="86">
          <cell r="C86">
            <v>3515.1028121436784</v>
          </cell>
          <cell r="D86">
            <v>3143.5699643028788</v>
          </cell>
        </row>
        <row r="89">
          <cell r="C89">
            <v>5.25999999928E-7</v>
          </cell>
          <cell r="D89">
            <v>160.26700108776919</v>
          </cell>
        </row>
        <row r="92">
          <cell r="C92">
            <v>463.23033605700016</v>
          </cell>
          <cell r="D92">
            <v>134.79707923176588</v>
          </cell>
        </row>
        <row r="93">
          <cell r="C93">
            <v>0.59773468200000002</v>
          </cell>
          <cell r="D93">
            <v>22.100524923472616</v>
          </cell>
        </row>
        <row r="95">
          <cell r="C95">
            <v>504.352793429467</v>
          </cell>
          <cell r="D95">
            <v>711.65771492370322</v>
          </cell>
        </row>
        <row r="96">
          <cell r="C96">
            <v>202.38743842366932</v>
          </cell>
          <cell r="D96">
            <v>8.1464707660699993</v>
          </cell>
        </row>
        <row r="97">
          <cell r="C97">
            <v>659.76737365088297</v>
          </cell>
          <cell r="D97">
            <v>312.28623137155728</v>
          </cell>
        </row>
        <row r="98">
          <cell r="C98">
            <v>19874.180584023008</v>
          </cell>
          <cell r="D98">
            <v>8336.8303820102847</v>
          </cell>
          <cell r="E98">
            <v>58.451589481766</v>
          </cell>
          <cell r="F98">
            <v>2469.511134505336</v>
          </cell>
          <cell r="G98">
            <v>1.7673265000000001E-2</v>
          </cell>
          <cell r="H98">
            <v>529.08512196782499</v>
          </cell>
          <cell r="I98">
            <v>1.4481044E-2</v>
          </cell>
          <cell r="J98">
            <v>939.33321294915481</v>
          </cell>
          <cell r="K98">
            <v>15.99170081400001</v>
          </cell>
          <cell r="L98">
            <v>2261.5189253761669</v>
          </cell>
          <cell r="M98">
            <v>4.5090808062000001</v>
          </cell>
          <cell r="N98">
            <v>2490.023306734271</v>
          </cell>
          <cell r="O98">
            <v>37.696696865</v>
          </cell>
          <cell r="P98">
            <v>6782.4644623851618</v>
          </cell>
          <cell r="Q98">
            <v>43799.628352227177</v>
          </cell>
        </row>
        <row r="100">
          <cell r="Q100">
            <v>8024.9120933151244</v>
          </cell>
        </row>
      </sheetData>
      <sheetData sheetId="1">
        <row r="15">
          <cell r="C15">
            <v>1046.461945925925</v>
          </cell>
          <cell r="D15">
            <v>327.90036614308201</v>
          </cell>
          <cell r="F15">
            <v>347.05732011947003</v>
          </cell>
          <cell r="I15">
            <v>12486.504285488303</v>
          </cell>
          <cell r="K15">
            <v>301.15711986857411</v>
          </cell>
        </row>
        <row r="16">
          <cell r="E16">
            <v>79.358598203982012</v>
          </cell>
          <cell r="G16">
            <v>1293.9444942627917</v>
          </cell>
          <cell r="H16">
            <v>956.96857980539903</v>
          </cell>
        </row>
        <row r="17">
          <cell r="E17">
            <v>1.1433508630540004</v>
          </cell>
          <cell r="G17">
            <v>90.247299370160988</v>
          </cell>
          <cell r="H17">
            <v>3244.6435820315273</v>
          </cell>
        </row>
        <row r="18">
          <cell r="E18">
            <v>131.50061765265204</v>
          </cell>
          <cell r="G18">
            <v>1286.1830824403537</v>
          </cell>
          <cell r="H18">
            <v>3681.0950486699057</v>
          </cell>
        </row>
        <row r="19">
          <cell r="E19">
            <v>0</v>
          </cell>
          <cell r="G19">
            <v>0</v>
          </cell>
          <cell r="H19">
            <v>0</v>
          </cell>
        </row>
        <row r="20">
          <cell r="I20">
            <v>1.0291666E-2</v>
          </cell>
        </row>
        <row r="21">
          <cell r="I21">
            <v>434.46027531269254</v>
          </cell>
        </row>
        <row r="23">
          <cell r="C23">
            <v>225.77929198633001</v>
          </cell>
          <cell r="D23">
            <v>87.830401294284002</v>
          </cell>
          <cell r="F23">
            <v>260.81283834806447</v>
          </cell>
          <cell r="I23">
            <v>3189.2500343237198</v>
          </cell>
          <cell r="K23">
            <v>4208.0871697905659</v>
          </cell>
        </row>
        <row r="24">
          <cell r="E24">
            <v>74.536395626018802</v>
          </cell>
          <cell r="G24">
            <v>342.08922251663461</v>
          </cell>
          <cell r="H24">
            <v>123.81468344130097</v>
          </cell>
        </row>
        <row r="25">
          <cell r="E25">
            <v>2.0762975147930005</v>
          </cell>
          <cell r="G25">
            <v>42.594913282160704</v>
          </cell>
          <cell r="H25">
            <v>109.91910138390834</v>
          </cell>
        </row>
        <row r="26">
          <cell r="E26">
            <v>123.70897946843901</v>
          </cell>
          <cell r="G26">
            <v>814.85824541842885</v>
          </cell>
          <cell r="H26">
            <v>981.22966404335716</v>
          </cell>
        </row>
        <row r="27">
          <cell r="E27">
            <v>0</v>
          </cell>
          <cell r="G27">
            <v>0</v>
          </cell>
          <cell r="H27">
            <v>0</v>
          </cell>
        </row>
        <row r="28">
          <cell r="I28">
            <v>17.058063475000001</v>
          </cell>
        </row>
        <row r="29">
          <cell r="I29">
            <v>2.0579999999999998</v>
          </cell>
        </row>
      </sheetData>
      <sheetData sheetId="2">
        <row r="15">
          <cell r="AX15">
            <v>4627.3398204132573</v>
          </cell>
        </row>
        <row r="69">
          <cell r="AX69">
            <v>429.11390790955875</v>
          </cell>
        </row>
        <row r="86">
          <cell r="AX86">
            <v>0</v>
          </cell>
        </row>
        <row r="90">
          <cell r="AX90">
            <v>22.711058002000001</v>
          </cell>
        </row>
        <row r="105">
          <cell r="AX105">
            <v>129.89322177232998</v>
          </cell>
        </row>
        <row r="118">
          <cell r="AX118">
            <v>1.5227166579999998</v>
          </cell>
        </row>
        <row r="120">
          <cell r="AX120">
            <v>75.633548673999996</v>
          </cell>
        </row>
        <row r="122">
          <cell r="AX122">
            <v>1.8265844330030001</v>
          </cell>
        </row>
        <row r="130">
          <cell r="AX130">
            <v>340.81198307898734</v>
          </cell>
        </row>
        <row r="141">
          <cell r="AX141">
            <v>559.54652292393428</v>
          </cell>
        </row>
        <row r="170">
          <cell r="AX170">
            <v>1.2306844000000129E-2</v>
          </cell>
        </row>
        <row r="186">
          <cell r="D186">
            <v>949.73648372271077</v>
          </cell>
          <cell r="E186">
            <v>15.357117547044709</v>
          </cell>
          <cell r="F186">
            <v>0</v>
          </cell>
          <cell r="G186">
            <v>5.1257329674369201</v>
          </cell>
          <cell r="H186">
            <v>0</v>
          </cell>
          <cell r="I186">
            <v>509.27217990991005</v>
          </cell>
          <cell r="J186">
            <v>69.726622987786783</v>
          </cell>
          <cell r="K186">
            <v>2909.9793837357415</v>
          </cell>
          <cell r="L186">
            <v>101.43169226613291</v>
          </cell>
          <cell r="M186">
            <v>14.090076869833091</v>
          </cell>
          <cell r="N186">
            <v>89.637108636467573</v>
          </cell>
          <cell r="O186">
            <v>0.87771353068935076</v>
          </cell>
          <cell r="P186">
            <v>11992.471521292095</v>
          </cell>
          <cell r="Q186">
            <v>132.8863512119907</v>
          </cell>
          <cell r="S186">
            <v>141.30969356766224</v>
          </cell>
          <cell r="T186">
            <v>2.7747615300006499E-3</v>
          </cell>
          <cell r="U186">
            <v>1.0492160000000002E-3</v>
          </cell>
          <cell r="V186">
            <v>0.71692549924000093</v>
          </cell>
          <cell r="W186">
            <v>7.7033397000003602E-4</v>
          </cell>
          <cell r="X186">
            <v>758.98065351691969</v>
          </cell>
          <cell r="Y186">
            <v>15.906614629789981</v>
          </cell>
          <cell r="Z186">
            <v>431.73309939534204</v>
          </cell>
          <cell r="AA186">
            <v>12.59113050316882</v>
          </cell>
          <cell r="AB186">
            <v>3.983251025439101E-2</v>
          </cell>
          <cell r="AC186">
            <v>2.536092133576783</v>
          </cell>
          <cell r="AD186">
            <v>-0.16245839858069316</v>
          </cell>
          <cell r="AE186">
            <v>864.73791842593391</v>
          </cell>
          <cell r="AF186">
            <v>9.7284480313720163</v>
          </cell>
          <cell r="AI186">
            <v>32.445836554670343</v>
          </cell>
          <cell r="AJ186">
            <v>0</v>
          </cell>
          <cell r="AK186">
            <v>0</v>
          </cell>
          <cell r="AL186">
            <v>0</v>
          </cell>
          <cell r="AM186">
            <v>0</v>
          </cell>
          <cell r="AN186">
            <v>206.04445505138483</v>
          </cell>
          <cell r="AO186">
            <v>0</v>
          </cell>
          <cell r="AP186">
            <v>114.0406678270129</v>
          </cell>
          <cell r="AQ186">
            <v>1.2166852714818431E-2</v>
          </cell>
          <cell r="AR186">
            <v>0</v>
          </cell>
          <cell r="AS186">
            <v>7.4623775440814106E-6</v>
          </cell>
          <cell r="AT186">
            <v>0</v>
          </cell>
          <cell r="AU186">
            <v>3575.4040985442703</v>
          </cell>
          <cell r="AV186">
            <v>0.995114842</v>
          </cell>
          <cell r="AX186">
            <v>22957.65687593845</v>
          </cell>
        </row>
        <row r="187">
          <cell r="AX187">
            <v>510.96230531706311</v>
          </cell>
        </row>
        <row r="188">
          <cell r="AX188">
            <v>376.35754484608913</v>
          </cell>
        </row>
        <row r="189">
          <cell r="AX189">
            <v>4996.7428224407331</v>
          </cell>
        </row>
        <row r="190">
          <cell r="AX190">
            <v>164.00807165764033</v>
          </cell>
        </row>
        <row r="191">
          <cell r="AX191">
            <v>167.38877732287855</v>
          </cell>
        </row>
        <row r="192">
          <cell r="AX192">
            <v>303.26798090624243</v>
          </cell>
        </row>
        <row r="193">
          <cell r="AX193">
            <v>5571.534492949484</v>
          </cell>
        </row>
        <row r="199">
          <cell r="AX199">
            <v>443.76064324007007</v>
          </cell>
        </row>
        <row r="200">
          <cell r="AX200">
            <v>19.0017904802861</v>
          </cell>
        </row>
        <row r="201">
          <cell r="AX201">
            <v>54.117149892361226</v>
          </cell>
        </row>
        <row r="202">
          <cell r="AX202">
            <v>0.48518091900000004</v>
          </cell>
        </row>
        <row r="203">
          <cell r="AX203">
            <v>142.26462674300001</v>
          </cell>
        </row>
        <row r="204">
          <cell r="AX204">
            <v>998.477108434961</v>
          </cell>
        </row>
        <row r="229">
          <cell r="AX229">
            <v>713.50899862926906</v>
          </cell>
        </row>
        <row r="272">
          <cell r="D272">
            <v>7102.6232724836736</v>
          </cell>
          <cell r="E272">
            <v>229.38274539090321</v>
          </cell>
          <cell r="F272">
            <v>15.091023339528673</v>
          </cell>
          <cell r="G272">
            <v>260.01354084135625</v>
          </cell>
          <cell r="H272">
            <v>4.4131468661493204E-3</v>
          </cell>
          <cell r="I272">
            <v>2041.8550388915671</v>
          </cell>
          <cell r="J272">
            <v>1786.9940389394371</v>
          </cell>
          <cell r="K272">
            <v>5342.4834938089161</v>
          </cell>
          <cell r="L272">
            <v>1000.3541632625007</v>
          </cell>
          <cell r="M272">
            <v>14.091225232512425</v>
          </cell>
          <cell r="N272">
            <v>236.67361706218702</v>
          </cell>
          <cell r="O272">
            <v>1.3913083216872915</v>
          </cell>
          <cell r="P272">
            <v>12292.159726506668</v>
          </cell>
          <cell r="Q272">
            <v>747.84526757325602</v>
          </cell>
          <cell r="S272">
            <v>3543.2018383173645</v>
          </cell>
          <cell r="T272">
            <v>55.863960807589358</v>
          </cell>
          <cell r="U272">
            <v>1.0492160000000002E-3</v>
          </cell>
          <cell r="V272">
            <v>34.022464497163931</v>
          </cell>
          <cell r="W272">
            <v>7.7033397000003602E-4</v>
          </cell>
          <cell r="X272">
            <v>848.78511013991965</v>
          </cell>
          <cell r="Y272">
            <v>16.07088252978998</v>
          </cell>
          <cell r="Z272">
            <v>706.38452235241959</v>
          </cell>
          <cell r="AA272">
            <v>12.773045836811439</v>
          </cell>
          <cell r="AB272">
            <v>-1.038775879758749</v>
          </cell>
          <cell r="AC272">
            <v>2.9356371313224234</v>
          </cell>
          <cell r="AD272">
            <v>-0.43480990883260212</v>
          </cell>
          <cell r="AE272">
            <v>867.0380132709339</v>
          </cell>
          <cell r="AF272">
            <v>17.502178234849417</v>
          </cell>
          <cell r="AI272">
            <v>2095.2568280173618</v>
          </cell>
          <cell r="AJ272">
            <v>9.5131940118222985E-2</v>
          </cell>
          <cell r="AK272">
            <v>8.3475903084147404E-5</v>
          </cell>
          <cell r="AL272">
            <v>0.26258868723949991</v>
          </cell>
          <cell r="AM272">
            <v>-2.7718996364401818E-3</v>
          </cell>
          <cell r="AN272">
            <v>467.47609591128503</v>
          </cell>
          <cell r="AO272">
            <v>111.35940372341149</v>
          </cell>
          <cell r="AP272">
            <v>141.44785912315564</v>
          </cell>
          <cell r="AQ272">
            <v>1.5567099104341378</v>
          </cell>
          <cell r="AR272">
            <v>0</v>
          </cell>
          <cell r="AS272">
            <v>0.19858752688164791</v>
          </cell>
          <cell r="AT272">
            <v>0</v>
          </cell>
          <cell r="AU272">
            <v>3796.5377860113572</v>
          </cell>
          <cell r="AV272">
            <v>11.34137738425439</v>
          </cell>
        </row>
      </sheetData>
      <sheetData sheetId="3">
        <row r="15">
          <cell r="AH15">
            <v>2606.8854575574105</v>
          </cell>
        </row>
        <row r="69">
          <cell r="AH69">
            <v>893.70132633749267</v>
          </cell>
        </row>
        <row r="86">
          <cell r="AH86">
            <v>0</v>
          </cell>
        </row>
        <row r="90">
          <cell r="AH90">
            <v>0</v>
          </cell>
        </row>
        <row r="105">
          <cell r="AH105">
            <v>0</v>
          </cell>
        </row>
        <row r="118">
          <cell r="AH118">
            <v>1.131532E-3</v>
          </cell>
        </row>
        <row r="120">
          <cell r="AH120">
            <v>0</v>
          </cell>
        </row>
        <row r="122">
          <cell r="AH122">
            <v>0</v>
          </cell>
        </row>
        <row r="130">
          <cell r="AH130">
            <v>1136.2916059651297</v>
          </cell>
        </row>
        <row r="141">
          <cell r="AH141">
            <v>584.19677256738044</v>
          </cell>
        </row>
        <row r="170">
          <cell r="AH170">
            <v>73.727521543769996</v>
          </cell>
        </row>
        <row r="186">
          <cell r="D186">
            <v>589.06976255462962</v>
          </cell>
          <cell r="E186">
            <v>53.646250504999998</v>
          </cell>
          <cell r="F186">
            <v>0</v>
          </cell>
          <cell r="G186">
            <v>2.3566123239999999</v>
          </cell>
          <cell r="H186">
            <v>0</v>
          </cell>
          <cell r="I186">
            <v>846.21231843082398</v>
          </cell>
          <cell r="J186">
            <v>11.598095508</v>
          </cell>
          <cell r="K186">
            <v>2921.3438458607334</v>
          </cell>
          <cell r="L186">
            <v>30.097047970359576</v>
          </cell>
          <cell r="M186">
            <v>2.4837257692582799</v>
          </cell>
          <cell r="N186">
            <v>2.4164510790831111</v>
          </cell>
          <cell r="O186">
            <v>53.614078280641166</v>
          </cell>
          <cell r="P186">
            <v>9520.5446012666707</v>
          </cell>
          <cell r="Q186">
            <v>12.285566413360348</v>
          </cell>
          <cell r="S186">
            <v>1887.9618740580383</v>
          </cell>
          <cell r="T186">
            <v>6.9988171129537786</v>
          </cell>
          <cell r="U186">
            <v>4.7565000000000057E-5</v>
          </cell>
          <cell r="V186">
            <v>13.638115872070001</v>
          </cell>
          <cell r="W186">
            <v>1.0868041401688302</v>
          </cell>
          <cell r="X186">
            <v>5848.1470176375315</v>
          </cell>
          <cell r="Y186">
            <v>9.1761778081791068</v>
          </cell>
          <cell r="Z186">
            <v>2422.2130826117382</v>
          </cell>
          <cell r="AA186">
            <v>219.69913533207057</v>
          </cell>
          <cell r="AB186">
            <v>-1.026860326654659</v>
          </cell>
          <cell r="AC186">
            <v>29.201202041966006</v>
          </cell>
          <cell r="AD186">
            <v>-0.14477524788373433</v>
          </cell>
          <cell r="AE186">
            <v>3614.7811818247274</v>
          </cell>
          <cell r="AF186">
            <v>113.67090797176211</v>
          </cell>
          <cell r="AH186">
            <v>28211.071084364226</v>
          </cell>
        </row>
        <row r="187">
          <cell r="AH187">
            <v>0</v>
          </cell>
        </row>
        <row r="188">
          <cell r="AH188">
            <v>147.82951806586533</v>
          </cell>
        </row>
        <row r="189">
          <cell r="AH189">
            <v>2527.9117273678057</v>
          </cell>
        </row>
        <row r="190">
          <cell r="AH190">
            <v>529.07878813374623</v>
          </cell>
        </row>
        <row r="191">
          <cell r="AH191">
            <v>939.38650869925516</v>
          </cell>
        </row>
        <row r="192">
          <cell r="AH192">
            <v>2277.5110122911919</v>
          </cell>
        </row>
        <row r="193">
          <cell r="AH193">
            <v>2494.5477432252228</v>
          </cell>
        </row>
        <row r="199">
          <cell r="AH199">
            <v>86.724535204288671</v>
          </cell>
        </row>
        <row r="200">
          <cell r="AH200">
            <v>1.4806805250000001</v>
          </cell>
        </row>
        <row r="201">
          <cell r="AH201">
            <v>0</v>
          </cell>
        </row>
        <row r="202">
          <cell r="AH202">
            <v>0.05</v>
          </cell>
        </row>
        <row r="203">
          <cell r="AH203">
            <v>3.8782775410000001</v>
          </cell>
        </row>
        <row r="204">
          <cell r="AH204">
            <v>882.54316332313203</v>
          </cell>
        </row>
        <row r="229">
          <cell r="AH229">
            <v>252.48677515860373</v>
          </cell>
        </row>
        <row r="272">
          <cell r="D272">
            <v>1950.1200190417799</v>
          </cell>
          <cell r="E272">
            <v>115.78070722277189</v>
          </cell>
          <cell r="F272">
            <v>15.005266030000001</v>
          </cell>
          <cell r="G272">
            <v>13.504776832823577</v>
          </cell>
          <cell r="H272">
            <v>0.93583343199999991</v>
          </cell>
          <cell r="I272">
            <v>846.37545644282409</v>
          </cell>
          <cell r="J272">
            <v>71.045962190000012</v>
          </cell>
          <cell r="K272">
            <v>5772.7053848928872</v>
          </cell>
          <cell r="L272">
            <v>442.14028002147666</v>
          </cell>
          <cell r="M272">
            <v>2.4837257692582799</v>
          </cell>
          <cell r="N272">
            <v>344.49482666645969</v>
          </cell>
          <cell r="O272">
            <v>83.00568481115755</v>
          </cell>
          <cell r="P272">
            <v>9651.9979244544356</v>
          </cell>
          <cell r="Q272">
            <v>1377.4584110584892</v>
          </cell>
          <cell r="S272">
            <v>4188.8351129452494</v>
          </cell>
          <cell r="T272">
            <v>177.32194823510471</v>
          </cell>
          <cell r="U272">
            <v>3.8702141258851963</v>
          </cell>
          <cell r="V272">
            <v>23.087113703519275</v>
          </cell>
          <cell r="W272">
            <v>1.4893961409063969</v>
          </cell>
          <cell r="X272">
            <v>5868.0915108487306</v>
          </cell>
          <cell r="Y272">
            <v>995.11321500226472</v>
          </cell>
          <cell r="Z272">
            <v>7672.3584176751392</v>
          </cell>
          <cell r="AA272">
            <v>364.60548903423665</v>
          </cell>
          <cell r="AB272">
            <v>-1.026860326654659</v>
          </cell>
          <cell r="AC272">
            <v>92.311187542647858</v>
          </cell>
          <cell r="AD272">
            <v>-30.586663965735386</v>
          </cell>
          <cell r="AE272">
            <v>3624.5081977525883</v>
          </cell>
          <cell r="AF272">
            <v>132.71900873885906</v>
          </cell>
          <cell r="AH272">
            <v>43799.751546319108</v>
          </cell>
        </row>
      </sheetData>
      <sheetData sheetId="4">
        <row r="14">
          <cell r="D14">
            <v>20313.814263107884</v>
          </cell>
          <cell r="G14">
            <v>19990.929086302487</v>
          </cell>
        </row>
        <row r="16">
          <cell r="D16">
            <v>18931.442285118377</v>
          </cell>
          <cell r="G16">
            <v>19583.945576443439</v>
          </cell>
        </row>
        <row r="17">
          <cell r="D17">
            <v>534.10688141238302</v>
          </cell>
          <cell r="G17">
            <v>473.39799599035416</v>
          </cell>
        </row>
        <row r="18">
          <cell r="D18">
            <v>28.144762467790123</v>
          </cell>
          <cell r="G18">
            <v>20.332098177668058</v>
          </cell>
        </row>
        <row r="19">
          <cell r="D19">
            <v>0.95817394242822029</v>
          </cell>
          <cell r="G19">
            <v>54.84404059998262</v>
          </cell>
        </row>
        <row r="20">
          <cell r="D20">
            <v>1300.0363761208146</v>
          </cell>
          <cell r="G20">
            <v>1099.8655136424982</v>
          </cell>
        </row>
        <row r="21">
          <cell r="D21">
            <v>629.72926036628894</v>
          </cell>
          <cell r="G21">
            <v>172.95073757703841</v>
          </cell>
        </row>
        <row r="22">
          <cell r="D22">
            <v>1770.5532828051737</v>
          </cell>
          <cell r="G22">
            <v>2240.2906267360472</v>
          </cell>
        </row>
        <row r="23">
          <cell r="D23">
            <v>290.77760087477321</v>
          </cell>
          <cell r="G23">
            <v>163.12926508503696</v>
          </cell>
        </row>
        <row r="24">
          <cell r="G24">
            <v>43799.684940554551</v>
          </cell>
        </row>
      </sheetData>
      <sheetData sheetId="5">
        <row r="11">
          <cell r="D11">
            <v>5272.0058261838458</v>
          </cell>
        </row>
        <row r="56">
          <cell r="D56">
            <v>6140.1515438553233</v>
          </cell>
        </row>
        <row r="57">
          <cell r="D57">
            <v>3105.488396373255</v>
          </cell>
        </row>
        <row r="58">
          <cell r="D58">
            <v>96.757096602209856</v>
          </cell>
        </row>
        <row r="59">
          <cell r="D59">
            <v>214.00207613737166</v>
          </cell>
        </row>
        <row r="60">
          <cell r="D60">
            <v>1817.0317475335639</v>
          </cell>
        </row>
        <row r="61">
          <cell r="D61">
            <v>118.63953199660276</v>
          </cell>
        </row>
        <row r="62">
          <cell r="D62">
            <v>788.23269521232021</v>
          </cell>
        </row>
        <row r="63">
          <cell r="D63">
            <v>1112.6730453317023</v>
          </cell>
        </row>
        <row r="66">
          <cell r="D66">
            <v>12524.83041537087</v>
          </cell>
        </row>
      </sheetData>
      <sheetData sheetId="6"/>
      <sheetData sheetId="7"/>
      <sheetData sheetId="8"/>
      <sheetData sheetId="9"/>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14">
          <cell r="C14">
            <v>0</v>
          </cell>
          <cell r="D14">
            <v>26.760747700370001</v>
          </cell>
          <cell r="E14">
            <v>0</v>
          </cell>
          <cell r="F14">
            <v>510.69901111001002</v>
          </cell>
          <cell r="G14">
            <v>0</v>
          </cell>
          <cell r="H14">
            <v>1.2500000000000001E-6</v>
          </cell>
          <cell r="I14">
            <v>0</v>
          </cell>
          <cell r="J14">
            <v>0</v>
          </cell>
          <cell r="K14">
            <v>1.39709261E-4</v>
          </cell>
          <cell r="L14">
            <v>-3.9978487000000008E-5</v>
          </cell>
          <cell r="M14">
            <v>0</v>
          </cell>
          <cell r="N14">
            <v>0</v>
          </cell>
          <cell r="O14">
            <v>0</v>
          </cell>
          <cell r="P14">
            <v>4292.4309859924506</v>
          </cell>
        </row>
        <row r="18">
          <cell r="C18">
            <v>118.27965103095775</v>
          </cell>
          <cell r="D18">
            <v>1672.7668753389416</v>
          </cell>
          <cell r="E18">
            <v>3.856059958113528E-2</v>
          </cell>
          <cell r="F18">
            <v>1875.0517802488621</v>
          </cell>
          <cell r="G18">
            <v>9.0000449339939994</v>
          </cell>
          <cell r="H18">
            <v>3.3210384641497339</v>
          </cell>
          <cell r="I18">
            <v>0</v>
          </cell>
          <cell r="J18">
            <v>440.69996403638703</v>
          </cell>
          <cell r="K18">
            <v>8.4804290519893905E-5</v>
          </cell>
          <cell r="L18">
            <v>965.93558134466161</v>
          </cell>
          <cell r="M18">
            <v>2.9721495551941646E-2</v>
          </cell>
          <cell r="N18">
            <v>5532.3394538652656</v>
          </cell>
          <cell r="O18">
            <v>5.0513199564912466E-2</v>
          </cell>
          <cell r="P18">
            <v>14983.791103038155</v>
          </cell>
        </row>
        <row r="22">
          <cell r="E22">
            <v>1.3892246923571561</v>
          </cell>
          <cell r="F22">
            <v>169.4468821037984</v>
          </cell>
          <cell r="G22">
            <v>13.466389594516798</v>
          </cell>
          <cell r="H22">
            <v>666.82273250899595</v>
          </cell>
          <cell r="I22">
            <v>0.17287255968169762</v>
          </cell>
          <cell r="J22">
            <v>63.187294772629407</v>
          </cell>
          <cell r="K22">
            <v>8.1503596647314716</v>
          </cell>
          <cell r="L22">
            <v>13003.573282397414</v>
          </cell>
          <cell r="M22">
            <v>0.17849703990848542</v>
          </cell>
          <cell r="N22">
            <v>2602.1582194036755</v>
          </cell>
          <cell r="O22">
            <v>19.670670660619731</v>
          </cell>
          <cell r="P22">
            <v>9805.7357554637383</v>
          </cell>
        </row>
        <row r="23">
          <cell r="C23">
            <v>1.2972472023077402</v>
          </cell>
          <cell r="D23">
            <v>29.324086958143884</v>
          </cell>
        </row>
        <row r="24">
          <cell r="C24">
            <v>9.4314798350928375E-4</v>
          </cell>
          <cell r="D24">
            <v>129.79355367004999</v>
          </cell>
        </row>
        <row r="25">
          <cell r="C25">
            <v>8.4724160232265309</v>
          </cell>
          <cell r="D25">
            <v>63.265332682614023</v>
          </cell>
        </row>
        <row r="26">
          <cell r="C26">
            <v>89.888601095894742</v>
          </cell>
          <cell r="D26">
            <v>432.17010963616804</v>
          </cell>
        </row>
        <row r="27">
          <cell r="C27">
            <v>16.619484009990764</v>
          </cell>
          <cell r="D27">
            <v>296.19454270130899</v>
          </cell>
        </row>
        <row r="28">
          <cell r="C28">
            <v>85.968123126193632</v>
          </cell>
          <cell r="D28">
            <v>283.40042732347484</v>
          </cell>
        </row>
        <row r="29">
          <cell r="C29">
            <v>8.7784331831013347</v>
          </cell>
          <cell r="D29">
            <v>114.8115838190451</v>
          </cell>
        </row>
        <row r="30">
          <cell r="C30">
            <v>0</v>
          </cell>
          <cell r="D30">
            <v>955.50239801915995</v>
          </cell>
          <cell r="E30">
            <v>0</v>
          </cell>
          <cell r="F30">
            <v>0</v>
          </cell>
          <cell r="G30">
            <v>0</v>
          </cell>
          <cell r="H30">
            <v>0</v>
          </cell>
          <cell r="I30">
            <v>0</v>
          </cell>
          <cell r="J30">
            <v>0</v>
          </cell>
          <cell r="K30">
            <v>0</v>
          </cell>
          <cell r="L30">
            <v>0</v>
          </cell>
          <cell r="M30">
            <v>0</v>
          </cell>
          <cell r="N30">
            <v>3.2744736900000002E-2</v>
          </cell>
          <cell r="O30">
            <v>0</v>
          </cell>
          <cell r="P30">
            <v>0</v>
          </cell>
        </row>
        <row r="31">
          <cell r="C31">
            <v>0</v>
          </cell>
          <cell r="D31">
            <v>197.30444003594397</v>
          </cell>
          <cell r="E31">
            <v>0</v>
          </cell>
          <cell r="F31">
            <v>23.636292963190005</v>
          </cell>
          <cell r="G31">
            <v>0</v>
          </cell>
          <cell r="H31">
            <v>23.235726117939997</v>
          </cell>
          <cell r="I31">
            <v>0</v>
          </cell>
          <cell r="J31">
            <v>3.93364526001</v>
          </cell>
          <cell r="K31">
            <v>0</v>
          </cell>
          <cell r="L31">
            <v>89.810770160412005</v>
          </cell>
          <cell r="M31">
            <v>4.6726E-4</v>
          </cell>
          <cell r="N31">
            <v>29.566857836781999</v>
          </cell>
          <cell r="O31">
            <v>2.143E-4</v>
          </cell>
          <cell r="P31">
            <v>1004.99409418355</v>
          </cell>
        </row>
        <row r="32">
          <cell r="E32"/>
          <cell r="F32"/>
          <cell r="G32"/>
          <cell r="H32"/>
          <cell r="I32"/>
          <cell r="J32"/>
          <cell r="K32"/>
          <cell r="L32"/>
          <cell r="M32"/>
          <cell r="N32"/>
          <cell r="O32">
            <v>0</v>
          </cell>
          <cell r="P32">
            <v>378.91498425995002</v>
          </cell>
        </row>
        <row r="33">
          <cell r="C33">
            <v>1066.8550560377669</v>
          </cell>
          <cell r="D33">
            <v>4547.9749785059576</v>
          </cell>
          <cell r="E33">
            <v>2.6</v>
          </cell>
          <cell r="F33">
            <v>236.79999999999998</v>
          </cell>
          <cell r="G33">
            <v>0</v>
          </cell>
          <cell r="H33">
            <v>351.36979818995997</v>
          </cell>
          <cell r="I33">
            <v>0</v>
          </cell>
          <cell r="J33">
            <v>260.25024969999998</v>
          </cell>
          <cell r="K33">
            <v>0</v>
          </cell>
          <cell r="L33">
            <v>11975.09829850086</v>
          </cell>
          <cell r="M33">
            <v>0.7</v>
          </cell>
          <cell r="N33">
            <v>8206.5097911910052</v>
          </cell>
          <cell r="O33">
            <v>3.0568380528410004</v>
          </cell>
          <cell r="P33">
            <v>23583.436255109769</v>
          </cell>
        </row>
        <row r="34">
          <cell r="C34">
            <v>100.48326896551727</v>
          </cell>
          <cell r="D34">
            <v>2341.9997722498701</v>
          </cell>
          <cell r="E34">
            <v>0</v>
          </cell>
          <cell r="F34">
            <v>977.53605535000008</v>
          </cell>
          <cell r="G34">
            <v>15.383673474801062</v>
          </cell>
          <cell r="H34">
            <v>10.949883</v>
          </cell>
          <cell r="I34">
            <v>0</v>
          </cell>
          <cell r="J34">
            <v>18.254905399999998</v>
          </cell>
          <cell r="K34">
            <v>0</v>
          </cell>
          <cell r="L34">
            <v>1996.4658017500001</v>
          </cell>
          <cell r="M34">
            <v>0</v>
          </cell>
          <cell r="N34">
            <v>56.154918075740405</v>
          </cell>
          <cell r="O34">
            <v>0</v>
          </cell>
          <cell r="P34">
            <v>2835.4354969049446</v>
          </cell>
        </row>
        <row r="36">
          <cell r="C36">
            <v>87.98960367412424</v>
          </cell>
          <cell r="D36">
            <v>463.07244112955112</v>
          </cell>
          <cell r="E36">
            <v>0</v>
          </cell>
          <cell r="F36">
            <v>464.73839615813631</v>
          </cell>
          <cell r="G36">
            <v>13.311957275477802</v>
          </cell>
          <cell r="H36">
            <v>0</v>
          </cell>
          <cell r="I36">
            <v>0</v>
          </cell>
          <cell r="J36">
            <v>2.6579310916000003E-3</v>
          </cell>
          <cell r="K36">
            <v>0.15624884385500004</v>
          </cell>
          <cell r="L36">
            <v>2521.4139735452541</v>
          </cell>
          <cell r="M36">
            <v>0</v>
          </cell>
          <cell r="N36">
            <v>20.400323842010401</v>
          </cell>
          <cell r="O36">
            <v>0</v>
          </cell>
          <cell r="P36">
            <v>1258.226685981047</v>
          </cell>
        </row>
        <row r="37">
          <cell r="C37">
            <v>321.86601630843404</v>
          </cell>
          <cell r="D37">
            <v>1449.13107973358</v>
          </cell>
          <cell r="E37">
            <v>0</v>
          </cell>
          <cell r="F37">
            <v>0</v>
          </cell>
          <cell r="G37">
            <v>0</v>
          </cell>
          <cell r="H37">
            <v>0</v>
          </cell>
          <cell r="I37">
            <v>0</v>
          </cell>
          <cell r="J37">
            <v>0.1</v>
          </cell>
          <cell r="K37">
            <v>4.6332280344999997E-2</v>
          </cell>
          <cell r="L37">
            <v>38.626879361617</v>
          </cell>
          <cell r="M37">
            <v>0.50002493387199998</v>
          </cell>
          <cell r="N37">
            <v>97.83459092134899</v>
          </cell>
          <cell r="O37">
            <v>11.852603919043229</v>
          </cell>
          <cell r="P37">
            <v>346.64415775700934</v>
          </cell>
        </row>
        <row r="38">
          <cell r="C38">
            <v>1906.4988438054984</v>
          </cell>
          <cell r="D38">
            <v>13003.472369504179</v>
          </cell>
          <cell r="E38">
            <v>4.0277852919382919</v>
          </cell>
          <cell r="F38">
            <v>4257.908417933997</v>
          </cell>
          <cell r="G38">
            <v>51.162065278789662</v>
          </cell>
          <cell r="H38">
            <v>1055.6991795310457</v>
          </cell>
          <cell r="I38">
            <v>0.17287255968169762</v>
          </cell>
          <cell r="J38">
            <v>786.42871710011798</v>
          </cell>
          <cell r="K38">
            <v>8.3531653024829922</v>
          </cell>
          <cell r="L38">
            <v>30590.924547081733</v>
          </cell>
          <cell r="M38">
            <v>1.408710729332427</v>
          </cell>
          <cell r="N38">
            <v>16544.996899872731</v>
          </cell>
          <cell r="O38">
            <v>34.630840132068869</v>
          </cell>
          <cell r="P38">
            <v>58489.609518690617</v>
          </cell>
          <cell r="Q38">
            <v>126735.29393281421</v>
          </cell>
        </row>
        <row r="40">
          <cell r="Q40">
            <v>24533.4078860019</v>
          </cell>
        </row>
        <row r="68">
          <cell r="C68">
            <v>7.9733376830666574</v>
          </cell>
          <cell r="D68">
            <v>6.9463936299999993</v>
          </cell>
        </row>
        <row r="69">
          <cell r="C69">
            <v>50.726861061021218</v>
          </cell>
          <cell r="D69">
            <v>-5.0000000000000002E-11</v>
          </cell>
          <cell r="E69">
            <v>0</v>
          </cell>
          <cell r="F69">
            <v>0</v>
          </cell>
          <cell r="G69">
            <v>0</v>
          </cell>
          <cell r="H69">
            <v>0</v>
          </cell>
          <cell r="I69">
            <v>0</v>
          </cell>
          <cell r="J69">
            <v>0</v>
          </cell>
          <cell r="K69">
            <v>0</v>
          </cell>
          <cell r="L69">
            <v>-2.9833683E-4</v>
          </cell>
          <cell r="M69">
            <v>0</v>
          </cell>
          <cell r="N69">
            <v>0</v>
          </cell>
          <cell r="O69">
            <v>0</v>
          </cell>
          <cell r="P69">
            <v>0</v>
          </cell>
        </row>
        <row r="72">
          <cell r="C72">
            <v>133.0838082791027</v>
          </cell>
          <cell r="D72">
            <v>3949.1640106429331</v>
          </cell>
          <cell r="E72">
            <v>8.7337840848806358E-2</v>
          </cell>
          <cell r="F72">
            <v>1029.5441809535976</v>
          </cell>
          <cell r="G72">
            <v>3.9787798408488063E-5</v>
          </cell>
          <cell r="H72">
            <v>521.26115629009314</v>
          </cell>
          <cell r="I72">
            <v>0</v>
          </cell>
          <cell r="J72">
            <v>2542.2190213522699</v>
          </cell>
          <cell r="K72">
            <v>0.34957789655172417</v>
          </cell>
          <cell r="L72">
            <v>2977.9311397643296</v>
          </cell>
          <cell r="M72">
            <v>1.5835677206896551E-5</v>
          </cell>
          <cell r="N72">
            <v>2305.2238646749743</v>
          </cell>
          <cell r="O72">
            <v>0.23732361054063661</v>
          </cell>
          <cell r="P72">
            <v>8008.4764469224356</v>
          </cell>
        </row>
        <row r="76">
          <cell r="E76">
            <v>0</v>
          </cell>
          <cell r="F76">
            <v>437.690544724473</v>
          </cell>
          <cell r="G76">
            <v>0</v>
          </cell>
          <cell r="H76">
            <v>1995.3358845276891</v>
          </cell>
          <cell r="I76">
            <v>0</v>
          </cell>
          <cell r="J76">
            <v>711.88245129367897</v>
          </cell>
          <cell r="K76">
            <v>0</v>
          </cell>
          <cell r="L76">
            <v>2688.5831151992984</v>
          </cell>
          <cell r="M76">
            <v>0</v>
          </cell>
          <cell r="N76">
            <v>5230.7206517286195</v>
          </cell>
          <cell r="O76">
            <v>2.7E-11</v>
          </cell>
          <cell r="P76">
            <v>20997.925062541595</v>
          </cell>
        </row>
        <row r="77">
          <cell r="C77">
            <v>108.76615458400001</v>
          </cell>
          <cell r="D77">
            <v>1051.0374644635001</v>
          </cell>
        </row>
        <row r="78">
          <cell r="C78">
            <v>0</v>
          </cell>
          <cell r="D78">
            <v>0</v>
          </cell>
        </row>
        <row r="79">
          <cell r="C79">
            <v>-1.5650000000000001E-9</v>
          </cell>
          <cell r="D79">
            <v>551.24270993586902</v>
          </cell>
        </row>
        <row r="80">
          <cell r="C80">
            <v>1.2850148489000001E-2</v>
          </cell>
          <cell r="D80">
            <v>2298.3855561809878</v>
          </cell>
        </row>
        <row r="81">
          <cell r="C81">
            <v>20.427442775102001</v>
          </cell>
          <cell r="D81">
            <v>1102.238474818221</v>
          </cell>
        </row>
        <row r="82">
          <cell r="C82">
            <v>7.6236022949182232</v>
          </cell>
          <cell r="D82">
            <v>89.344129346076002</v>
          </cell>
        </row>
        <row r="83">
          <cell r="C83">
            <v>0</v>
          </cell>
          <cell r="D83">
            <v>1.5</v>
          </cell>
        </row>
        <row r="84">
          <cell r="E84">
            <v>2.6525199999999998E-3</v>
          </cell>
          <cell r="F84">
            <v>594.76281939170417</v>
          </cell>
          <cell r="G84">
            <v>0</v>
          </cell>
          <cell r="H84">
            <v>848.13204824199931</v>
          </cell>
          <cell r="I84">
            <v>0</v>
          </cell>
          <cell r="J84">
            <v>222.40992679537061</v>
          </cell>
          <cell r="K84">
            <v>0</v>
          </cell>
          <cell r="L84">
            <v>3279.264978566207</v>
          </cell>
          <cell r="M84">
            <v>0</v>
          </cell>
          <cell r="N84">
            <v>1355.5728968182109</v>
          </cell>
          <cell r="O84">
            <v>0</v>
          </cell>
          <cell r="P84">
            <v>13432.313516041126</v>
          </cell>
        </row>
        <row r="86">
          <cell r="C86">
            <v>319.1817982044995</v>
          </cell>
          <cell r="D86">
            <v>2299.0386033266668</v>
          </cell>
        </row>
        <row r="89">
          <cell r="C89">
            <v>0</v>
          </cell>
          <cell r="D89">
            <v>1313.0516295712689</v>
          </cell>
        </row>
        <row r="92">
          <cell r="C92">
            <v>482.32561846466626</v>
          </cell>
          <cell r="D92">
            <v>587.83227224380028</v>
          </cell>
        </row>
        <row r="93">
          <cell r="C93">
            <v>1.2403E-3</v>
          </cell>
          <cell r="D93">
            <v>465.08618833481199</v>
          </cell>
          <cell r="E93">
            <v>0</v>
          </cell>
          <cell r="F93">
            <v>7.5900753098700013</v>
          </cell>
          <cell r="G93">
            <v>0</v>
          </cell>
          <cell r="H93">
            <v>1.0697424290500002</v>
          </cell>
          <cell r="I93">
            <v>0</v>
          </cell>
          <cell r="J93">
            <v>8.0475205099300009</v>
          </cell>
          <cell r="K93">
            <v>0</v>
          </cell>
          <cell r="L93">
            <v>451.95793828082196</v>
          </cell>
          <cell r="M93">
            <v>0</v>
          </cell>
          <cell r="N93">
            <v>12.156550399852</v>
          </cell>
          <cell r="O93">
            <v>0</v>
          </cell>
          <cell r="P93">
            <v>571.40291895753717</v>
          </cell>
        </row>
        <row r="94">
          <cell r="E94"/>
          <cell r="F94"/>
          <cell r="G94"/>
          <cell r="H94"/>
          <cell r="I94"/>
          <cell r="J94"/>
          <cell r="K94"/>
          <cell r="L94"/>
          <cell r="M94"/>
          <cell r="N94"/>
          <cell r="O94">
            <v>0</v>
          </cell>
          <cell r="P94">
            <v>383.39759445025703</v>
          </cell>
        </row>
        <row r="95">
          <cell r="C95">
            <v>573.20697974642746</v>
          </cell>
          <cell r="D95">
            <v>4697.1361400983842</v>
          </cell>
          <cell r="E95">
            <v>0.1</v>
          </cell>
          <cell r="F95">
            <v>51.944107769999995</v>
          </cell>
          <cell r="G95">
            <v>0</v>
          </cell>
          <cell r="H95">
            <v>159.313271570506</v>
          </cell>
          <cell r="I95">
            <v>0</v>
          </cell>
          <cell r="J95">
            <v>3</v>
          </cell>
          <cell r="K95">
            <v>0</v>
          </cell>
          <cell r="L95">
            <v>6649.2410319463197</v>
          </cell>
          <cell r="M95">
            <v>0.2</v>
          </cell>
          <cell r="N95">
            <v>1806.7152935643053</v>
          </cell>
          <cell r="O95">
            <v>87.362175591999986</v>
          </cell>
          <cell r="P95">
            <v>22613.356689521588</v>
          </cell>
        </row>
        <row r="96">
          <cell r="C96">
            <v>81.825119475344906</v>
          </cell>
          <cell r="D96">
            <v>76.369295360883754</v>
          </cell>
        </row>
        <row r="97">
          <cell r="C97">
            <v>664.07880882090842</v>
          </cell>
          <cell r="D97">
            <v>1661.8379244317175</v>
          </cell>
          <cell r="E97">
            <v>2.8141865915119364E-2</v>
          </cell>
          <cell r="F97">
            <v>60.5545625298939</v>
          </cell>
          <cell r="G97">
            <v>0.67525532891246687</v>
          </cell>
          <cell r="H97">
            <v>7.5599092705259281</v>
          </cell>
          <cell r="I97">
            <v>3.393766578249337E-4</v>
          </cell>
          <cell r="J97">
            <v>3.2267652600000001</v>
          </cell>
          <cell r="K97">
            <v>0.33916190622598141</v>
          </cell>
          <cell r="L97">
            <v>97.866919358812112</v>
          </cell>
          <cell r="M97">
            <v>0.87398079045092836</v>
          </cell>
          <cell r="N97">
            <v>236.88919695960601</v>
          </cell>
          <cell r="O97">
            <v>9.0248400557029179E-2</v>
          </cell>
          <cell r="P97">
            <v>1740.9055398398659</v>
          </cell>
        </row>
        <row r="98">
          <cell r="C98">
            <v>2449.2336218359815</v>
          </cell>
          <cell r="D98">
            <v>20150.210792385071</v>
          </cell>
          <cell r="E98">
            <v>0.21813222676392574</v>
          </cell>
          <cell r="F98">
            <v>2182.0862906795383</v>
          </cell>
          <cell r="G98">
            <v>0.67529511671087539</v>
          </cell>
          <cell r="H98">
            <v>3532.6720123298637</v>
          </cell>
          <cell r="I98">
            <v>3.393766578249337E-4</v>
          </cell>
          <cell r="J98">
            <v>3490.7856852112495</v>
          </cell>
          <cell r="K98">
            <v>0.68873980277770563</v>
          </cell>
          <cell r="L98">
            <v>16144.844824778958</v>
          </cell>
          <cell r="M98">
            <v>1.0739966261281353</v>
          </cell>
          <cell r="N98">
            <v>10947.278454145568</v>
          </cell>
          <cell r="O98">
            <v>87.689747603124658</v>
          </cell>
          <cell r="P98">
            <v>67747.777768274405</v>
          </cell>
          <cell r="Q98">
            <v>126735.2357003928</v>
          </cell>
        </row>
        <row r="100">
          <cell r="Q100">
            <v>24920.111571128051</v>
          </cell>
        </row>
      </sheetData>
      <sheetData sheetId="1"/>
      <sheetData sheetId="2">
        <row r="15">
          <cell r="AX15">
            <v>31920.541138918728</v>
          </cell>
        </row>
        <row r="69">
          <cell r="AX69">
            <v>7617.3546598580315</v>
          </cell>
        </row>
        <row r="86">
          <cell r="AX86">
            <v>0</v>
          </cell>
        </row>
        <row r="90">
          <cell r="AX90">
            <v>6.96</v>
          </cell>
        </row>
        <row r="105">
          <cell r="AX105">
            <v>0</v>
          </cell>
        </row>
        <row r="118">
          <cell r="AX118">
            <v>0</v>
          </cell>
        </row>
        <row r="120">
          <cell r="AX120">
            <v>8.0800179905200012E-2</v>
          </cell>
        </row>
        <row r="122">
          <cell r="AX122">
            <v>341.7158386699324</v>
          </cell>
        </row>
        <row r="130">
          <cell r="AX130">
            <v>1221.1355503938425</v>
          </cell>
        </row>
        <row r="141">
          <cell r="AX141">
            <v>774.5033784428532</v>
          </cell>
        </row>
        <row r="170">
          <cell r="AX170">
            <v>0.86</v>
          </cell>
        </row>
        <row r="186">
          <cell r="AX186">
            <v>14909.927342143097</v>
          </cell>
        </row>
        <row r="187">
          <cell r="AX187">
            <v>352.19334665899999</v>
          </cell>
        </row>
        <row r="188">
          <cell r="AX188">
            <v>43.309964470010001</v>
          </cell>
        </row>
        <row r="189">
          <cell r="AX189">
            <v>4262.077203184278</v>
          </cell>
        </row>
        <row r="190">
          <cell r="AX190">
            <v>1106.8369434861945</v>
          </cell>
        </row>
        <row r="191">
          <cell r="AX191">
            <v>786.58962828841811</v>
          </cell>
        </row>
        <row r="192">
          <cell r="AX192">
            <v>30599.237037039384</v>
          </cell>
        </row>
        <row r="193">
          <cell r="AX193">
            <v>16546.407310174822</v>
          </cell>
        </row>
        <row r="199">
          <cell r="AX199">
            <v>4111.7328029474565</v>
          </cell>
        </row>
        <row r="200">
          <cell r="AX200">
            <v>218.6321813393514</v>
          </cell>
        </row>
        <row r="201">
          <cell r="AX201">
            <v>71.554330296866397</v>
          </cell>
        </row>
        <row r="202">
          <cell r="AX202">
            <v>356.46100702970824</v>
          </cell>
        </row>
        <row r="203">
          <cell r="AX203">
            <v>15.874872610380699</v>
          </cell>
        </row>
        <row r="204">
          <cell r="AX204">
            <v>8135.9619283967122</v>
          </cell>
        </row>
        <row r="229">
          <cell r="AX229">
            <v>2568.4484724986842</v>
          </cell>
        </row>
      </sheetData>
      <sheetData sheetId="3">
        <row r="15">
          <cell r="AH15">
            <v>35045.916056409507</v>
          </cell>
        </row>
        <row r="69">
          <cell r="AH69">
            <v>4669.4366283494146</v>
          </cell>
        </row>
        <row r="86">
          <cell r="AH86">
            <v>0</v>
          </cell>
        </row>
        <row r="90">
          <cell r="AH90">
            <v>0</v>
          </cell>
        </row>
        <row r="105">
          <cell r="AH105">
            <v>0</v>
          </cell>
        </row>
        <row r="118">
          <cell r="AH118">
            <v>0</v>
          </cell>
        </row>
        <row r="120">
          <cell r="AH120">
            <v>0</v>
          </cell>
        </row>
        <row r="122">
          <cell r="AH122">
            <v>123.27289382111404</v>
          </cell>
        </row>
        <row r="130">
          <cell r="AH130">
            <v>6482.1759042602007</v>
          </cell>
        </row>
        <row r="141">
          <cell r="AH141">
            <v>5625.2931172984072</v>
          </cell>
        </row>
        <row r="170">
          <cell r="AH170">
            <v>971.94058726700018</v>
          </cell>
        </row>
        <row r="186">
          <cell r="AH186">
            <v>22599.580342997906</v>
          </cell>
        </row>
        <row r="187">
          <cell r="AH187">
            <v>0</v>
          </cell>
        </row>
        <row r="188">
          <cell r="AH188">
            <v>210.13379940000002</v>
          </cell>
        </row>
        <row r="189">
          <cell r="AH189">
            <v>2182.3120610450705</v>
          </cell>
        </row>
        <row r="190">
          <cell r="AH190">
            <v>3533.3367488126482</v>
          </cell>
        </row>
        <row r="191">
          <cell r="AH191">
            <v>3490.8028931005401</v>
          </cell>
        </row>
        <row r="192">
          <cell r="AH192">
            <v>16145.555970289486</v>
          </cell>
        </row>
        <row r="193">
          <cell r="AH193">
            <v>10948.315621581361</v>
          </cell>
        </row>
        <row r="199">
          <cell r="AH199">
            <v>3163.8695159629428</v>
          </cell>
        </row>
        <row r="200">
          <cell r="AH200">
            <v>29.467044999999999</v>
          </cell>
        </row>
        <row r="201">
          <cell r="AH201">
            <v>0</v>
          </cell>
        </row>
        <row r="202">
          <cell r="AH202">
            <v>90.974771662519885</v>
          </cell>
        </row>
        <row r="203">
          <cell r="AH203">
            <v>0</v>
          </cell>
        </row>
        <row r="204">
          <cell r="AH204">
            <v>7630.8543064522955</v>
          </cell>
        </row>
        <row r="229">
          <cell r="AH229">
            <v>1494.3270333265491</v>
          </cell>
        </row>
        <row r="272">
          <cell r="AH272">
            <v>126735.39045027259</v>
          </cell>
        </row>
      </sheetData>
      <sheetData sheetId="4">
        <row r="14">
          <cell r="D14">
            <v>2006.2838790019021</v>
          </cell>
          <cell r="G14">
            <v>2539.5610531439338</v>
          </cell>
        </row>
        <row r="16">
          <cell r="D16">
            <v>92809.044338787469</v>
          </cell>
          <cell r="G16">
            <v>92724.372033517284</v>
          </cell>
        </row>
        <row r="17">
          <cell r="D17">
            <v>2025.0357649323701</v>
          </cell>
          <cell r="G17">
            <v>1876.9633693557914</v>
          </cell>
        </row>
        <row r="18">
          <cell r="D18">
            <v>175.50199066953678</v>
          </cell>
          <cell r="G18">
            <v>188.02551672591403</v>
          </cell>
        </row>
        <row r="19">
          <cell r="D19">
            <v>163.76935134921553</v>
          </cell>
          <cell r="G19">
            <v>591.5299247695184</v>
          </cell>
        </row>
        <row r="20">
          <cell r="D20">
            <v>11230.476901787966</v>
          </cell>
          <cell r="G20">
            <v>12157.681385341397</v>
          </cell>
        </row>
        <row r="21">
          <cell r="D21">
            <v>13958.374006840644</v>
          </cell>
          <cell r="G21">
            <v>9168.3451430695131</v>
          </cell>
        </row>
        <row r="22">
          <cell r="D22">
            <v>1604.4921411479947</v>
          </cell>
          <cell r="G22">
            <v>1439.9959965240132</v>
          </cell>
        </row>
        <row r="23">
          <cell r="D23">
            <v>2762.2656104845523</v>
          </cell>
          <cell r="G23">
            <v>6048.8180063411628</v>
          </cell>
        </row>
        <row r="24">
          <cell r="G24">
            <v>126735.29242878853</v>
          </cell>
        </row>
      </sheetData>
      <sheetData sheetId="5"/>
      <sheetData sheetId="6"/>
      <sheetData sheetId="7"/>
      <sheetData sheetId="8"/>
      <sheetData sheetId="9"/>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
      <sheetName val="4"/>
      <sheetName val="5"/>
      <sheetName val="6"/>
      <sheetName val="7"/>
    </sheetNames>
    <sheetDataSet>
      <sheetData sheetId="0">
        <row r="40">
          <cell r="I40">
            <v>0</v>
          </cell>
        </row>
        <row r="41">
          <cell r="I41">
            <v>241.86845699844682</v>
          </cell>
        </row>
        <row r="42">
          <cell r="I42">
            <v>258.18886595744681</v>
          </cell>
        </row>
        <row r="100">
          <cell r="I100">
            <v>0</v>
          </cell>
        </row>
        <row r="101">
          <cell r="I101">
            <v>261.54930806227662</v>
          </cell>
        </row>
        <row r="102">
          <cell r="I102">
            <v>259.65163191489358</v>
          </cell>
        </row>
      </sheetData>
      <sheetData sheetId="1"/>
      <sheetData sheetId="2"/>
      <sheetData sheetId="3"/>
      <sheetData sheetId="4"/>
      <sheetData sheetId="5"/>
      <sheetData sheetId="6"/>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
      <sheetName val="4"/>
      <sheetName val="5"/>
      <sheetName val="6"/>
      <sheetName val="7"/>
    </sheetNames>
    <sheetDataSet>
      <sheetData sheetId="0">
        <row r="40">
          <cell r="I40">
            <v>11.646916386148936</v>
          </cell>
        </row>
        <row r="41">
          <cell r="I41">
            <v>463.99196857314809</v>
          </cell>
        </row>
        <row r="42">
          <cell r="I42">
            <v>251.05694147604257</v>
          </cell>
        </row>
        <row r="100">
          <cell r="I100">
            <v>11.710340306361703</v>
          </cell>
        </row>
        <row r="101">
          <cell r="I101">
            <v>463.4812331328298</v>
          </cell>
        </row>
        <row r="102">
          <cell r="I102">
            <v>251.05694147338298</v>
          </cell>
        </row>
      </sheetData>
      <sheetData sheetId="1"/>
      <sheetData sheetId="2"/>
      <sheetData sheetId="3"/>
      <sheetData sheetId="4"/>
      <sheetData sheetId="5"/>
      <sheetData sheetId="6"/>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
      <sheetName val="4"/>
      <sheetName val="5"/>
      <sheetName val="6"/>
      <sheetName val="7"/>
    </sheetNames>
    <sheetDataSet>
      <sheetData sheetId="0">
        <row r="40">
          <cell r="I40">
            <v>1.402041005319149</v>
          </cell>
        </row>
        <row r="41">
          <cell r="I41">
            <v>615.72387021832265</v>
          </cell>
        </row>
        <row r="42">
          <cell r="I42">
            <v>246.809696037234</v>
          </cell>
        </row>
        <row r="100">
          <cell r="I100">
            <v>1.4883508670212762</v>
          </cell>
        </row>
        <row r="101">
          <cell r="I101">
            <v>200.09438605410637</v>
          </cell>
        </row>
        <row r="102">
          <cell r="I102">
            <v>246.809696037234</v>
          </cell>
        </row>
      </sheetData>
      <sheetData sheetId="1"/>
      <sheetData sheetId="2"/>
      <sheetData sheetId="3"/>
      <sheetData sheetId="4"/>
      <sheetData sheetId="5"/>
      <sheetData sheetId="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
      <sheetName val="4"/>
      <sheetName val="5"/>
      <sheetName val="6"/>
      <sheetName val="7"/>
    </sheetNames>
    <sheetDataSet>
      <sheetData sheetId="0">
        <row r="40">
          <cell r="I40">
            <v>1.8361403377659575</v>
          </cell>
        </row>
        <row r="41">
          <cell r="I41">
            <v>631.41285192304258</v>
          </cell>
        </row>
        <row r="42">
          <cell r="I42">
            <v>126.45241332912767</v>
          </cell>
        </row>
        <row r="100">
          <cell r="I100">
            <v>1.7360744361702127</v>
          </cell>
        </row>
        <row r="101">
          <cell r="I101">
            <v>184.6043412927234</v>
          </cell>
        </row>
        <row r="102">
          <cell r="I102">
            <v>126.45241332912765</v>
          </cell>
        </row>
      </sheetData>
      <sheetData sheetId="1"/>
      <sheetData sheetId="2"/>
      <sheetData sheetId="3"/>
      <sheetData sheetId="4"/>
      <sheetData sheetId="5"/>
      <sheetData sheetId="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
      <sheetName val="4"/>
      <sheetName val="5"/>
      <sheetName val="6"/>
      <sheetName val="7"/>
    </sheetNames>
    <sheetDataSet>
      <sheetData sheetId="0">
        <row r="40">
          <cell r="I40">
            <v>0</v>
          </cell>
        </row>
        <row r="41">
          <cell r="I41">
            <v>572.91422023144492</v>
          </cell>
        </row>
        <row r="42">
          <cell r="I42">
            <v>247.00670429085105</v>
          </cell>
        </row>
        <row r="100">
          <cell r="I100">
            <v>0</v>
          </cell>
        </row>
        <row r="101">
          <cell r="I101">
            <v>180.55228289280853</v>
          </cell>
        </row>
        <row r="102">
          <cell r="I102">
            <v>247.00670429085105</v>
          </cell>
        </row>
      </sheetData>
      <sheetData sheetId="1"/>
      <sheetData sheetId="2"/>
      <sheetData sheetId="3"/>
      <sheetData sheetId="4"/>
      <sheetData sheetId="5"/>
      <sheetData sheetId="6"/>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
      <sheetName val="4"/>
      <sheetName val="5"/>
      <sheetName val="6"/>
      <sheetName val="7"/>
    </sheetNames>
    <sheetDataSet>
      <sheetData sheetId="0">
        <row r="40">
          <cell r="I40">
            <v>0</v>
          </cell>
        </row>
        <row r="41">
          <cell r="I41">
            <v>553.17362144716492</v>
          </cell>
        </row>
        <row r="42">
          <cell r="I42">
            <v>86.87280490163829</v>
          </cell>
        </row>
        <row r="100">
          <cell r="I100">
            <v>0</v>
          </cell>
        </row>
        <row r="101">
          <cell r="I101">
            <v>169.48573945229788</v>
          </cell>
        </row>
        <row r="102">
          <cell r="I102">
            <v>86.87280490163829</v>
          </cell>
        </row>
      </sheetData>
      <sheetData sheetId="1"/>
      <sheetData sheetId="2"/>
      <sheetData sheetId="3"/>
      <sheetData sheetId="4"/>
      <sheetData sheetId="5"/>
      <sheetData sheetId="6"/>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14">
          <cell r="C14">
            <v>9.1855798005319134</v>
          </cell>
          <cell r="D14">
            <v>0</v>
          </cell>
          <cell r="E14">
            <v>0</v>
          </cell>
          <cell r="F14">
            <v>0</v>
          </cell>
          <cell r="G14">
            <v>0</v>
          </cell>
          <cell r="H14">
            <v>0</v>
          </cell>
          <cell r="I14">
            <v>0</v>
          </cell>
          <cell r="J14">
            <v>0</v>
          </cell>
          <cell r="K14">
            <v>0</v>
          </cell>
          <cell r="L14">
            <v>0</v>
          </cell>
          <cell r="M14">
            <v>0</v>
          </cell>
          <cell r="N14">
            <v>0</v>
          </cell>
          <cell r="O14">
            <v>605.64888182446805</v>
          </cell>
          <cell r="P14">
            <v>280.16792856280335</v>
          </cell>
        </row>
        <row r="18">
          <cell r="C18">
            <v>290.58274365957448</v>
          </cell>
          <cell r="D18">
            <v>2363.6761159187431</v>
          </cell>
          <cell r="E18">
            <v>1.2407614441489363</v>
          </cell>
          <cell r="F18">
            <v>1182.6819194712946</v>
          </cell>
          <cell r="G18">
            <v>57.929407444148929</v>
          </cell>
          <cell r="H18">
            <v>37.299686541254488</v>
          </cell>
          <cell r="I18">
            <v>0.56200921808510595</v>
          </cell>
          <cell r="J18">
            <v>115.78740827479662</v>
          </cell>
          <cell r="K18">
            <v>8.5070420638297879</v>
          </cell>
          <cell r="L18">
            <v>2866.1304336143617</v>
          </cell>
          <cell r="M18">
            <v>107.55488189361701</v>
          </cell>
          <cell r="N18">
            <v>4373.7133612804673</v>
          </cell>
          <cell r="O18">
            <v>20.150964454787236</v>
          </cell>
          <cell r="P18">
            <v>7688.6260664145302</v>
          </cell>
        </row>
        <row r="22">
          <cell r="E22">
            <v>104.48282086436173</v>
          </cell>
          <cell r="F22">
            <v>407.85218097297951</v>
          </cell>
          <cell r="G22">
            <v>62.853652609042555</v>
          </cell>
          <cell r="H22">
            <v>342.92779582631465</v>
          </cell>
          <cell r="I22">
            <v>18.533796186170211</v>
          </cell>
          <cell r="J22">
            <v>25.160539545106076</v>
          </cell>
          <cell r="K22">
            <v>71.488088931829907</v>
          </cell>
          <cell r="L22">
            <v>2263.7603243024369</v>
          </cell>
          <cell r="M22">
            <v>131.21308567819148</v>
          </cell>
          <cell r="N22">
            <v>1072.3148457459693</v>
          </cell>
          <cell r="O22">
            <v>161.69862753191492</v>
          </cell>
          <cell r="P22">
            <v>2435.0298942094973</v>
          </cell>
        </row>
        <row r="23">
          <cell r="C23">
            <v>1070.0470225678732</v>
          </cell>
          <cell r="D23">
            <v>112.17217823295213</v>
          </cell>
        </row>
        <row r="24">
          <cell r="C24">
            <v>167.79951264308514</v>
          </cell>
          <cell r="D24">
            <v>55.278903335345746</v>
          </cell>
        </row>
        <row r="25">
          <cell r="C25">
            <v>350.78897551063852</v>
          </cell>
          <cell r="D25">
            <v>359.3997931737934</v>
          </cell>
        </row>
        <row r="26">
          <cell r="C26">
            <v>765.43293421010662</v>
          </cell>
          <cell r="D26">
            <v>743.03277466952943</v>
          </cell>
        </row>
        <row r="27">
          <cell r="C27">
            <v>3758.4136529968055</v>
          </cell>
          <cell r="D27">
            <v>1595.5124619302862</v>
          </cell>
        </row>
        <row r="28">
          <cell r="C28">
            <v>10503.89331858635</v>
          </cell>
          <cell r="D28">
            <v>1340.1500788898863</v>
          </cell>
        </row>
        <row r="29">
          <cell r="C29">
            <v>564.22867877784574</v>
          </cell>
          <cell r="D29">
            <v>32.943993893761359</v>
          </cell>
        </row>
        <row r="30">
          <cell r="C30">
            <v>0</v>
          </cell>
          <cell r="D30">
            <v>442</v>
          </cell>
          <cell r="E30">
            <v>0</v>
          </cell>
          <cell r="F30">
            <v>0</v>
          </cell>
          <cell r="G30">
            <v>0</v>
          </cell>
          <cell r="H30">
            <v>0</v>
          </cell>
          <cell r="I30">
            <v>0</v>
          </cell>
          <cell r="J30">
            <v>0</v>
          </cell>
          <cell r="K30">
            <v>0</v>
          </cell>
          <cell r="L30">
            <v>0</v>
          </cell>
          <cell r="M30">
            <v>0</v>
          </cell>
          <cell r="N30">
            <v>0</v>
          </cell>
          <cell r="O30">
            <v>0</v>
          </cell>
          <cell r="P30">
            <v>583.552779155851</v>
          </cell>
        </row>
        <row r="31">
          <cell r="C31">
            <v>0</v>
          </cell>
          <cell r="D31">
            <v>42.075091506779358</v>
          </cell>
          <cell r="E31">
            <v>0</v>
          </cell>
          <cell r="F31">
            <v>2.4838980088829778</v>
          </cell>
          <cell r="G31">
            <v>0</v>
          </cell>
          <cell r="H31">
            <v>1.0808054379255321</v>
          </cell>
          <cell r="I31">
            <v>0</v>
          </cell>
          <cell r="J31">
            <v>0</v>
          </cell>
          <cell r="K31">
            <v>0</v>
          </cell>
          <cell r="L31">
            <v>0.32605367385638301</v>
          </cell>
          <cell r="M31">
            <v>0</v>
          </cell>
          <cell r="N31">
            <v>65.181932785686854</v>
          </cell>
          <cell r="O31">
            <v>0</v>
          </cell>
          <cell r="P31">
            <v>143.8469478360077</v>
          </cell>
        </row>
        <row r="32">
          <cell r="E32"/>
          <cell r="F32"/>
          <cell r="G32"/>
          <cell r="H32"/>
          <cell r="I32"/>
          <cell r="J32"/>
          <cell r="K32"/>
          <cell r="L32"/>
          <cell r="M32"/>
          <cell r="N32"/>
          <cell r="O32">
            <v>0</v>
          </cell>
          <cell r="P32">
            <v>0</v>
          </cell>
        </row>
        <row r="33">
          <cell r="C33">
            <v>20.354398663021279</v>
          </cell>
          <cell r="D33">
            <v>2633.6076223899572</v>
          </cell>
          <cell r="E33">
            <v>0</v>
          </cell>
          <cell r="F33">
            <v>0</v>
          </cell>
          <cell r="G33">
            <v>0</v>
          </cell>
          <cell r="H33">
            <v>0</v>
          </cell>
          <cell r="I33">
            <v>0</v>
          </cell>
          <cell r="J33">
            <v>0</v>
          </cell>
          <cell r="K33">
            <v>0</v>
          </cell>
          <cell r="L33">
            <v>0</v>
          </cell>
          <cell r="M33">
            <v>0</v>
          </cell>
          <cell r="N33">
            <v>1.66213049867374</v>
          </cell>
          <cell r="O33">
            <v>5.3255570000000002E-2</v>
          </cell>
          <cell r="P33">
            <v>1024.0409006896045</v>
          </cell>
        </row>
        <row r="34">
          <cell r="C34">
            <v>1331.1799210133265</v>
          </cell>
          <cell r="D34">
            <v>1577.3840142154813</v>
          </cell>
          <cell r="E34">
            <v>24.468085106382976</v>
          </cell>
          <cell r="F34">
            <v>2809.1547717194144</v>
          </cell>
          <cell r="G34">
            <v>0</v>
          </cell>
          <cell r="H34">
            <v>0</v>
          </cell>
          <cell r="I34">
            <v>0.26595744680851063</v>
          </cell>
          <cell r="J34">
            <v>0</v>
          </cell>
          <cell r="K34">
            <v>0.53191489361702127</v>
          </cell>
          <cell r="L34">
            <v>14.759718749999999</v>
          </cell>
          <cell r="M34">
            <v>7.7513643617021275</v>
          </cell>
          <cell r="N34">
            <v>14.759718749999999</v>
          </cell>
          <cell r="O34">
            <v>0</v>
          </cell>
          <cell r="P34">
            <v>10</v>
          </cell>
        </row>
        <row r="36">
          <cell r="C36">
            <v>506.90261376038757</v>
          </cell>
          <cell r="D36">
            <v>72.330046051664169</v>
          </cell>
          <cell r="E36">
            <v>-16.222084821755644</v>
          </cell>
          <cell r="F36">
            <v>2142.864805294123</v>
          </cell>
          <cell r="G36">
            <v>0</v>
          </cell>
          <cell r="H36">
            <v>1.9817102080502287</v>
          </cell>
          <cell r="I36">
            <v>0</v>
          </cell>
          <cell r="J36">
            <v>0.65577800141849896</v>
          </cell>
          <cell r="K36">
            <v>0</v>
          </cell>
          <cell r="L36">
            <v>30.502574739990564</v>
          </cell>
          <cell r="M36">
            <v>0</v>
          </cell>
          <cell r="N36">
            <v>12.191855235357451</v>
          </cell>
          <cell r="O36">
            <v>148.71038318987931</v>
          </cell>
          <cell r="P36">
            <v>725.14226359985582</v>
          </cell>
        </row>
        <row r="37">
          <cell r="C37">
            <v>724.84180371383559</v>
          </cell>
          <cell r="D37">
            <v>764.63322146014275</v>
          </cell>
          <cell r="E37">
            <v>3.7349710106383438E-2</v>
          </cell>
          <cell r="F37">
            <v>3.4270267381989569E-3</v>
          </cell>
          <cell r="G37">
            <v>8.6757978723404252E-5</v>
          </cell>
          <cell r="H37">
            <v>2.5471861702127657E-3</v>
          </cell>
          <cell r="I37">
            <v>0</v>
          </cell>
          <cell r="J37">
            <v>1.1928861968085107E-3</v>
          </cell>
          <cell r="K37">
            <v>5.6095723404255289E-2</v>
          </cell>
          <cell r="L37">
            <v>3.3739494680851061E-3</v>
          </cell>
          <cell r="M37">
            <v>6.6802914893616519E-2</v>
          </cell>
          <cell r="N37">
            <v>0.23031331454787474</v>
          </cell>
          <cell r="O37">
            <v>4.9593547765957462</v>
          </cell>
          <cell r="P37">
            <v>74.016282728103533</v>
          </cell>
        </row>
        <row r="38">
          <cell r="C38">
            <v>20063.651155903379</v>
          </cell>
          <cell r="D38">
            <v>12134.196295668322</v>
          </cell>
          <cell r="E38">
            <v>114.00693230324437</v>
          </cell>
          <cell r="F38">
            <v>6545.0410024934326</v>
          </cell>
          <cell r="G38">
            <v>120.78314681117021</v>
          </cell>
          <cell r="H38">
            <v>383.29254519971505</v>
          </cell>
          <cell r="I38">
            <v>19.361762851063826</v>
          </cell>
          <cell r="J38">
            <v>141.60491870751801</v>
          </cell>
          <cell r="K38">
            <v>80.583141612680976</v>
          </cell>
          <cell r="L38">
            <v>5175.4824790301136</v>
          </cell>
          <cell r="M38">
            <v>246.58613484840421</v>
          </cell>
          <cell r="N38">
            <v>5540.0541576107016</v>
          </cell>
          <cell r="O38">
            <v>941.22146734764522</v>
          </cell>
          <cell r="P38">
            <v>12964.423063196253</v>
          </cell>
          <cell r="Q38">
            <v>64470.288203583637</v>
          </cell>
        </row>
        <row r="40">
          <cell r="Q40">
            <v>6596.5204206462759</v>
          </cell>
        </row>
        <row r="41">
          <cell r="Q41">
            <v>746.96909435166378</v>
          </cell>
        </row>
        <row r="42">
          <cell r="Q42">
            <v>417.67424694687912</v>
          </cell>
        </row>
        <row r="68">
          <cell r="C68">
            <v>120.22888135581803</v>
          </cell>
          <cell r="D68">
            <v>36.836907929316489</v>
          </cell>
        </row>
        <row r="69">
          <cell r="C69">
            <v>3145.1959889202126</v>
          </cell>
          <cell r="D69">
            <v>14.414893619680852</v>
          </cell>
          <cell r="E69">
            <v>0</v>
          </cell>
          <cell r="F69">
            <v>1.0638297872340425</v>
          </cell>
          <cell r="G69">
            <v>0</v>
          </cell>
          <cell r="H69">
            <v>0</v>
          </cell>
          <cell r="I69">
            <v>0</v>
          </cell>
          <cell r="J69">
            <v>0</v>
          </cell>
          <cell r="K69">
            <v>0</v>
          </cell>
          <cell r="L69">
            <v>2.6595744680851063</v>
          </cell>
          <cell r="M69">
            <v>0</v>
          </cell>
          <cell r="N69">
            <v>1.0638297872340425</v>
          </cell>
          <cell r="O69">
            <v>0</v>
          </cell>
          <cell r="P69">
            <v>17.287234042553191</v>
          </cell>
        </row>
        <row r="72">
          <cell r="C72">
            <v>1764.9470516558501</v>
          </cell>
          <cell r="D72">
            <v>1095.266286862852</v>
          </cell>
          <cell r="E72">
            <v>0</v>
          </cell>
          <cell r="F72">
            <v>136.85608313391302</v>
          </cell>
          <cell r="G72">
            <v>-1.1339122340425533E-3</v>
          </cell>
          <cell r="H72">
            <v>3.6291511766786404</v>
          </cell>
          <cell r="I72">
            <v>0</v>
          </cell>
          <cell r="J72">
            <v>25.168307935220362</v>
          </cell>
          <cell r="K72">
            <v>-1.1733989361702127E-3</v>
          </cell>
          <cell r="L72">
            <v>649.49225561274136</v>
          </cell>
          <cell r="M72">
            <v>-6.3483776595744685E-4</v>
          </cell>
          <cell r="N72">
            <v>551.69694444428023</v>
          </cell>
          <cell r="O72">
            <v>-3.346462765957447E-4</v>
          </cell>
          <cell r="P72">
            <v>2106.7281234981015</v>
          </cell>
        </row>
        <row r="76">
          <cell r="E76">
            <v>9.0243549946808503</v>
          </cell>
          <cell r="F76">
            <v>25.189872887793484</v>
          </cell>
          <cell r="G76">
            <v>8.2856212765957449E-2</v>
          </cell>
          <cell r="H76">
            <v>217.11348057345742</v>
          </cell>
          <cell r="I76">
            <v>4.7315260638297864E-2</v>
          </cell>
          <cell r="J76">
            <v>550.91537288870461</v>
          </cell>
          <cell r="K76">
            <v>38.190684877659585</v>
          </cell>
          <cell r="L76">
            <v>982.09542197223607</v>
          </cell>
          <cell r="M76">
            <v>0.65866487234042537</v>
          </cell>
          <cell r="N76">
            <v>846.88093348428697</v>
          </cell>
          <cell r="O76">
            <v>6.6944821409574482</v>
          </cell>
          <cell r="P76">
            <v>2453.2974891168242</v>
          </cell>
        </row>
        <row r="77">
          <cell r="C77">
            <v>300.85815689361698</v>
          </cell>
          <cell r="D77">
            <v>382.68987097606379</v>
          </cell>
        </row>
        <row r="78">
          <cell r="C78">
            <v>0</v>
          </cell>
          <cell r="D78">
            <v>0</v>
          </cell>
        </row>
        <row r="79">
          <cell r="C79">
            <v>53.20884923404256</v>
          </cell>
          <cell r="D79">
            <v>273.66430113837765</v>
          </cell>
        </row>
        <row r="80">
          <cell r="C80">
            <v>64.842624000000001</v>
          </cell>
          <cell r="D80">
            <v>1550.321425029282</v>
          </cell>
        </row>
        <row r="81">
          <cell r="C81">
            <v>4388.1811110782955</v>
          </cell>
          <cell r="D81">
            <v>1545.2761658459419</v>
          </cell>
        </row>
        <row r="82">
          <cell r="C82">
            <v>8362.3691128098908</v>
          </cell>
          <cell r="D82">
            <v>382.11210891707447</v>
          </cell>
        </row>
        <row r="83">
          <cell r="C83">
            <v>91.405959776595481</v>
          </cell>
          <cell r="D83">
            <v>123.93617021276596</v>
          </cell>
        </row>
        <row r="84">
          <cell r="E84">
            <v>2.6525199999999998E-3</v>
          </cell>
          <cell r="F84">
            <v>2126.1247432232526</v>
          </cell>
          <cell r="G84">
            <v>0</v>
          </cell>
          <cell r="H84">
            <v>1315.8598612544631</v>
          </cell>
          <cell r="I84">
            <v>0</v>
          </cell>
          <cell r="J84">
            <v>144.35112794097495</v>
          </cell>
          <cell r="K84">
            <v>0</v>
          </cell>
          <cell r="L84">
            <v>2567.0440241018105</v>
          </cell>
          <cell r="M84">
            <v>0</v>
          </cell>
          <cell r="N84">
            <v>2211.0121518833198</v>
          </cell>
          <cell r="O84">
            <v>2.7939250000000002</v>
          </cell>
          <cell r="P84">
            <v>5175.8147084714528</v>
          </cell>
        </row>
        <row r="86">
          <cell r="C86">
            <v>1519.3404801329646</v>
          </cell>
          <cell r="D86">
            <v>7069.2756821644962</v>
          </cell>
        </row>
        <row r="89">
          <cell r="C89">
            <v>-8.3402228318300471E-3</v>
          </cell>
          <cell r="D89">
            <v>993.36668302036264</v>
          </cell>
        </row>
        <row r="92">
          <cell r="C92">
            <v>747.93719699285089</v>
          </cell>
          <cell r="D92">
            <v>615.76391114658009</v>
          </cell>
        </row>
        <row r="93">
          <cell r="C93">
            <v>-1.6522712765957886E-2</v>
          </cell>
          <cell r="D93">
            <v>-1.1838963451310596</v>
          </cell>
          <cell r="E93">
            <v>0</v>
          </cell>
          <cell r="F93">
            <v>1.4580170993617023</v>
          </cell>
          <cell r="G93">
            <v>0</v>
          </cell>
          <cell r="H93">
            <v>0</v>
          </cell>
          <cell r="I93">
            <v>0</v>
          </cell>
          <cell r="J93">
            <v>0.17308066992021279</v>
          </cell>
          <cell r="K93">
            <v>0</v>
          </cell>
          <cell r="L93">
            <v>1.0413401554787232</v>
          </cell>
          <cell r="M93">
            <v>0</v>
          </cell>
          <cell r="N93">
            <v>44.901332320262043</v>
          </cell>
          <cell r="O93">
            <v>0</v>
          </cell>
          <cell r="P93">
            <v>287.59981821901948</v>
          </cell>
        </row>
        <row r="94">
          <cell r="E94"/>
          <cell r="F94"/>
          <cell r="G94"/>
          <cell r="H94"/>
          <cell r="I94"/>
          <cell r="J94"/>
          <cell r="K94"/>
          <cell r="L94"/>
          <cell r="M94"/>
          <cell r="N94"/>
          <cell r="O94">
            <v>0</v>
          </cell>
          <cell r="P94">
            <v>0</v>
          </cell>
        </row>
        <row r="95">
          <cell r="C95">
            <v>27.458704930851063</v>
          </cell>
          <cell r="D95">
            <v>1609.8486036311979</v>
          </cell>
          <cell r="E95">
            <v>0</v>
          </cell>
          <cell r="F95">
            <v>0</v>
          </cell>
          <cell r="G95">
            <v>0</v>
          </cell>
          <cell r="H95">
            <v>0</v>
          </cell>
          <cell r="I95">
            <v>0</v>
          </cell>
          <cell r="J95">
            <v>0</v>
          </cell>
          <cell r="K95">
            <v>0</v>
          </cell>
          <cell r="L95">
            <v>0</v>
          </cell>
          <cell r="M95">
            <v>0</v>
          </cell>
          <cell r="N95">
            <v>35.393079177480111</v>
          </cell>
          <cell r="O95">
            <v>0</v>
          </cell>
          <cell r="P95">
            <v>1661.1303782430232</v>
          </cell>
        </row>
        <row r="96">
          <cell r="C96">
            <v>320.20821552058061</v>
          </cell>
          <cell r="D96">
            <v>20.467771764787237</v>
          </cell>
        </row>
        <row r="97">
          <cell r="C97">
            <v>1541.3844687158482</v>
          </cell>
          <cell r="D97">
            <v>986.01649837973696</v>
          </cell>
          <cell r="E97">
            <v>7.6619840425532133E-4</v>
          </cell>
          <cell r="F97">
            <v>1.0573750010638299</v>
          </cell>
          <cell r="G97">
            <v>2.9465425531914895E-4</v>
          </cell>
          <cell r="H97">
            <v>2.7175531914893614E-5</v>
          </cell>
          <cell r="I97">
            <v>2.5263297872340426E-5</v>
          </cell>
          <cell r="J97">
            <v>1.3851063829787232E-5</v>
          </cell>
          <cell r="K97">
            <v>6.6356808510638389E-3</v>
          </cell>
          <cell r="L97">
            <v>18.553286119255318</v>
          </cell>
          <cell r="M97">
            <v>4.5244886542553191</v>
          </cell>
          <cell r="N97">
            <v>126.20950999499999</v>
          </cell>
          <cell r="O97">
            <v>0.26707767553191503</v>
          </cell>
          <cell r="P97">
            <v>973.54330220930751</v>
          </cell>
        </row>
        <row r="98">
          <cell r="C98">
            <v>22447.541939081821</v>
          </cell>
          <cell r="D98">
            <v>16698.073384293384</v>
          </cell>
          <cell r="E98">
            <v>9.0277737130851055</v>
          </cell>
          <cell r="F98">
            <v>2291.749921132619</v>
          </cell>
          <cell r="G98">
            <v>8.2016954787234045E-2</v>
          </cell>
          <cell r="H98">
            <v>1536.602520180131</v>
          </cell>
          <cell r="I98">
            <v>4.7340523936170206E-2</v>
          </cell>
          <cell r="J98">
            <v>720.60790328588394</v>
          </cell>
          <cell r="K98">
            <v>38.19614715957448</v>
          </cell>
          <cell r="L98">
            <v>4220.8859024296071</v>
          </cell>
          <cell r="M98">
            <v>5.1825186888297869</v>
          </cell>
          <cell r="N98">
            <v>3817.1577810918634</v>
          </cell>
          <cell r="O98">
            <v>9.7551501702127688</v>
          </cell>
          <cell r="P98">
            <v>12675.401053800282</v>
          </cell>
          <cell r="Q98">
            <v>64470.311352506018</v>
          </cell>
        </row>
        <row r="100">
          <cell r="Q100">
            <v>6526.567307279206</v>
          </cell>
        </row>
        <row r="101">
          <cell r="Q101">
            <v>744.3690943463447</v>
          </cell>
        </row>
        <row r="102">
          <cell r="Q102">
            <v>417.67424694687918</v>
          </cell>
        </row>
      </sheetData>
      <sheetData sheetId="1"/>
      <sheetData sheetId="2">
        <row r="15">
          <cell r="AX15">
            <v>6709.6760347666932</v>
          </cell>
        </row>
        <row r="69">
          <cell r="AX69">
            <v>993.17348315108802</v>
          </cell>
        </row>
        <row r="86">
          <cell r="AX86">
            <v>0</v>
          </cell>
        </row>
        <row r="90">
          <cell r="AX90">
            <v>36.59614418882979</v>
          </cell>
        </row>
        <row r="105">
          <cell r="AX105">
            <v>4.8072952127659573E-3</v>
          </cell>
        </row>
        <row r="118">
          <cell r="AX118">
            <v>2.7484988670212767</v>
          </cell>
        </row>
        <row r="120">
          <cell r="AX120">
            <v>231.79965461702125</v>
          </cell>
        </row>
        <row r="122">
          <cell r="AX122">
            <v>1455.362127965115</v>
          </cell>
        </row>
        <row r="130">
          <cell r="AX130">
            <v>558.33821988574232</v>
          </cell>
        </row>
        <row r="141">
          <cell r="AX141">
            <v>1035.5775636325131</v>
          </cell>
        </row>
        <row r="170">
          <cell r="AX170">
            <v>3.8172045212766105E-2</v>
          </cell>
        </row>
        <row r="186">
          <cell r="AX186">
            <v>32197.829038017346</v>
          </cell>
        </row>
        <row r="187">
          <cell r="AX187">
            <v>1445.6863859355669</v>
          </cell>
        </row>
        <row r="188">
          <cell r="AX188">
            <v>134.14383721208537</v>
          </cell>
        </row>
        <row r="189">
          <cell r="AX189">
            <v>6659.0479347966721</v>
          </cell>
        </row>
        <row r="190">
          <cell r="AX190">
            <v>504.07569201088523</v>
          </cell>
        </row>
        <row r="191">
          <cell r="AX191">
            <v>160.96661829598236</v>
          </cell>
        </row>
        <row r="192">
          <cell r="AX192">
            <v>5256.0655361955141</v>
          </cell>
        </row>
        <row r="193">
          <cell r="AX193">
            <v>5786.6402908597202</v>
          </cell>
        </row>
        <row r="199">
          <cell r="AX199">
            <v>511.95630615888825</v>
          </cell>
        </row>
        <row r="200">
          <cell r="AX200">
            <v>18.987103600629059</v>
          </cell>
        </row>
        <row r="201">
          <cell r="AX201">
            <v>128.7023528887089</v>
          </cell>
        </row>
        <row r="202">
          <cell r="AX202">
            <v>0.19994925000000002</v>
          </cell>
        </row>
        <row r="203">
          <cell r="AX203">
            <v>363.32498894414891</v>
          </cell>
        </row>
        <row r="204">
          <cell r="AX204">
            <v>160.15504884464013</v>
          </cell>
        </row>
        <row r="229">
          <cell r="AX229">
            <v>0.60412609295812336</v>
          </cell>
        </row>
      </sheetData>
      <sheetData sheetId="3">
        <row r="15">
          <cell r="AH15">
            <v>3847.6656202660415</v>
          </cell>
        </row>
        <row r="69">
          <cell r="AH69">
            <v>1602.8435938728915</v>
          </cell>
        </row>
        <row r="86">
          <cell r="AH86">
            <v>0</v>
          </cell>
        </row>
        <row r="90">
          <cell r="AH90">
            <v>0</v>
          </cell>
        </row>
        <row r="105">
          <cell r="AH105">
            <v>0</v>
          </cell>
        </row>
        <row r="118">
          <cell r="AH118">
            <v>2.9873297872340427E-3</v>
          </cell>
        </row>
        <row r="120">
          <cell r="AH120">
            <v>0</v>
          </cell>
        </row>
        <row r="122">
          <cell r="AH122">
            <v>1236.0502054907161</v>
          </cell>
        </row>
        <row r="130">
          <cell r="AH130">
            <v>2503.2103420697917</v>
          </cell>
        </row>
        <row r="141">
          <cell r="AH141">
            <v>1468.4283315865168</v>
          </cell>
        </row>
        <row r="170">
          <cell r="AH170">
            <v>138.2489580114362</v>
          </cell>
        </row>
        <row r="186">
          <cell r="AH186">
            <v>39145.489016989864</v>
          </cell>
        </row>
        <row r="187">
          <cell r="AH187">
            <v>0</v>
          </cell>
        </row>
        <row r="188">
          <cell r="AH188">
            <v>348.49991633510456</v>
          </cell>
        </row>
        <row r="189">
          <cell r="AH189">
            <v>2300.7753329909938</v>
          </cell>
        </row>
        <row r="190">
          <cell r="AH190">
            <v>1536.6845353672588</v>
          </cell>
        </row>
        <row r="191">
          <cell r="AH191">
            <v>720.68524380982058</v>
          </cell>
        </row>
        <row r="192">
          <cell r="AH192">
            <v>4259.0370659524433</v>
          </cell>
        </row>
        <row r="193">
          <cell r="AH193">
            <v>3822.3403821450233</v>
          </cell>
        </row>
        <row r="199">
          <cell r="AH199">
            <v>37.386927455088511</v>
          </cell>
        </row>
        <row r="200">
          <cell r="AH200">
            <v>-2.2023670212765957E-4</v>
          </cell>
        </row>
        <row r="201">
          <cell r="AH201">
            <v>0</v>
          </cell>
        </row>
        <row r="202">
          <cell r="AH202">
            <v>0</v>
          </cell>
        </row>
        <row r="203">
          <cell r="AH203">
            <v>10.272082885638298</v>
          </cell>
        </row>
        <row r="204">
          <cell r="AH204">
            <v>949.65854992378047</v>
          </cell>
        </row>
        <row r="229">
          <cell r="AH229">
            <v>196.03902114960101</v>
          </cell>
        </row>
        <row r="272">
          <cell r="AH272">
            <v>64470.368932565158</v>
          </cell>
        </row>
      </sheetData>
      <sheetData sheetId="4">
        <row r="14">
          <cell r="D14">
            <v>21586.178501801627</v>
          </cell>
          <cell r="G14">
            <v>22509.807409565088</v>
          </cell>
        </row>
        <row r="16">
          <cell r="D16">
            <v>33062.774110946069</v>
          </cell>
          <cell r="G16">
            <v>35299.429031525229</v>
          </cell>
        </row>
        <row r="17">
          <cell r="D17">
            <v>370.84668152364986</v>
          </cell>
          <cell r="G17">
            <v>328.08218923994218</v>
          </cell>
        </row>
        <row r="18">
          <cell r="D18">
            <v>2.6924844036695283</v>
          </cell>
          <cell r="G18">
            <v>150.46798894260553</v>
          </cell>
        </row>
        <row r="19">
          <cell r="D19">
            <v>2.4573085113146074</v>
          </cell>
          <cell r="G19">
            <v>2.5312536533117167</v>
          </cell>
        </row>
        <row r="20">
          <cell r="D20">
            <v>1191.4979744691182</v>
          </cell>
          <cell r="G20">
            <v>941.67556761142441</v>
          </cell>
        </row>
        <row r="21">
          <cell r="D21">
            <v>4815.841486513109</v>
          </cell>
          <cell r="G21">
            <v>1240.6809681077584</v>
          </cell>
        </row>
        <row r="22">
          <cell r="D22">
            <v>1695.9965725664777</v>
          </cell>
          <cell r="G22">
            <v>2445.1303814378703</v>
          </cell>
        </row>
        <row r="23">
          <cell r="D23">
            <v>1741.988769089485</v>
          </cell>
          <cell r="G23">
            <v>1552.5898774098714</v>
          </cell>
        </row>
        <row r="24">
          <cell r="G24">
            <v>64470.394667493107</v>
          </cell>
        </row>
      </sheetData>
      <sheetData sheetId="5"/>
      <sheetData sheetId="6"/>
      <sheetData sheetId="7"/>
      <sheetData sheetId="8"/>
      <sheetData sheetId="9"/>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1"/>
      <sheetName val="2"/>
      <sheetName val="3A"/>
      <sheetName val="3B"/>
      <sheetName val="4"/>
      <sheetName val="5"/>
      <sheetName val="6A"/>
      <sheetName val="6B"/>
      <sheetName val="7"/>
      <sheetName val="8"/>
    </sheetNames>
    <sheetDataSet>
      <sheetData sheetId="0">
        <row r="14">
          <cell r="C14">
            <v>10.214002545212766</v>
          </cell>
          <cell r="D14">
            <v>0</v>
          </cell>
          <cell r="E14">
            <v>0</v>
          </cell>
          <cell r="F14">
            <v>0</v>
          </cell>
          <cell r="G14">
            <v>0</v>
          </cell>
          <cell r="H14">
            <v>0</v>
          </cell>
          <cell r="I14">
            <v>0</v>
          </cell>
          <cell r="J14">
            <v>0</v>
          </cell>
          <cell r="K14">
            <v>0</v>
          </cell>
          <cell r="L14">
            <v>0</v>
          </cell>
          <cell r="M14">
            <v>0</v>
          </cell>
          <cell r="N14">
            <v>0</v>
          </cell>
          <cell r="O14">
            <v>605.96180411170201</v>
          </cell>
          <cell r="P14">
            <v>286.1645666143886</v>
          </cell>
        </row>
        <row r="18">
          <cell r="C18">
            <v>286.21862614893621</v>
          </cell>
          <cell r="D18">
            <v>2462.7951233475951</v>
          </cell>
          <cell r="E18">
            <v>1.7080043643617016</v>
          </cell>
          <cell r="F18">
            <v>1274.3869293711332</v>
          </cell>
          <cell r="G18">
            <v>16.83828561968085</v>
          </cell>
          <cell r="H18">
            <v>37.405884071276596</v>
          </cell>
          <cell r="I18">
            <v>1.0333370718085109</v>
          </cell>
          <cell r="J18">
            <v>120.88496601132731</v>
          </cell>
          <cell r="K18">
            <v>11.118485864361702</v>
          </cell>
          <cell r="L18">
            <v>1961.3144650477127</v>
          </cell>
          <cell r="M18">
            <v>59.722881643617022</v>
          </cell>
          <cell r="N18">
            <v>4317.9974965235415</v>
          </cell>
          <cell r="O18">
            <v>18.539436226063827</v>
          </cell>
          <cell r="P18">
            <v>8530.439588662508</v>
          </cell>
        </row>
        <row r="22">
          <cell r="E22">
            <v>106.63562238829792</v>
          </cell>
          <cell r="F22">
            <v>420.0809082413133</v>
          </cell>
          <cell r="G22">
            <v>49.302709156914894</v>
          </cell>
          <cell r="H22">
            <v>349.21562298251519</v>
          </cell>
          <cell r="I22">
            <v>18.517961728723403</v>
          </cell>
          <cell r="J22">
            <v>28.007364430468684</v>
          </cell>
          <cell r="K22">
            <v>72.501730486829871</v>
          </cell>
          <cell r="L22">
            <v>2756.7480940079299</v>
          </cell>
          <cell r="M22">
            <v>126.67192498138294</v>
          </cell>
          <cell r="N22">
            <v>1203.6053994745716</v>
          </cell>
          <cell r="O22">
            <v>149.24377629521268</v>
          </cell>
          <cell r="P22">
            <v>2414.7306584561529</v>
          </cell>
        </row>
        <row r="23">
          <cell r="C23">
            <v>1205.3067830028726</v>
          </cell>
          <cell r="D23">
            <v>112.32621759630318</v>
          </cell>
        </row>
        <row r="24">
          <cell r="C24">
            <v>157.4038824994681</v>
          </cell>
          <cell r="D24">
            <v>55.651676692127658</v>
          </cell>
        </row>
        <row r="25">
          <cell r="C25">
            <v>332.36144601595754</v>
          </cell>
          <cell r="D25">
            <v>378.53121747082912</v>
          </cell>
        </row>
        <row r="26">
          <cell r="C26">
            <v>632.79512594414905</v>
          </cell>
          <cell r="D26">
            <v>589.90929625605725</v>
          </cell>
        </row>
        <row r="27">
          <cell r="C27">
            <v>3572.381706540531</v>
          </cell>
          <cell r="D27">
            <v>1617.5186565306956</v>
          </cell>
        </row>
        <row r="28">
          <cell r="C28">
            <v>10502.216098807789</v>
          </cell>
          <cell r="D28">
            <v>1327.9603715344683</v>
          </cell>
        </row>
        <row r="29">
          <cell r="C29">
            <v>559.58756208874604</v>
          </cell>
          <cell r="D29">
            <v>37.766776616063837</v>
          </cell>
        </row>
        <row r="30">
          <cell r="C30">
            <v>0</v>
          </cell>
          <cell r="D30">
            <v>458</v>
          </cell>
          <cell r="E30">
            <v>0</v>
          </cell>
          <cell r="F30">
            <v>0</v>
          </cell>
          <cell r="G30">
            <v>0</v>
          </cell>
          <cell r="H30">
            <v>0</v>
          </cell>
          <cell r="I30">
            <v>0</v>
          </cell>
          <cell r="J30">
            <v>0</v>
          </cell>
          <cell r="K30">
            <v>0</v>
          </cell>
          <cell r="L30">
            <v>0</v>
          </cell>
          <cell r="M30">
            <v>0</v>
          </cell>
          <cell r="N30">
            <v>0</v>
          </cell>
          <cell r="O30">
            <v>0</v>
          </cell>
          <cell r="P30">
            <v>585.28968854255311</v>
          </cell>
        </row>
        <row r="31">
          <cell r="C31">
            <v>0</v>
          </cell>
          <cell r="D31">
            <v>46.279198983943623</v>
          </cell>
          <cell r="E31">
            <v>0</v>
          </cell>
          <cell r="F31">
            <v>2.551281414707447</v>
          </cell>
          <cell r="G31">
            <v>0</v>
          </cell>
          <cell r="H31">
            <v>1.2018492089361701</v>
          </cell>
          <cell r="I31">
            <v>0</v>
          </cell>
          <cell r="J31">
            <v>0</v>
          </cell>
          <cell r="K31">
            <v>0</v>
          </cell>
          <cell r="L31">
            <v>0.15633781917553194</v>
          </cell>
          <cell r="M31">
            <v>0</v>
          </cell>
          <cell r="N31">
            <v>36.53092389035718</v>
          </cell>
          <cell r="O31">
            <v>0</v>
          </cell>
          <cell r="P31">
            <v>142.20556306705311</v>
          </cell>
        </row>
        <row r="32">
          <cell r="E32"/>
          <cell r="F32"/>
          <cell r="G32"/>
          <cell r="H32"/>
          <cell r="I32"/>
          <cell r="J32"/>
          <cell r="K32"/>
          <cell r="L32"/>
          <cell r="M32"/>
          <cell r="N32"/>
          <cell r="O32">
            <v>0</v>
          </cell>
          <cell r="P32">
            <v>0</v>
          </cell>
        </row>
        <row r="33">
          <cell r="C33">
            <v>23.333601555212766</v>
          </cell>
          <cell r="D33">
            <v>2790.4599690871059</v>
          </cell>
          <cell r="E33">
            <v>0</v>
          </cell>
          <cell r="F33">
            <v>0</v>
          </cell>
          <cell r="G33">
            <v>0</v>
          </cell>
          <cell r="H33">
            <v>0</v>
          </cell>
          <cell r="I33">
            <v>0</v>
          </cell>
          <cell r="J33">
            <v>0</v>
          </cell>
          <cell r="K33">
            <v>0</v>
          </cell>
          <cell r="L33">
            <v>0</v>
          </cell>
          <cell r="M33">
            <v>0</v>
          </cell>
          <cell r="N33">
            <v>0.37315067639257293</v>
          </cell>
          <cell r="O33">
            <v>5.3255570000000002E-2</v>
          </cell>
          <cell r="P33">
            <v>1278.6880361110357</v>
          </cell>
        </row>
        <row r="34">
          <cell r="C34">
            <v>1329.7347025910826</v>
          </cell>
          <cell r="D34">
            <v>1576.8807952391555</v>
          </cell>
          <cell r="E34">
            <v>24.468085106382976</v>
          </cell>
          <cell r="F34">
            <v>2809.1547717194144</v>
          </cell>
          <cell r="G34">
            <v>0</v>
          </cell>
          <cell r="H34">
            <v>0</v>
          </cell>
          <cell r="I34">
            <v>0.26595744680851063</v>
          </cell>
          <cell r="J34">
            <v>0</v>
          </cell>
          <cell r="K34">
            <v>0.53191489361702127</v>
          </cell>
          <cell r="L34">
            <v>14.759718749999999</v>
          </cell>
          <cell r="M34">
            <v>7.758081117021276</v>
          </cell>
          <cell r="N34">
            <v>14.759718749999999</v>
          </cell>
          <cell r="O34">
            <v>0</v>
          </cell>
          <cell r="P34">
            <v>10</v>
          </cell>
        </row>
        <row r="36">
          <cell r="C36">
            <v>529.13828757755255</v>
          </cell>
          <cell r="D36">
            <v>130.09224910019358</v>
          </cell>
          <cell r="E36">
            <v>48.175183804065966</v>
          </cell>
          <cell r="F36">
            <v>2165.0812928382993</v>
          </cell>
          <cell r="G36">
            <v>0</v>
          </cell>
          <cell r="H36">
            <v>1.9969004370078316</v>
          </cell>
          <cell r="I36">
            <v>0</v>
          </cell>
          <cell r="J36">
            <v>0.66080467885420102</v>
          </cell>
          <cell r="K36">
            <v>0</v>
          </cell>
          <cell r="L36">
            <v>30.546056779318693</v>
          </cell>
          <cell r="M36">
            <v>0</v>
          </cell>
          <cell r="N36">
            <v>12.251240224335536</v>
          </cell>
          <cell r="O36">
            <v>148.71038531166289</v>
          </cell>
          <cell r="P36">
            <v>714.31636437882196</v>
          </cell>
        </row>
        <row r="37">
          <cell r="C37">
            <v>707.10919812748523</v>
          </cell>
          <cell r="D37">
            <v>790.35875273678027</v>
          </cell>
          <cell r="E37">
            <v>2.5763127659574645E-2</v>
          </cell>
          <cell r="F37">
            <v>4.5014982704076568E-3</v>
          </cell>
          <cell r="G37">
            <v>9.3034574468085098E-5</v>
          </cell>
          <cell r="H37">
            <v>1.7607765957446809E-3</v>
          </cell>
          <cell r="I37">
            <v>0</v>
          </cell>
          <cell r="J37">
            <v>1.2453912234042553E-4</v>
          </cell>
          <cell r="K37">
            <v>6.162116489361729E-2</v>
          </cell>
          <cell r="L37">
            <v>5.0999361702127669E-3</v>
          </cell>
          <cell r="M37">
            <v>6.6803380319148439E-2</v>
          </cell>
          <cell r="N37">
            <v>0.25716754808510606</v>
          </cell>
          <cell r="O37">
            <v>4.9582355638297892</v>
          </cell>
          <cell r="P37">
            <v>89.821200358332874</v>
          </cell>
        </row>
        <row r="38">
          <cell r="C38">
            <v>19847.801023444994</v>
          </cell>
          <cell r="D38">
            <v>12374.530301191318</v>
          </cell>
          <cell r="E38">
            <v>181.01265879076814</v>
          </cell>
          <cell r="F38">
            <v>6671.2596850831387</v>
          </cell>
          <cell r="G38">
            <v>66.141087811170209</v>
          </cell>
          <cell r="H38">
            <v>389.8220174763315</v>
          </cell>
          <cell r="I38">
            <v>19.817256247340424</v>
          </cell>
          <cell r="J38">
            <v>149.55325965977252</v>
          </cell>
          <cell r="K38">
            <v>84.213752409702224</v>
          </cell>
          <cell r="L38">
            <v>4763.5297723403073</v>
          </cell>
          <cell r="M38">
            <v>194.21969112234041</v>
          </cell>
          <cell r="N38">
            <v>5585.775097087283</v>
          </cell>
          <cell r="O38">
            <v>927.46689307847123</v>
          </cell>
          <cell r="P38">
            <v>14051.655666190845</v>
          </cell>
          <cell r="Q38">
            <v>65306.798161933781</v>
          </cell>
        </row>
        <row r="40">
          <cell r="Q40">
            <v>6155.9653645957442</v>
          </cell>
        </row>
        <row r="41">
          <cell r="Q41">
            <v>860.01587766491457</v>
          </cell>
        </row>
        <row r="42">
          <cell r="Q42">
            <v>341.23815255085503</v>
          </cell>
        </row>
        <row r="68">
          <cell r="C68">
            <v>117.5124990504326</v>
          </cell>
          <cell r="D68">
            <v>188.54557961560442</v>
          </cell>
        </row>
        <row r="69">
          <cell r="C69">
            <v>3229.6213118297874</v>
          </cell>
          <cell r="D69">
            <v>8.8297872367021277</v>
          </cell>
          <cell r="E69">
            <v>0</v>
          </cell>
          <cell r="F69">
            <v>1.3297872340425532</v>
          </cell>
          <cell r="G69">
            <v>0</v>
          </cell>
          <cell r="H69">
            <v>0</v>
          </cell>
          <cell r="I69">
            <v>0</v>
          </cell>
          <cell r="J69">
            <v>0.26595744680851063</v>
          </cell>
          <cell r="K69">
            <v>0</v>
          </cell>
          <cell r="L69">
            <v>2.1276595744680851</v>
          </cell>
          <cell r="M69">
            <v>0</v>
          </cell>
          <cell r="N69">
            <v>1.0638297872340425</v>
          </cell>
          <cell r="O69">
            <v>0</v>
          </cell>
          <cell r="P69">
            <v>18.351063829787236</v>
          </cell>
        </row>
        <row r="72">
          <cell r="C72">
            <v>1458.4820524275754</v>
          </cell>
          <cell r="D72">
            <v>999.68345181622112</v>
          </cell>
          <cell r="E72">
            <v>-2.365957446808511E-5</v>
          </cell>
          <cell r="F72">
            <v>489.35922524104961</v>
          </cell>
          <cell r="G72">
            <v>0</v>
          </cell>
          <cell r="H72">
            <v>19.193506007412271</v>
          </cell>
          <cell r="I72">
            <v>0</v>
          </cell>
          <cell r="J72">
            <v>1.5376795015197571</v>
          </cell>
          <cell r="K72">
            <v>-8.5776595744680855E-5</v>
          </cell>
          <cell r="L72">
            <v>598.54906471105085</v>
          </cell>
          <cell r="M72">
            <v>-1.6867021276595746E-5</v>
          </cell>
          <cell r="N72">
            <v>558.02477274844284</v>
          </cell>
          <cell r="O72">
            <v>-2.99968085106383E-4</v>
          </cell>
          <cell r="P72">
            <v>1813.4223735925723</v>
          </cell>
        </row>
        <row r="76">
          <cell r="E76">
            <v>10.232533992021278</v>
          </cell>
          <cell r="F76">
            <v>25.022272050353749</v>
          </cell>
          <cell r="G76">
            <v>4.676495744680851E-2</v>
          </cell>
          <cell r="H76">
            <v>216.63140244590423</v>
          </cell>
          <cell r="I76">
            <v>3.3381492021276597E-2</v>
          </cell>
          <cell r="J76">
            <v>553.19870198747731</v>
          </cell>
          <cell r="K76">
            <v>38.16702457978726</v>
          </cell>
          <cell r="L76">
            <v>1049.4048544072825</v>
          </cell>
          <cell r="M76">
            <v>1.0384387154255319</v>
          </cell>
          <cell r="N76">
            <v>835.59616211117589</v>
          </cell>
          <cell r="O76">
            <v>6.3438432021276601</v>
          </cell>
          <cell r="P76">
            <v>3058.1767197903537</v>
          </cell>
        </row>
        <row r="77">
          <cell r="C77">
            <v>298.22244581117025</v>
          </cell>
          <cell r="D77">
            <v>550.18066551074457</v>
          </cell>
        </row>
        <row r="78">
          <cell r="C78">
            <v>0</v>
          </cell>
          <cell r="D78">
            <v>0</v>
          </cell>
        </row>
        <row r="79">
          <cell r="C79">
            <v>53.181825374999995</v>
          </cell>
          <cell r="D79">
            <v>271.68140709340429</v>
          </cell>
        </row>
        <row r="80">
          <cell r="C80">
            <v>85.337822135638291</v>
          </cell>
          <cell r="D80">
            <v>1551.6262083211432</v>
          </cell>
        </row>
        <row r="81">
          <cell r="C81">
            <v>4329.6992322175611</v>
          </cell>
          <cell r="D81">
            <v>1509.4079017763779</v>
          </cell>
        </row>
        <row r="82">
          <cell r="C82">
            <v>8423.8016692328947</v>
          </cell>
          <cell r="D82">
            <v>383.99178209832814</v>
          </cell>
        </row>
        <row r="83">
          <cell r="C83">
            <v>88.361338013297427</v>
          </cell>
          <cell r="D83">
            <v>121.15086573978552</v>
          </cell>
        </row>
        <row r="84">
          <cell r="E84">
            <v>2.6525199999999998E-3</v>
          </cell>
          <cell r="F84">
            <v>2126.3511662028473</v>
          </cell>
          <cell r="G84">
            <v>0</v>
          </cell>
          <cell r="H84">
            <v>1284.0052885456116</v>
          </cell>
          <cell r="I84">
            <v>0</v>
          </cell>
          <cell r="J84">
            <v>144.22746839354986</v>
          </cell>
          <cell r="K84">
            <v>0</v>
          </cell>
          <cell r="L84">
            <v>2535.4857826039461</v>
          </cell>
          <cell r="M84">
            <v>0</v>
          </cell>
          <cell r="N84">
            <v>2208.108619895936</v>
          </cell>
          <cell r="O84">
            <v>2.7939250000000002</v>
          </cell>
          <cell r="P84">
            <v>5382.611707084402</v>
          </cell>
        </row>
        <row r="86">
          <cell r="C86">
            <v>1352.7661523108577</v>
          </cell>
          <cell r="D86">
            <v>7138.8217256961907</v>
          </cell>
        </row>
        <row r="89">
          <cell r="C89">
            <v>1.3989361700212766E-6</v>
          </cell>
          <cell r="D89">
            <v>1419.9618388660617</v>
          </cell>
        </row>
        <row r="92">
          <cell r="C92">
            <v>849.65433364178739</v>
          </cell>
          <cell r="D92">
            <v>602.7741469229943</v>
          </cell>
        </row>
        <row r="93">
          <cell r="C93">
            <v>-6.024781914893659E-3</v>
          </cell>
          <cell r="D93">
            <v>1.1362929824575594</v>
          </cell>
          <cell r="E93">
            <v>0</v>
          </cell>
          <cell r="F93">
            <v>0.8621043188563845</v>
          </cell>
          <cell r="G93">
            <v>0</v>
          </cell>
          <cell r="H93">
            <v>0</v>
          </cell>
          <cell r="I93">
            <v>0</v>
          </cell>
          <cell r="J93">
            <v>0.13211454646276596</v>
          </cell>
          <cell r="K93">
            <v>0</v>
          </cell>
          <cell r="L93">
            <v>0.56530440117021274</v>
          </cell>
          <cell r="M93">
            <v>0</v>
          </cell>
          <cell r="N93">
            <v>52.89496708437796</v>
          </cell>
          <cell r="O93">
            <v>0</v>
          </cell>
          <cell r="P93">
            <v>277.40666548864789</v>
          </cell>
        </row>
        <row r="94">
          <cell r="E94"/>
          <cell r="F94"/>
          <cell r="G94"/>
          <cell r="H94"/>
          <cell r="I94"/>
          <cell r="J94"/>
          <cell r="K94"/>
          <cell r="L94"/>
          <cell r="M94"/>
          <cell r="N94"/>
          <cell r="O94">
            <v>0</v>
          </cell>
          <cell r="P94">
            <v>0</v>
          </cell>
        </row>
        <row r="95">
          <cell r="C95">
            <v>27.180085941489359</v>
          </cell>
          <cell r="D95">
            <v>1610.7375537485427</v>
          </cell>
          <cell r="E95">
            <v>0</v>
          </cell>
          <cell r="F95">
            <v>0</v>
          </cell>
          <cell r="G95">
            <v>0</v>
          </cell>
          <cell r="H95">
            <v>0</v>
          </cell>
          <cell r="I95">
            <v>0</v>
          </cell>
          <cell r="J95">
            <v>0</v>
          </cell>
          <cell r="K95">
            <v>0</v>
          </cell>
          <cell r="L95">
            <v>0</v>
          </cell>
          <cell r="M95">
            <v>0</v>
          </cell>
          <cell r="N95">
            <v>75.812612543766576</v>
          </cell>
          <cell r="O95">
            <v>0</v>
          </cell>
          <cell r="P95">
            <v>1852.3916589614441</v>
          </cell>
        </row>
        <row r="96">
          <cell r="C96">
            <v>320.77913680528951</v>
          </cell>
          <cell r="D96">
            <v>20.483911019095746</v>
          </cell>
        </row>
        <row r="97">
          <cell r="C97">
            <v>1564.5667305136099</v>
          </cell>
          <cell r="D97">
            <v>813.74503965403369</v>
          </cell>
          <cell r="E97">
            <v>1.9737393617021273E-4</v>
          </cell>
          <cell r="F97">
            <v>5.276679191489362E-2</v>
          </cell>
          <cell r="G97">
            <v>2.3840691489361701E-4</v>
          </cell>
          <cell r="H97">
            <v>5.8244680851063825E-7</v>
          </cell>
          <cell r="I97">
            <v>-2.1037234042553191E-6</v>
          </cell>
          <cell r="J97">
            <v>0</v>
          </cell>
          <cell r="K97">
            <v>2.4782553191489364E-3</v>
          </cell>
          <cell r="L97">
            <v>66.55860399351063</v>
          </cell>
          <cell r="M97">
            <v>4.5183122739361696</v>
          </cell>
          <cell r="N97">
            <v>119.90942043468085</v>
          </cell>
          <cell r="O97">
            <v>0.28044364095744673</v>
          </cell>
          <cell r="P97">
            <v>482.7777887863316</v>
          </cell>
        </row>
        <row r="98">
          <cell r="C98">
            <v>22199.160611923409</v>
          </cell>
          <cell r="D98">
            <v>17192.758158097688</v>
          </cell>
          <cell r="E98">
            <v>10.23536022638298</v>
          </cell>
          <cell r="F98">
            <v>2642.9773218390646</v>
          </cell>
          <cell r="G98">
            <v>4.7003364361702125E-2</v>
          </cell>
          <cell r="H98">
            <v>1519.8301975813749</v>
          </cell>
          <cell r="I98">
            <v>3.3379388297872341E-2</v>
          </cell>
          <cell r="J98">
            <v>699.36192187581821</v>
          </cell>
          <cell r="K98">
            <v>38.16941705851066</v>
          </cell>
          <cell r="L98">
            <v>4252.6912696914287</v>
          </cell>
          <cell r="M98">
            <v>5.5567341223404245</v>
          </cell>
          <cell r="N98">
            <v>3851.4103846056141</v>
          </cell>
          <cell r="O98">
            <v>9.4179118750000015</v>
          </cell>
          <cell r="P98">
            <v>12885.137977533541</v>
          </cell>
          <cell r="Q98">
            <v>65306.787649182836</v>
          </cell>
        </row>
        <row r="100">
          <cell r="Q100">
            <v>6096.8330047121844</v>
          </cell>
        </row>
        <row r="101">
          <cell r="Q101">
            <v>857.41587765959525</v>
          </cell>
        </row>
        <row r="102">
          <cell r="Q102">
            <v>341.23815255085509</v>
          </cell>
        </row>
      </sheetData>
      <sheetData sheetId="1"/>
      <sheetData sheetId="2">
        <row r="15">
          <cell r="AX15">
            <v>7020.0382827718931</v>
          </cell>
        </row>
        <row r="69">
          <cell r="AX69">
            <v>1007.0562478368023</v>
          </cell>
        </row>
        <row r="86">
          <cell r="AX86">
            <v>0</v>
          </cell>
        </row>
        <row r="90">
          <cell r="AX90">
            <v>60.401750005319151</v>
          </cell>
        </row>
        <row r="105">
          <cell r="AX105">
            <v>4.8072952127659573E-3</v>
          </cell>
        </row>
        <row r="118">
          <cell r="AX118">
            <v>4.0497783457446808</v>
          </cell>
        </row>
        <row r="120">
          <cell r="AX120">
            <v>201.15305498404248</v>
          </cell>
        </row>
        <row r="122">
          <cell r="AX122">
            <v>1536.26743961427</v>
          </cell>
        </row>
        <row r="130">
          <cell r="AX130">
            <v>1068.5813765145838</v>
          </cell>
        </row>
        <row r="141">
          <cell r="AX141">
            <v>1128.9775530608706</v>
          </cell>
        </row>
        <row r="170">
          <cell r="AX170">
            <v>3.2730968085106733E-2</v>
          </cell>
        </row>
        <row r="186">
          <cell r="AX186">
            <v>32222.320332717532</v>
          </cell>
        </row>
        <row r="187">
          <cell r="AX187">
            <v>1445.942301375168</v>
          </cell>
        </row>
        <row r="188">
          <cell r="AX188">
            <v>160.33467762331162</v>
          </cell>
        </row>
        <row r="189">
          <cell r="AX189">
            <v>6852.2723438739049</v>
          </cell>
        </row>
        <row r="190">
          <cell r="AX190">
            <v>455.96310528750178</v>
          </cell>
        </row>
        <row r="191">
          <cell r="AX191">
            <v>169.37045423602541</v>
          </cell>
        </row>
        <row r="192">
          <cell r="AX192">
            <v>4847.7434403027273</v>
          </cell>
        </row>
        <row r="193">
          <cell r="AX193">
            <v>5779.9947892627524</v>
          </cell>
        </row>
        <row r="199">
          <cell r="AX199">
            <v>494.16639292041822</v>
          </cell>
        </row>
        <row r="200">
          <cell r="AX200">
            <v>19.758480932597145</v>
          </cell>
        </row>
        <row r="201">
          <cell r="AX201">
            <v>126.14223248110964</v>
          </cell>
        </row>
        <row r="202">
          <cell r="AX202">
            <v>0.19994925265957447</v>
          </cell>
        </row>
        <row r="203">
          <cell r="AX203">
            <v>377.83145410372344</v>
          </cell>
        </row>
        <row r="204">
          <cell r="AX204">
            <v>210.94542886902997</v>
          </cell>
        </row>
        <row r="229">
          <cell r="AX229">
            <v>0.68542015678791179</v>
          </cell>
        </row>
      </sheetData>
      <sheetData sheetId="3">
        <row r="15">
          <cell r="AH15">
            <v>3983.123714714282</v>
          </cell>
        </row>
        <row r="69">
          <cell r="AH69">
            <v>1871.0584392917999</v>
          </cell>
        </row>
        <row r="86">
          <cell r="AH86">
            <v>0</v>
          </cell>
        </row>
        <row r="90">
          <cell r="AH90">
            <v>0</v>
          </cell>
        </row>
        <row r="105">
          <cell r="AH105">
            <v>0</v>
          </cell>
        </row>
        <row r="118">
          <cell r="AH118">
            <v>3.0093936170212765E-3</v>
          </cell>
        </row>
        <row r="120">
          <cell r="AH120">
            <v>0</v>
          </cell>
        </row>
        <row r="122">
          <cell r="AH122">
            <v>1286.9390725464191</v>
          </cell>
        </row>
        <row r="130">
          <cell r="AH130">
            <v>2342.0959864417109</v>
          </cell>
        </row>
        <row r="141">
          <cell r="AH141">
            <v>1567.5798750393351</v>
          </cell>
        </row>
        <row r="170">
          <cell r="AH170">
            <v>136.24340836109042</v>
          </cell>
        </row>
        <row r="186">
          <cell r="AH186">
            <v>39391.9254471401</v>
          </cell>
        </row>
        <row r="187">
          <cell r="AH187">
            <v>0</v>
          </cell>
        </row>
        <row r="188">
          <cell r="AH188">
            <v>352.31425263684355</v>
          </cell>
        </row>
        <row r="189">
          <cell r="AH189">
            <v>2653.2103202107369</v>
          </cell>
        </row>
        <row r="190">
          <cell r="AH190">
            <v>1519.8772004957364</v>
          </cell>
        </row>
        <row r="191">
          <cell r="AH191">
            <v>699.42530126411611</v>
          </cell>
        </row>
        <row r="192">
          <cell r="AH192">
            <v>4290.7832216680945</v>
          </cell>
        </row>
        <row r="193">
          <cell r="AH193">
            <v>3856.967635937136</v>
          </cell>
        </row>
        <row r="199">
          <cell r="AH199">
            <v>27.470214298014042</v>
          </cell>
        </row>
        <row r="200">
          <cell r="AH200">
            <v>-2.9163563829787234E-4</v>
          </cell>
        </row>
        <row r="201">
          <cell r="AH201">
            <v>0</v>
          </cell>
        </row>
        <row r="202">
          <cell r="AH202">
            <v>0</v>
          </cell>
        </row>
        <row r="203">
          <cell r="AH203">
            <v>10.31456792819149</v>
          </cell>
        </row>
        <row r="204">
          <cell r="AH204">
            <v>916.75110193354124</v>
          </cell>
        </row>
        <row r="229">
          <cell r="AH229">
            <v>58.607954396847802</v>
          </cell>
        </row>
        <row r="272">
          <cell r="AH272">
            <v>65306.746401669516</v>
          </cell>
        </row>
      </sheetData>
      <sheetData sheetId="4">
        <row r="14">
          <cell r="D14">
            <v>21320.662438918676</v>
          </cell>
          <cell r="G14">
            <v>22262.588941237918</v>
          </cell>
        </row>
        <row r="16">
          <cell r="D16">
            <v>34220.537035397683</v>
          </cell>
          <cell r="G16">
            <v>36721.175487259316</v>
          </cell>
        </row>
        <row r="17">
          <cell r="D17">
            <v>297.73003894150804</v>
          </cell>
          <cell r="G17">
            <v>276.23141594526624</v>
          </cell>
        </row>
        <row r="18">
          <cell r="D18">
            <v>16.882563762191822</v>
          </cell>
          <cell r="G18">
            <v>13.357546260016322</v>
          </cell>
        </row>
        <row r="19">
          <cell r="D19">
            <v>1.9856288286495216</v>
          </cell>
          <cell r="G19">
            <v>3.2334403700521417</v>
          </cell>
        </row>
        <row r="20">
          <cell r="D20">
            <v>1101.5421722147214</v>
          </cell>
          <cell r="G20">
            <v>925.7627916661329</v>
          </cell>
        </row>
        <row r="21">
          <cell r="D21">
            <v>4815.8645976965354</v>
          </cell>
          <cell r="G21">
            <v>1041.8784269386567</v>
          </cell>
        </row>
        <row r="22">
          <cell r="D22">
            <v>1709.6831671704858</v>
          </cell>
          <cell r="G22">
            <v>2464.124000974733</v>
          </cell>
        </row>
        <row r="23">
          <cell r="D23">
            <v>1821.9225420483449</v>
          </cell>
          <cell r="G23">
            <v>1598.4262731975498</v>
          </cell>
        </row>
        <row r="24">
          <cell r="G24">
            <v>65306.778323849649</v>
          </cell>
        </row>
      </sheetData>
      <sheetData sheetId="5"/>
      <sheetData sheetId="6"/>
      <sheetData sheetId="7"/>
      <sheetData sheetId="8"/>
      <sheetData sheetId="9"/>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14">
          <cell r="C14">
            <v>7.5569580744680858</v>
          </cell>
          <cell r="D14">
            <v>0</v>
          </cell>
          <cell r="E14">
            <v>0</v>
          </cell>
          <cell r="F14">
            <v>0</v>
          </cell>
          <cell r="G14">
            <v>0</v>
          </cell>
          <cell r="H14">
            <v>0</v>
          </cell>
          <cell r="I14">
            <v>0</v>
          </cell>
          <cell r="J14">
            <v>0</v>
          </cell>
          <cell r="K14">
            <v>0</v>
          </cell>
          <cell r="L14">
            <v>0</v>
          </cell>
          <cell r="M14">
            <v>0</v>
          </cell>
          <cell r="N14">
            <v>0</v>
          </cell>
          <cell r="O14">
            <v>606.27487629787231</v>
          </cell>
          <cell r="P14">
            <v>286.36161994029345</v>
          </cell>
        </row>
        <row r="18">
          <cell r="C18">
            <v>270.12974484574465</v>
          </cell>
          <cell r="D18">
            <v>2430.9143679222238</v>
          </cell>
          <cell r="E18">
            <v>5.1728245638297876</v>
          </cell>
          <cell r="F18">
            <v>1463.8060209364676</v>
          </cell>
          <cell r="G18">
            <v>16.843878973404255</v>
          </cell>
          <cell r="H18">
            <v>37.251168135106383</v>
          </cell>
          <cell r="I18">
            <v>1.6703638962765956</v>
          </cell>
          <cell r="J18">
            <v>121.97290152437169</v>
          </cell>
          <cell r="K18">
            <v>10.526182138297871</v>
          </cell>
          <cell r="L18">
            <v>1967.2986212820745</v>
          </cell>
          <cell r="M18">
            <v>59.066673292553205</v>
          </cell>
          <cell r="N18">
            <v>4105.4883945199272</v>
          </cell>
          <cell r="O18">
            <v>14.415857574468085</v>
          </cell>
          <cell r="P18">
            <v>8804.0309521455674</v>
          </cell>
        </row>
        <row r="22">
          <cell r="E22">
            <v>103.17463484308497</v>
          </cell>
          <cell r="F22">
            <v>496.93570358535078</v>
          </cell>
          <cell r="G22">
            <v>49.317058875000001</v>
          </cell>
          <cell r="H22">
            <v>400.57460599876026</v>
          </cell>
          <cell r="I22">
            <v>18.840907489361701</v>
          </cell>
          <cell r="J22">
            <v>30.747871529389499</v>
          </cell>
          <cell r="K22">
            <v>72.574940226191529</v>
          </cell>
          <cell r="L22">
            <v>2732.4279636283281</v>
          </cell>
          <cell r="M22">
            <v>119.79056567287238</v>
          </cell>
          <cell r="N22">
            <v>1240.3094663658762</v>
          </cell>
          <cell r="O22">
            <v>149.02923399999983</v>
          </cell>
          <cell r="P22">
            <v>2502.575572056473</v>
          </cell>
        </row>
        <row r="23">
          <cell r="C23">
            <v>1057.7766976943628</v>
          </cell>
          <cell r="D23">
            <v>137.73989030154257</v>
          </cell>
        </row>
        <row r="24">
          <cell r="C24">
            <v>165.93792854202127</v>
          </cell>
          <cell r="D24">
            <v>55.763185923244677</v>
          </cell>
        </row>
        <row r="25">
          <cell r="C25">
            <v>322.66545154521276</v>
          </cell>
          <cell r="D25">
            <v>360.30720666660267</v>
          </cell>
        </row>
        <row r="26">
          <cell r="C26">
            <v>562.58900374734048</v>
          </cell>
          <cell r="D26">
            <v>635.20119620609103</v>
          </cell>
        </row>
        <row r="27">
          <cell r="C27">
            <v>3632.6825796880225</v>
          </cell>
          <cell r="D27">
            <v>1678.4681464091452</v>
          </cell>
        </row>
        <row r="28">
          <cell r="C28">
            <v>10503.025343823305</v>
          </cell>
          <cell r="D28">
            <v>1322.563561672612</v>
          </cell>
        </row>
        <row r="29">
          <cell r="C29">
            <v>569.52549745220745</v>
          </cell>
          <cell r="D29">
            <v>39.336147753611684</v>
          </cell>
        </row>
        <row r="30">
          <cell r="C30">
            <v>0</v>
          </cell>
          <cell r="D30">
            <v>458</v>
          </cell>
          <cell r="E30">
            <v>0</v>
          </cell>
          <cell r="F30">
            <v>0</v>
          </cell>
          <cell r="G30">
            <v>0</v>
          </cell>
          <cell r="H30">
            <v>0</v>
          </cell>
          <cell r="I30">
            <v>0</v>
          </cell>
          <cell r="J30">
            <v>0</v>
          </cell>
          <cell r="K30">
            <v>0</v>
          </cell>
          <cell r="L30">
            <v>0</v>
          </cell>
          <cell r="M30">
            <v>0</v>
          </cell>
          <cell r="N30">
            <v>0</v>
          </cell>
          <cell r="O30">
            <v>0</v>
          </cell>
          <cell r="P30">
            <v>591.07290635284573</v>
          </cell>
        </row>
        <row r="31">
          <cell r="C31">
            <v>0</v>
          </cell>
          <cell r="D31">
            <v>41.355312559590232</v>
          </cell>
          <cell r="E31">
            <v>0</v>
          </cell>
          <cell r="F31">
            <v>2.1331982106914888</v>
          </cell>
          <cell r="G31">
            <v>0</v>
          </cell>
          <cell r="H31">
            <v>1.1265023599202129</v>
          </cell>
          <cell r="I31">
            <v>0</v>
          </cell>
          <cell r="J31">
            <v>0</v>
          </cell>
          <cell r="K31">
            <v>0</v>
          </cell>
          <cell r="L31">
            <v>0.2658619641489362</v>
          </cell>
          <cell r="M31">
            <v>0</v>
          </cell>
          <cell r="N31">
            <v>46.29274338331539</v>
          </cell>
          <cell r="O31">
            <v>0</v>
          </cell>
          <cell r="P31">
            <v>157.03482921624106</v>
          </cell>
        </row>
        <row r="32">
          <cell r="E32"/>
          <cell r="F32"/>
          <cell r="G32"/>
          <cell r="H32"/>
          <cell r="I32"/>
          <cell r="J32"/>
          <cell r="K32"/>
          <cell r="L32"/>
          <cell r="M32"/>
          <cell r="N32"/>
          <cell r="O32">
            <v>0</v>
          </cell>
          <cell r="P32">
            <v>0</v>
          </cell>
        </row>
        <row r="33">
          <cell r="C33">
            <v>23.865516448829787</v>
          </cell>
          <cell r="D33">
            <v>2790.9918839807233</v>
          </cell>
          <cell r="E33">
            <v>0</v>
          </cell>
          <cell r="F33">
            <v>0</v>
          </cell>
          <cell r="G33">
            <v>0</v>
          </cell>
          <cell r="H33">
            <v>0</v>
          </cell>
          <cell r="I33">
            <v>0</v>
          </cell>
          <cell r="J33">
            <v>0</v>
          </cell>
          <cell r="K33">
            <v>0</v>
          </cell>
          <cell r="L33">
            <v>0</v>
          </cell>
          <cell r="M33">
            <v>0</v>
          </cell>
          <cell r="N33">
            <v>0.37315067639257293</v>
          </cell>
          <cell r="O33">
            <v>5.3255570000000002E-2</v>
          </cell>
          <cell r="P33">
            <v>1278.6880361110357</v>
          </cell>
        </row>
        <row r="34">
          <cell r="C34">
            <v>1329.770235880319</v>
          </cell>
          <cell r="D34">
            <v>1576.6156191772779</v>
          </cell>
          <cell r="E34">
            <v>24.468085106382976</v>
          </cell>
          <cell r="F34">
            <v>2809.1547717194144</v>
          </cell>
          <cell r="G34">
            <v>0</v>
          </cell>
          <cell r="H34">
            <v>0</v>
          </cell>
          <cell r="I34">
            <v>0.26595744680851063</v>
          </cell>
          <cell r="J34">
            <v>0</v>
          </cell>
          <cell r="K34">
            <v>0.53191489361702127</v>
          </cell>
          <cell r="L34">
            <v>14.759718749999999</v>
          </cell>
          <cell r="M34">
            <v>7.7638098404255311</v>
          </cell>
          <cell r="N34">
            <v>14.759718749999999</v>
          </cell>
          <cell r="O34">
            <v>0</v>
          </cell>
          <cell r="P34">
            <v>10</v>
          </cell>
        </row>
        <row r="36">
          <cell r="C36">
            <v>548.54916573641151</v>
          </cell>
          <cell r="D36">
            <v>97.195842612248953</v>
          </cell>
          <cell r="E36">
            <v>-26.234508371108241</v>
          </cell>
          <cell r="F36">
            <v>2204.2292935226365</v>
          </cell>
          <cell r="G36">
            <v>0</v>
          </cell>
          <cell r="H36">
            <v>1.9970814042101439</v>
          </cell>
          <cell r="I36">
            <v>0</v>
          </cell>
          <cell r="J36">
            <v>0.65811882675244626</v>
          </cell>
          <cell r="K36">
            <v>0</v>
          </cell>
          <cell r="L36">
            <v>30.603387227186492</v>
          </cell>
          <cell r="M36">
            <v>0</v>
          </cell>
          <cell r="N36">
            <v>11.316181682030637</v>
          </cell>
          <cell r="O36">
            <v>148.71038553484402</v>
          </cell>
          <cell r="P36">
            <v>732.77963980116931</v>
          </cell>
        </row>
        <row r="37">
          <cell r="C37">
            <v>733.74402874092573</v>
          </cell>
          <cell r="D37">
            <v>749.41636439194417</v>
          </cell>
          <cell r="E37">
            <v>1.2941122340425226E-2</v>
          </cell>
          <cell r="F37">
            <v>2.4701018069778063E-3</v>
          </cell>
          <cell r="G37">
            <v>9.8989361702127651E-5</v>
          </cell>
          <cell r="H37">
            <v>1.7581356382978725E-3</v>
          </cell>
          <cell r="I37">
            <v>0</v>
          </cell>
          <cell r="J37">
            <v>4.0136164133714369E-4</v>
          </cell>
          <cell r="K37">
            <v>6.9323207446808643E-2</v>
          </cell>
          <cell r="L37">
            <v>6.0816515957446814E-3</v>
          </cell>
          <cell r="M37">
            <v>6.6803367021276094E-2</v>
          </cell>
          <cell r="N37">
            <v>0.21866195981382994</v>
          </cell>
          <cell r="O37">
            <v>2.3571867021277473E-2</v>
          </cell>
          <cell r="P37">
            <v>89.771516574276703</v>
          </cell>
        </row>
        <row r="38">
          <cell r="C38">
            <v>19727.81815221917</v>
          </cell>
          <cell r="D38">
            <v>12373.868725576856</v>
          </cell>
          <cell r="E38">
            <v>106.59397726452993</v>
          </cell>
          <cell r="F38">
            <v>6976.2614580763684</v>
          </cell>
          <cell r="G38">
            <v>66.161036837765963</v>
          </cell>
          <cell r="H38">
            <v>440.95111603363523</v>
          </cell>
          <cell r="I38">
            <v>20.777228832446806</v>
          </cell>
          <cell r="J38">
            <v>153.379293242155</v>
          </cell>
          <cell r="K38">
            <v>83.702360465553241</v>
          </cell>
          <cell r="L38">
            <v>4745.3616345033333</v>
          </cell>
          <cell r="M38">
            <v>186.68785217287237</v>
          </cell>
          <cell r="N38">
            <v>5418.758317337355</v>
          </cell>
          <cell r="O38">
            <v>918.50718084420555</v>
          </cell>
          <cell r="P38">
            <v>14452.315072197904</v>
          </cell>
          <cell r="Q38">
            <v>65671.143405604162</v>
          </cell>
        </row>
        <row r="40">
          <cell r="Q40">
            <v>6325.6964145824477</v>
          </cell>
        </row>
        <row r="41">
          <cell r="Q41">
            <v>817.94690318032553</v>
          </cell>
        </row>
        <row r="42">
          <cell r="Q42">
            <v>536.07907828790962</v>
          </cell>
        </row>
        <row r="68">
          <cell r="C68">
            <v>112.06196341590292</v>
          </cell>
          <cell r="D68">
            <v>153.80842860705235</v>
          </cell>
        </row>
        <row r="69">
          <cell r="C69">
            <v>2835.5061448297874</v>
          </cell>
          <cell r="D69">
            <v>13.0851063856383</v>
          </cell>
          <cell r="E69">
            <v>0</v>
          </cell>
          <cell r="F69">
            <v>0.79787234042553201</v>
          </cell>
          <cell r="G69">
            <v>0</v>
          </cell>
          <cell r="H69">
            <v>0</v>
          </cell>
          <cell r="I69">
            <v>0</v>
          </cell>
          <cell r="J69">
            <v>0</v>
          </cell>
          <cell r="K69">
            <v>0</v>
          </cell>
          <cell r="L69">
            <v>3.191489361702128</v>
          </cell>
          <cell r="M69">
            <v>0</v>
          </cell>
          <cell r="N69">
            <v>0.79787234042553201</v>
          </cell>
          <cell r="O69">
            <v>0</v>
          </cell>
          <cell r="P69">
            <v>7.4468085106382977</v>
          </cell>
        </row>
        <row r="72">
          <cell r="C72">
            <v>1275.2729704014478</v>
          </cell>
          <cell r="D72">
            <v>756.5028102480851</v>
          </cell>
          <cell r="E72">
            <v>14.627635904255319</v>
          </cell>
          <cell r="F72">
            <v>495.50832808015042</v>
          </cell>
          <cell r="G72">
            <v>0</v>
          </cell>
          <cell r="H72">
            <v>32.347772441731145</v>
          </cell>
          <cell r="I72">
            <v>0</v>
          </cell>
          <cell r="J72">
            <v>0.45476447454407204</v>
          </cell>
          <cell r="K72">
            <v>-1.2146276595744681E-4</v>
          </cell>
          <cell r="L72">
            <v>513.38900596871758</v>
          </cell>
          <cell r="M72">
            <v>-1.6861702127659575E-5</v>
          </cell>
          <cell r="N72">
            <v>696.56074950648554</v>
          </cell>
          <cell r="O72">
            <v>-2.999734042553192E-4</v>
          </cell>
          <cell r="P72">
            <v>2031.5140927850202</v>
          </cell>
        </row>
        <row r="76">
          <cell r="E76">
            <v>9.6034247154255326</v>
          </cell>
          <cell r="F76">
            <v>25.154645248833514</v>
          </cell>
          <cell r="G76">
            <v>7.1198776595744681E-2</v>
          </cell>
          <cell r="H76">
            <v>217.18885508420217</v>
          </cell>
          <cell r="I76">
            <v>3.2054949468085112E-2</v>
          </cell>
          <cell r="J76">
            <v>547.53435238868678</v>
          </cell>
          <cell r="K76">
            <v>37.658155151595743</v>
          </cell>
          <cell r="L76">
            <v>1288.3648011492737</v>
          </cell>
          <cell r="M76">
            <v>0.9930896569148937</v>
          </cell>
          <cell r="N76">
            <v>826.57693208237254</v>
          </cell>
          <cell r="O76">
            <v>6.3847858484042552</v>
          </cell>
          <cell r="P76">
            <v>3014.1407862423962</v>
          </cell>
        </row>
        <row r="77">
          <cell r="C77">
            <v>305.00824341489357</v>
          </cell>
          <cell r="D77">
            <v>701.40899705063794</v>
          </cell>
        </row>
        <row r="78">
          <cell r="C78">
            <v>0</v>
          </cell>
          <cell r="D78">
            <v>0</v>
          </cell>
        </row>
        <row r="79">
          <cell r="C79">
            <v>51.76750876595743</v>
          </cell>
          <cell r="D79">
            <v>271.91935248037237</v>
          </cell>
        </row>
        <row r="80">
          <cell r="C80">
            <v>73.780436023936176</v>
          </cell>
          <cell r="D80">
            <v>1548.0928882395212</v>
          </cell>
        </row>
        <row r="81">
          <cell r="C81">
            <v>4292.2115996758575</v>
          </cell>
          <cell r="D81">
            <v>1548.6112165955678</v>
          </cell>
        </row>
        <row r="82">
          <cell r="C82">
            <v>8481.1949013846788</v>
          </cell>
          <cell r="D82">
            <v>383.10330968195882</v>
          </cell>
        </row>
        <row r="83">
          <cell r="C83">
            <v>90.814683505319039</v>
          </cell>
          <cell r="D83">
            <v>123.05358759881531</v>
          </cell>
        </row>
        <row r="84">
          <cell r="E84">
            <v>-5.6547905531914903E-2</v>
          </cell>
          <cell r="F84">
            <v>2042.2007161576225</v>
          </cell>
          <cell r="G84">
            <v>0.27866640957446814</v>
          </cell>
          <cell r="H84">
            <v>1286.2686593267022</v>
          </cell>
          <cell r="I84">
            <v>0</v>
          </cell>
          <cell r="J84">
            <v>145.81832581450729</v>
          </cell>
          <cell r="K84">
            <v>-7.1923510638297869E-2</v>
          </cell>
          <cell r="L84">
            <v>2549.7717908592231</v>
          </cell>
          <cell r="M84">
            <v>0</v>
          </cell>
          <cell r="N84">
            <v>2221.6016878733963</v>
          </cell>
          <cell r="O84">
            <v>2.7805433776595745</v>
          </cell>
          <cell r="P84">
            <v>5519.7976362518211</v>
          </cell>
        </row>
        <row r="86">
          <cell r="C86">
            <v>1908.9652290454098</v>
          </cell>
          <cell r="D86">
            <v>7047.1100510233682</v>
          </cell>
        </row>
        <row r="89">
          <cell r="C89">
            <v>1.3989361700212766E-6</v>
          </cell>
          <cell r="D89">
            <v>1422.7210406885749</v>
          </cell>
        </row>
        <row r="92">
          <cell r="C92">
            <v>849.27730965508511</v>
          </cell>
          <cell r="D92">
            <v>602.0446940704993</v>
          </cell>
        </row>
        <row r="93">
          <cell r="C93">
            <v>-5.6480436170212596E-2</v>
          </cell>
          <cell r="D93">
            <v>4.3082714882808748</v>
          </cell>
          <cell r="E93">
            <v>0</v>
          </cell>
          <cell r="F93">
            <v>1.3759826714095742</v>
          </cell>
          <cell r="G93">
            <v>0</v>
          </cell>
          <cell r="H93">
            <v>6.76494414893617E-5</v>
          </cell>
          <cell r="I93">
            <v>0</v>
          </cell>
          <cell r="J93">
            <v>0.13588422561170216</v>
          </cell>
          <cell r="K93">
            <v>0</v>
          </cell>
          <cell r="L93">
            <v>0.72015087452127635</v>
          </cell>
          <cell r="M93">
            <v>0</v>
          </cell>
          <cell r="N93">
            <v>49.089841909231602</v>
          </cell>
          <cell r="O93">
            <v>0</v>
          </cell>
          <cell r="P93">
            <v>256.65268231091358</v>
          </cell>
        </row>
        <row r="94">
          <cell r="E94"/>
          <cell r="F94"/>
          <cell r="G94"/>
          <cell r="H94"/>
          <cell r="I94"/>
          <cell r="J94"/>
          <cell r="K94"/>
          <cell r="L94"/>
          <cell r="M94"/>
          <cell r="N94"/>
          <cell r="O94">
            <v>0</v>
          </cell>
          <cell r="P94">
            <v>0</v>
          </cell>
        </row>
        <row r="95">
          <cell r="C95">
            <v>27.198967340425529</v>
          </cell>
          <cell r="D95">
            <v>1612.3553683337532</v>
          </cell>
          <cell r="E95">
            <v>0</v>
          </cell>
          <cell r="F95">
            <v>0</v>
          </cell>
          <cell r="G95">
            <v>0</v>
          </cell>
          <cell r="H95">
            <v>0</v>
          </cell>
          <cell r="I95">
            <v>0</v>
          </cell>
          <cell r="J95">
            <v>0</v>
          </cell>
          <cell r="K95">
            <v>0</v>
          </cell>
          <cell r="L95">
            <v>0</v>
          </cell>
          <cell r="M95">
            <v>0</v>
          </cell>
          <cell r="N95">
            <v>75.812612543766576</v>
          </cell>
          <cell r="O95">
            <v>0</v>
          </cell>
          <cell r="P95">
            <v>1866.0671109825798</v>
          </cell>
        </row>
        <row r="96">
          <cell r="C96">
            <v>318.90875795567791</v>
          </cell>
          <cell r="D96">
            <v>20.502376422420213</v>
          </cell>
        </row>
        <row r="97">
          <cell r="C97">
            <v>1557.8435295160534</v>
          </cell>
          <cell r="D97">
            <v>833.86147671907679</v>
          </cell>
          <cell r="E97">
            <v>8.3956542553191582E-4</v>
          </cell>
          <cell r="F97">
            <v>5.2788092446808509E-2</v>
          </cell>
          <cell r="G97">
            <v>2.9539361702127654E-4</v>
          </cell>
          <cell r="H97">
            <v>2.7122340425531913E-5</v>
          </cell>
          <cell r="I97">
            <v>2.7805851063829787E-5</v>
          </cell>
          <cell r="J97">
            <v>2.4492021276595742E-5</v>
          </cell>
          <cell r="K97">
            <v>6.8298164893617766E-3</v>
          </cell>
          <cell r="L97">
            <v>66.559231054680851</v>
          </cell>
          <cell r="M97">
            <v>4.5184301196808505</v>
          </cell>
          <cell r="N97">
            <v>119.90971190276596</v>
          </cell>
          <cell r="O97">
            <v>0.35325769680851088</v>
          </cell>
          <cell r="P97">
            <v>468.80964289973588</v>
          </cell>
        </row>
        <row r="98">
          <cell r="C98">
            <v>22179.755765893195</v>
          </cell>
          <cell r="D98">
            <v>17042.488975633623</v>
          </cell>
          <cell r="E98">
            <v>24.175352279574472</v>
          </cell>
          <cell r="F98">
            <v>2565.0903325908885</v>
          </cell>
          <cell r="G98">
            <v>0.35016057978723414</v>
          </cell>
          <cell r="H98">
            <v>1535.8053816244174</v>
          </cell>
          <cell r="I98">
            <v>3.2082755319148941E-2</v>
          </cell>
          <cell r="J98">
            <v>693.943351395371</v>
          </cell>
          <cell r="K98">
            <v>37.592939994680847</v>
          </cell>
          <cell r="L98">
            <v>4421.9964692681187</v>
          </cell>
          <cell r="M98">
            <v>5.511502914893617</v>
          </cell>
          <cell r="N98">
            <v>3990.349408158444</v>
          </cell>
          <cell r="O98">
            <v>9.5182869494680862</v>
          </cell>
          <cell r="P98">
            <v>13164.428759983106</v>
          </cell>
          <cell r="Q98">
            <v>65671.038770020896</v>
          </cell>
        </row>
        <row r="100">
          <cell r="Q100">
            <v>6275.3057758810255</v>
          </cell>
        </row>
        <row r="101">
          <cell r="Q101">
            <v>815.40987932089251</v>
          </cell>
        </row>
        <row r="102">
          <cell r="Q102">
            <v>536.07907828790962</v>
          </cell>
        </row>
      </sheetData>
      <sheetData sheetId="1"/>
      <sheetData sheetId="2">
        <row r="15">
          <cell r="AX15">
            <v>7286.1357745734786</v>
          </cell>
        </row>
        <row r="69">
          <cell r="AX69">
            <v>936.19652755448419</v>
          </cell>
        </row>
        <row r="86">
          <cell r="AX86">
            <v>0</v>
          </cell>
        </row>
        <row r="90">
          <cell r="AX90">
            <v>58.203286026595741</v>
          </cell>
        </row>
        <row r="105">
          <cell r="AX105">
            <v>4.8072952127659573E-3</v>
          </cell>
        </row>
        <row r="118">
          <cell r="AX118">
            <v>2.886461938829787</v>
          </cell>
        </row>
        <row r="120">
          <cell r="AX120">
            <v>212.83207503723406</v>
          </cell>
        </row>
        <row r="122">
          <cell r="AX122">
            <v>1536.5375746062916</v>
          </cell>
        </row>
        <row r="130">
          <cell r="AX130">
            <v>1070.5960046000507</v>
          </cell>
        </row>
        <row r="141">
          <cell r="AX141">
            <v>1186.350365692138</v>
          </cell>
        </row>
        <row r="170">
          <cell r="AX170">
            <v>3.9026744680850982E-2</v>
          </cell>
        </row>
        <row r="186">
          <cell r="AX186">
            <v>32101.68317805016</v>
          </cell>
        </row>
        <row r="187">
          <cell r="AX187">
            <v>1446.3185941744771</v>
          </cell>
        </row>
        <row r="188">
          <cell r="AX188">
            <v>201.58402457071077</v>
          </cell>
        </row>
        <row r="189">
          <cell r="AX189">
            <v>7082.8554353408917</v>
          </cell>
        </row>
        <row r="190">
          <cell r="AX190">
            <v>507.11215287140129</v>
          </cell>
        </row>
        <row r="191">
          <cell r="AX191">
            <v>174.15646040351427</v>
          </cell>
        </row>
        <row r="192">
          <cell r="AX192">
            <v>4829.063994146607</v>
          </cell>
        </row>
        <row r="193">
          <cell r="AX193">
            <v>5605.4461705633585</v>
          </cell>
        </row>
        <row r="199">
          <cell r="AX199">
            <v>496.59451580596948</v>
          </cell>
        </row>
        <row r="200">
          <cell r="AX200">
            <v>21.606026506347145</v>
          </cell>
        </row>
        <row r="201">
          <cell r="AX201">
            <v>128.55341764695396</v>
          </cell>
        </row>
        <row r="202">
          <cell r="AX202">
            <v>0.19994925265957447</v>
          </cell>
        </row>
        <row r="203">
          <cell r="AX203">
            <v>380.71864105851074</v>
          </cell>
        </row>
        <row r="204">
          <cell r="AX204">
            <v>274.44627663256068</v>
          </cell>
        </row>
        <row r="229">
          <cell r="AX229">
            <v>0.66822476051131563</v>
          </cell>
        </row>
      </sheetData>
      <sheetData sheetId="3">
        <row r="15">
          <cell r="AH15">
            <v>4031.5823570604111</v>
          </cell>
        </row>
        <row r="69">
          <cell r="AH69">
            <v>1851.54501757761</v>
          </cell>
        </row>
        <row r="86">
          <cell r="AH86">
            <v>0</v>
          </cell>
        </row>
        <row r="90">
          <cell r="AH90">
            <v>0</v>
          </cell>
        </row>
        <row r="105">
          <cell r="AH105">
            <v>0</v>
          </cell>
        </row>
        <row r="118">
          <cell r="AH118">
            <v>3.0314574468085108E-3</v>
          </cell>
        </row>
        <row r="120">
          <cell r="AH120">
            <v>0</v>
          </cell>
        </row>
        <row r="122">
          <cell r="AH122">
            <v>1286.9390725464191</v>
          </cell>
        </row>
        <row r="130">
          <cell r="AH130">
            <v>2520.1489061660686</v>
          </cell>
        </row>
        <row r="141">
          <cell r="AH141">
            <v>1560.8394004157099</v>
          </cell>
        </row>
        <row r="170">
          <cell r="AH170">
            <v>137.77640247848402</v>
          </cell>
        </row>
        <row r="186">
          <cell r="AH186">
            <v>39222.25141864577</v>
          </cell>
        </row>
        <row r="187">
          <cell r="AH187">
            <v>0</v>
          </cell>
        </row>
        <row r="188">
          <cell r="AH188">
            <v>352.88886068612544</v>
          </cell>
        </row>
        <row r="189">
          <cell r="AH189">
            <v>2589.263323015753</v>
          </cell>
        </row>
        <row r="190">
          <cell r="AH190">
            <v>1536.1555417542043</v>
          </cell>
        </row>
        <row r="191">
          <cell r="AH191">
            <v>694.00543415069046</v>
          </cell>
        </row>
        <row r="192">
          <cell r="AH192">
            <v>4459.5531965887567</v>
          </cell>
        </row>
        <row r="193">
          <cell r="AH193">
            <v>3995.8609478357866</v>
          </cell>
        </row>
        <row r="199">
          <cell r="AH199">
            <v>27.304152088759171</v>
          </cell>
        </row>
        <row r="200">
          <cell r="AH200">
            <v>1.1973670212765957E-4</v>
          </cell>
        </row>
        <row r="201">
          <cell r="AH201">
            <v>0</v>
          </cell>
        </row>
        <row r="202">
          <cell r="AH202">
            <v>0</v>
          </cell>
        </row>
        <row r="203">
          <cell r="AH203">
            <v>10.084822819148936</v>
          </cell>
        </row>
        <row r="204">
          <cell r="AH204">
            <v>927.87516631208018</v>
          </cell>
        </row>
        <row r="229">
          <cell r="AH229">
            <v>129.13579124520516</v>
          </cell>
        </row>
        <row r="272">
          <cell r="AH272">
            <v>65671.095824634554</v>
          </cell>
        </row>
      </sheetData>
      <sheetData sheetId="4">
        <row r="14">
          <cell r="D14">
            <v>21110.245240447723</v>
          </cell>
          <cell r="G14">
            <v>22256.904614646635</v>
          </cell>
        </row>
        <row r="16">
          <cell r="D16">
            <v>34571.82171136215</v>
          </cell>
          <cell r="G16">
            <v>36956.108080352686</v>
          </cell>
        </row>
        <row r="17">
          <cell r="D17">
            <v>324.22490868208092</v>
          </cell>
          <cell r="G17">
            <v>347.76794386628711</v>
          </cell>
        </row>
        <row r="18">
          <cell r="D18">
            <v>6.4887875106789794</v>
          </cell>
          <cell r="G18">
            <v>83.957701050925735</v>
          </cell>
        </row>
        <row r="19">
          <cell r="D19">
            <v>2.1451719783988268</v>
          </cell>
          <cell r="G19">
            <v>3.978304991249066</v>
          </cell>
        </row>
        <row r="20">
          <cell r="D20">
            <v>1261.9459069559525</v>
          </cell>
          <cell r="G20">
            <v>1003.5624555418203</v>
          </cell>
        </row>
        <row r="21">
          <cell r="D21">
            <v>4692.4239134021936</v>
          </cell>
          <cell r="G21">
            <v>950.66842279941739</v>
          </cell>
        </row>
        <row r="22">
          <cell r="D22">
            <v>1877.259732608419</v>
          </cell>
          <cell r="G22">
            <v>2446.7845035821606</v>
          </cell>
        </row>
        <row r="23">
          <cell r="D23">
            <v>1824.6074314988332</v>
          </cell>
          <cell r="G23">
            <v>1621.3364631375252</v>
          </cell>
        </row>
        <row r="24">
          <cell r="G24">
            <v>65671.068489968718</v>
          </cell>
        </row>
      </sheetData>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14">
          <cell r="C14">
            <v>45.591416236000001</v>
          </cell>
          <cell r="D14">
            <v>0</v>
          </cell>
        </row>
        <row r="18">
          <cell r="C18">
            <v>349.59575920600003</v>
          </cell>
          <cell r="D18">
            <v>1130.91073179458</v>
          </cell>
        </row>
        <row r="23">
          <cell r="C23">
            <v>1427.0137939388596</v>
          </cell>
          <cell r="D23">
            <v>223.52501856538001</v>
          </cell>
        </row>
        <row r="24">
          <cell r="C24">
            <v>345.65364489500001</v>
          </cell>
          <cell r="D24">
            <v>90.307730786139999</v>
          </cell>
        </row>
        <row r="25">
          <cell r="C25">
            <v>212.98568416956977</v>
          </cell>
          <cell r="D25">
            <v>218.20099722060257</v>
          </cell>
        </row>
        <row r="26">
          <cell r="C26">
            <v>316.78578375874997</v>
          </cell>
          <cell r="D26">
            <v>293.10037096316023</v>
          </cell>
        </row>
        <row r="27">
          <cell r="C27">
            <v>2755.7175608065963</v>
          </cell>
          <cell r="D27">
            <v>1265.548452978659</v>
          </cell>
        </row>
        <row r="28">
          <cell r="C28">
            <v>7642.4973684089637</v>
          </cell>
          <cell r="D28">
            <v>1203.0310703404541</v>
          </cell>
        </row>
        <row r="29">
          <cell r="C29">
            <v>249.98460841503001</v>
          </cell>
          <cell r="D29">
            <v>12.160661855337992</v>
          </cell>
        </row>
        <row r="30">
          <cell r="C30">
            <v>0</v>
          </cell>
          <cell r="D30">
            <v>0</v>
          </cell>
        </row>
        <row r="31">
          <cell r="C31">
            <v>3.4</v>
          </cell>
          <cell r="D31">
            <v>19.472901223956079</v>
          </cell>
        </row>
        <row r="33">
          <cell r="C33">
            <v>373.68794816878886</v>
          </cell>
          <cell r="D33">
            <v>50.104710233945553</v>
          </cell>
        </row>
        <row r="34">
          <cell r="C34">
            <v>2693.9839632019994</v>
          </cell>
          <cell r="D34">
            <v>194.81109032200001</v>
          </cell>
        </row>
        <row r="36">
          <cell r="C36">
            <v>1121.9788917294923</v>
          </cell>
          <cell r="D36">
            <v>-29.410890369772957</v>
          </cell>
        </row>
        <row r="37">
          <cell r="C37">
            <v>408.36274037911647</v>
          </cell>
          <cell r="D37">
            <v>365.06297181345661</v>
          </cell>
        </row>
        <row r="38">
          <cell r="C38">
            <v>17947.239163314171</v>
          </cell>
          <cell r="D38">
            <v>5036.8258177278985</v>
          </cell>
          <cell r="E38">
            <v>86.036390546848239</v>
          </cell>
          <cell r="F38">
            <v>4918.089232566118</v>
          </cell>
          <cell r="G38">
            <v>2.6938832438320004</v>
          </cell>
          <cell r="H38">
            <v>180.13915235126672</v>
          </cell>
          <cell r="I38">
            <v>17.105123634624</v>
          </cell>
          <cell r="J38">
            <v>259.63277413461344</v>
          </cell>
          <cell r="K38">
            <v>52.571244267039013</v>
          </cell>
          <cell r="L38">
            <v>243.8377711929059</v>
          </cell>
          <cell r="M38">
            <v>1392.399272323016</v>
          </cell>
          <cell r="N38">
            <v>4080.8819776471678</v>
          </cell>
          <cell r="O38">
            <v>679.21240780995265</v>
          </cell>
          <cell r="P38">
            <v>9350.3882038419033</v>
          </cell>
          <cell r="Q38">
            <v>44247.052414601356</v>
          </cell>
        </row>
        <row r="40">
          <cell r="Q40">
            <v>8376.2600566648871</v>
          </cell>
        </row>
        <row r="68">
          <cell r="C68">
            <v>111.25228456296186</v>
          </cell>
          <cell r="D68">
            <v>61.119024203251691</v>
          </cell>
        </row>
        <row r="69">
          <cell r="C69">
            <v>4431.6007404209995</v>
          </cell>
          <cell r="D69">
            <v>4.9200055110000003</v>
          </cell>
        </row>
        <row r="72">
          <cell r="C72">
            <v>415.36582097700011</v>
          </cell>
          <cell r="D72">
            <v>312.70268047229058</v>
          </cell>
        </row>
        <row r="76">
          <cell r="C76">
            <v>9185.4086661519632</v>
          </cell>
          <cell r="D76">
            <v>3461.2632443535845</v>
          </cell>
        </row>
        <row r="77">
          <cell r="C77">
            <v>346.79709952399998</v>
          </cell>
          <cell r="D77">
            <v>954.87382435799987</v>
          </cell>
        </row>
        <row r="78">
          <cell r="C78">
            <v>0</v>
          </cell>
          <cell r="D78">
            <v>0</v>
          </cell>
        </row>
        <row r="79">
          <cell r="C79">
            <v>131.484593206</v>
          </cell>
          <cell r="D79">
            <v>108.14367653262001</v>
          </cell>
        </row>
        <row r="80">
          <cell r="C80">
            <v>30.09590644575</v>
          </cell>
          <cell r="D80">
            <v>1078.3556913287</v>
          </cell>
        </row>
        <row r="81">
          <cell r="C81">
            <v>2578.3836831720923</v>
          </cell>
          <cell r="D81">
            <v>1043.8797492073336</v>
          </cell>
        </row>
        <row r="82">
          <cell r="C82">
            <v>6064.5010628061218</v>
          </cell>
          <cell r="D82">
            <v>229.74215398977654</v>
          </cell>
        </row>
        <row r="83">
          <cell r="C83">
            <v>34.146320997999958</v>
          </cell>
          <cell r="D83">
            <v>46.268148937154557</v>
          </cell>
        </row>
        <row r="84">
          <cell r="E84">
            <v>-2.2259360000000002E-2</v>
          </cell>
          <cell r="F84">
            <v>775.96954324543412</v>
          </cell>
          <cell r="G84">
            <v>0.10477857000000002</v>
          </cell>
          <cell r="H84">
            <v>418.26833818685867</v>
          </cell>
          <cell r="I84">
            <v>0</v>
          </cell>
          <cell r="J84">
            <v>264.52266876989199</v>
          </cell>
          <cell r="K84">
            <v>-2.704324E-2</v>
          </cell>
          <cell r="L84">
            <v>1858.9981632354093</v>
          </cell>
          <cell r="M84">
            <v>0</v>
          </cell>
          <cell r="N84">
            <v>1174.6257350452879</v>
          </cell>
          <cell r="O84">
            <v>1.0454843100000002</v>
          </cell>
          <cell r="P84">
            <v>2369.2497312370419</v>
          </cell>
        </row>
        <row r="86">
          <cell r="C86">
            <v>3826.0708018171381</v>
          </cell>
          <cell r="D86">
            <v>3124.5356056751098</v>
          </cell>
        </row>
        <row r="89">
          <cell r="C89">
            <v>5.25999999928E-7</v>
          </cell>
          <cell r="D89">
            <v>161.55609945142413</v>
          </cell>
        </row>
        <row r="92">
          <cell r="C92">
            <v>461.79857503800002</v>
          </cell>
          <cell r="D92">
            <v>133.93280495922772</v>
          </cell>
        </row>
        <row r="93">
          <cell r="C93">
            <v>3.2787633559999998</v>
          </cell>
          <cell r="D93">
            <v>21.48822872154761</v>
          </cell>
        </row>
        <row r="95">
          <cell r="C95">
            <v>424.39228698802208</v>
          </cell>
          <cell r="D95">
            <v>714.77835744345896</v>
          </cell>
        </row>
        <row r="96">
          <cell r="C96">
            <v>201.12437747629338</v>
          </cell>
          <cell r="D96">
            <v>8.1314483253399992</v>
          </cell>
        </row>
        <row r="97">
          <cell r="C97">
            <v>668.8386910756351</v>
          </cell>
          <cell r="D97">
            <v>303.31324884482916</v>
          </cell>
        </row>
        <row r="98">
          <cell r="C98">
            <v>19729.131008390013</v>
          </cell>
          <cell r="D98">
            <v>8307.7407479610647</v>
          </cell>
          <cell r="E98">
            <v>67.993026494000006</v>
          </cell>
          <cell r="F98">
            <v>2578.2200566397132</v>
          </cell>
          <cell r="G98">
            <v>0.13166037799999999</v>
          </cell>
          <cell r="H98">
            <v>531.39825250133367</v>
          </cell>
          <cell r="I98">
            <v>1.3993510000000001E-2</v>
          </cell>
          <cell r="J98">
            <v>938.64498802450225</v>
          </cell>
          <cell r="K98">
            <v>15.084945437999997</v>
          </cell>
          <cell r="L98">
            <v>2336.8139975476834</v>
          </cell>
          <cell r="M98">
            <v>73.1915812827</v>
          </cell>
          <cell r="N98">
            <v>2567.5134849876613</v>
          </cell>
          <cell r="O98">
            <v>39.076872893000001</v>
          </cell>
          <cell r="P98">
            <v>7061.9828461436837</v>
          </cell>
          <cell r="Q98">
            <v>44246.937462191359</v>
          </cell>
        </row>
        <row r="100">
          <cell r="Q100">
            <v>8380.2199291224897</v>
          </cell>
        </row>
      </sheetData>
      <sheetData sheetId="1">
        <row r="15">
          <cell r="C15">
            <v>1042.275801278</v>
          </cell>
          <cell r="D15">
            <v>345.65364489500001</v>
          </cell>
          <cell r="F15">
            <v>316.80672143975005</v>
          </cell>
          <cell r="I15">
            <v>12526.286408433694</v>
          </cell>
          <cell r="K15">
            <v>297.03729968827406</v>
          </cell>
        </row>
        <row r="16">
          <cell r="E16">
            <v>94.615600976569766</v>
          </cell>
          <cell r="G16">
            <v>1331.1129938182983</v>
          </cell>
          <cell r="H16">
            <v>969.62407350002195</v>
          </cell>
        </row>
        <row r="17">
          <cell r="E17">
            <v>1.141772002</v>
          </cell>
          <cell r="G17">
            <v>94.83504518300002</v>
          </cell>
          <cell r="H17">
            <v>3209.4369963744971</v>
          </cell>
        </row>
        <row r="18">
          <cell r="E18">
            <v>117.238841808</v>
          </cell>
          <cell r="G18">
            <v>1302.8044371513083</v>
          </cell>
          <cell r="H18">
            <v>3700.7404800072491</v>
          </cell>
        </row>
        <row r="19">
          <cell r="E19">
            <v>0</v>
          </cell>
          <cell r="G19">
            <v>0</v>
          </cell>
          <cell r="H19">
            <v>0</v>
          </cell>
        </row>
        <row r="20">
          <cell r="I20">
            <v>0</v>
          </cell>
        </row>
        <row r="21">
          <cell r="I21">
            <v>424.48763585485909</v>
          </cell>
        </row>
        <row r="23">
          <cell r="C23">
            <v>223.52501856537998</v>
          </cell>
          <cell r="D23">
            <v>90.307730786139985</v>
          </cell>
          <cell r="F23">
            <v>291.44337096316019</v>
          </cell>
          <cell r="I23">
            <v>3303.735753752957</v>
          </cell>
          <cell r="K23">
            <v>4406.3329943336048</v>
          </cell>
        </row>
        <row r="24">
          <cell r="E24">
            <v>63.685076118016092</v>
          </cell>
          <cell r="G24">
            <v>365.30021683089126</v>
          </cell>
          <cell r="H24">
            <v>123.96144572833519</v>
          </cell>
        </row>
        <row r="25">
          <cell r="E25">
            <v>2.0491977449999994</v>
          </cell>
          <cell r="G25">
            <v>28.728701211136965</v>
          </cell>
          <cell r="H25">
            <v>108.90453969647731</v>
          </cell>
        </row>
        <row r="26">
          <cell r="E26">
            <v>152.42561535758648</v>
          </cell>
          <cell r="G26">
            <v>871.51317070563039</v>
          </cell>
          <cell r="H26">
            <v>981.891670045203</v>
          </cell>
        </row>
        <row r="27">
          <cell r="E27">
            <v>0</v>
          </cell>
          <cell r="G27">
            <v>0</v>
          </cell>
          <cell r="H27">
            <v>0</v>
          </cell>
        </row>
        <row r="28">
          <cell r="I28">
            <v>0</v>
          </cell>
        </row>
        <row r="29">
          <cell r="I29">
            <v>2.0579999999999998</v>
          </cell>
        </row>
      </sheetData>
      <sheetData sheetId="2">
        <row r="15">
          <cell r="AX15">
            <v>4759.6720420704141</v>
          </cell>
        </row>
        <row r="69">
          <cell r="AX69">
            <v>394.31408490439367</v>
          </cell>
        </row>
        <row r="86">
          <cell r="AX86">
            <v>0</v>
          </cell>
        </row>
        <row r="90">
          <cell r="AX90">
            <v>21.884435546000002</v>
          </cell>
        </row>
        <row r="105">
          <cell r="AX105">
            <v>136.624807562</v>
          </cell>
        </row>
        <row r="118">
          <cell r="AX118">
            <v>1.085309689</v>
          </cell>
        </row>
        <row r="120">
          <cell r="AX120">
            <v>80.024860214000014</v>
          </cell>
        </row>
        <row r="122">
          <cell r="AX122">
            <v>1.9164539109999998</v>
          </cell>
        </row>
        <row r="130">
          <cell r="AX130">
            <v>462.55257374762044</v>
          </cell>
        </row>
        <row r="141">
          <cell r="AX141">
            <v>471.56841566640793</v>
          </cell>
        </row>
        <row r="170">
          <cell r="AX170">
            <v>1.4674055999999968E-2</v>
          </cell>
        </row>
        <row r="186">
          <cell r="D186">
            <v>919.09421019640035</v>
          </cell>
          <cell r="E186">
            <v>15.078442555913682</v>
          </cell>
          <cell r="F186">
            <v>0</v>
          </cell>
          <cell r="G186">
            <v>5.2330898077478789</v>
          </cell>
          <cell r="H186">
            <v>0</v>
          </cell>
          <cell r="I186">
            <v>532.00384433459999</v>
          </cell>
          <cell r="J186">
            <v>70.390369488772663</v>
          </cell>
          <cell r="K186">
            <v>3010.7823772128486</v>
          </cell>
          <cell r="L186">
            <v>129.33217260875506</v>
          </cell>
          <cell r="M186">
            <v>17.587388958867439</v>
          </cell>
          <cell r="N186">
            <v>90.740148389649889</v>
          </cell>
          <cell r="O186">
            <v>0.83682119347583772</v>
          </cell>
          <cell r="P186">
            <v>11943.429968975379</v>
          </cell>
          <cell r="Q186">
            <v>81.099684350742692</v>
          </cell>
          <cell r="S186">
            <v>124.09933902743683</v>
          </cell>
          <cell r="T186">
            <v>0.6046268575599999</v>
          </cell>
          <cell r="U186">
            <v>1.1084530000000001E-3</v>
          </cell>
          <cell r="V186">
            <v>0.82757771919000001</v>
          </cell>
          <cell r="W186">
            <v>7.7033397000003602E-4</v>
          </cell>
          <cell r="X186">
            <v>767.52160226178887</v>
          </cell>
          <cell r="Y186">
            <v>10.632410493620004</v>
          </cell>
          <cell r="Z186">
            <v>378.21874531800489</v>
          </cell>
          <cell r="AA186">
            <v>13.125918006798582</v>
          </cell>
          <cell r="AB186">
            <v>0.55118691288039645</v>
          </cell>
          <cell r="AC186">
            <v>3.4585412887898355</v>
          </cell>
          <cell r="AD186">
            <v>-0.16572119023054158</v>
          </cell>
          <cell r="AE186">
            <v>874.61715215127583</v>
          </cell>
          <cell r="AF186">
            <v>13.678548197109709</v>
          </cell>
          <cell r="AI186">
            <v>21.855046260752314</v>
          </cell>
          <cell r="AJ186">
            <v>0</v>
          </cell>
          <cell r="AK186">
            <v>0</v>
          </cell>
          <cell r="AL186">
            <v>0</v>
          </cell>
          <cell r="AM186">
            <v>0</v>
          </cell>
          <cell r="AN186">
            <v>206.20021206108871</v>
          </cell>
          <cell r="AO186">
            <v>0</v>
          </cell>
          <cell r="AP186">
            <v>117.63880072591206</v>
          </cell>
          <cell r="AQ186">
            <v>1.7960507944969058E-2</v>
          </cell>
          <cell r="AR186">
            <v>0</v>
          </cell>
          <cell r="AS186">
            <v>-7.1981360086447273E-5</v>
          </cell>
          <cell r="AT186">
            <v>0</v>
          </cell>
          <cell r="AU186">
            <v>3635.6530235703867</v>
          </cell>
          <cell r="AV186">
            <v>-1.1535561022196755E-2</v>
          </cell>
          <cell r="AX186">
            <v>22984.133759488053</v>
          </cell>
        </row>
        <row r="187">
          <cell r="AX187">
            <v>511.10379140960339</v>
          </cell>
        </row>
        <row r="188">
          <cell r="AX188">
            <v>473.53509471595942</v>
          </cell>
        </row>
        <row r="189">
          <cell r="AX189">
            <v>5004.1610633464243</v>
          </cell>
        </row>
        <row r="190">
          <cell r="AX190">
            <v>182.81238959209873</v>
          </cell>
        </row>
        <row r="191">
          <cell r="AX191">
            <v>276.70432963923753</v>
          </cell>
        </row>
        <row r="192">
          <cell r="AX192">
            <v>296.45387213114498</v>
          </cell>
        </row>
        <row r="193">
          <cell r="AX193">
            <v>5473.2614558984687</v>
          </cell>
        </row>
        <row r="199">
          <cell r="AX199">
            <v>405.6383190459245</v>
          </cell>
        </row>
        <row r="200">
          <cell r="AX200">
            <v>19.513637750033954</v>
          </cell>
        </row>
        <row r="201">
          <cell r="AX201">
            <v>54.95606114873469</v>
          </cell>
        </row>
        <row r="202">
          <cell r="AX202">
            <v>0.48518091900000004</v>
          </cell>
        </row>
        <row r="203">
          <cell r="AX203">
            <v>143.350209038</v>
          </cell>
        </row>
        <row r="204">
          <cell r="AX204">
            <v>1074.2617983552577</v>
          </cell>
        </row>
        <row r="229">
          <cell r="AX229">
            <v>813.95696896357458</v>
          </cell>
        </row>
        <row r="272">
          <cell r="D272">
            <v>7214.5967391137765</v>
          </cell>
          <cell r="E272">
            <v>200.68924547046271</v>
          </cell>
          <cell r="F272">
            <v>11.397382247596241</v>
          </cell>
          <cell r="G272">
            <v>243.56707806852515</v>
          </cell>
          <cell r="H272">
            <v>4.4768179001933792E-3</v>
          </cell>
          <cell r="I272">
            <v>1960.2293500436001</v>
          </cell>
          <cell r="J272">
            <v>1850.0113366608737</v>
          </cell>
          <cell r="K272">
            <v>5535.6591280750827</v>
          </cell>
          <cell r="L272">
            <v>1146.6867427891282</v>
          </cell>
          <cell r="M272">
            <v>17.588549741421009</v>
          </cell>
          <cell r="N272">
            <v>186.72703278820069</v>
          </cell>
          <cell r="O272">
            <v>1.3700626499057398</v>
          </cell>
          <cell r="P272">
            <v>12236.206663661567</v>
          </cell>
          <cell r="Q272">
            <v>753.6488634159208</v>
          </cell>
          <cell r="S272">
            <v>3675.2117946594803</v>
          </cell>
          <cell r="T272">
            <v>91.476835084162573</v>
          </cell>
          <cell r="U272">
            <v>1.1084530000000001E-3</v>
          </cell>
          <cell r="V272">
            <v>42.216134674502612</v>
          </cell>
          <cell r="W272">
            <v>7.7033397000003602E-4</v>
          </cell>
          <cell r="X272">
            <v>861.69042948578897</v>
          </cell>
          <cell r="Y272">
            <v>17.898343373620005</v>
          </cell>
          <cell r="Z272">
            <v>633.82157047307942</v>
          </cell>
          <cell r="AA272">
            <v>13.573571665088503</v>
          </cell>
          <cell r="AB272">
            <v>0.42579100841239648</v>
          </cell>
          <cell r="AC272">
            <v>4.6120022408743946</v>
          </cell>
          <cell r="AD272">
            <v>30.541500470946421</v>
          </cell>
          <cell r="AE272">
            <v>877.01710846627577</v>
          </cell>
          <cell r="AF272">
            <v>22.750621364368477</v>
          </cell>
          <cell r="AI272">
            <v>2138.7918351324856</v>
          </cell>
          <cell r="AJ272">
            <v>6.8903657684031491E-2</v>
          </cell>
          <cell r="AK272">
            <v>4.5566553395766005E-4</v>
          </cell>
          <cell r="AL272">
            <v>0.24830944043305381</v>
          </cell>
          <cell r="AM272">
            <v>-1.2053037561997914E-3</v>
          </cell>
          <cell r="AN272">
            <v>435.52992326698876</v>
          </cell>
          <cell r="AO272">
            <v>78.759274707893155</v>
          </cell>
          <cell r="AP272">
            <v>145.08620576966825</v>
          </cell>
          <cell r="AQ272">
            <v>1.5579268909350463</v>
          </cell>
          <cell r="AR272">
            <v>0</v>
          </cell>
          <cell r="AS272">
            <v>0.19486329201738661</v>
          </cell>
          <cell r="AT272">
            <v>0</v>
          </cell>
          <cell r="AU272">
            <v>3806.7148228495248</v>
          </cell>
          <cell r="AV272">
            <v>10.394911119858525</v>
          </cell>
        </row>
      </sheetData>
      <sheetData sheetId="3">
        <row r="15">
          <cell r="AH15">
            <v>2704.0422015553704</v>
          </cell>
        </row>
        <row r="69">
          <cell r="AH69">
            <v>891.94691998204667</v>
          </cell>
        </row>
        <row r="86">
          <cell r="AH86">
            <v>0</v>
          </cell>
        </row>
        <row r="90">
          <cell r="AH90">
            <v>0</v>
          </cell>
        </row>
        <row r="105">
          <cell r="AH105">
            <v>0</v>
          </cell>
        </row>
        <row r="118">
          <cell r="AH118">
            <v>1.1398280000000001E-3</v>
          </cell>
        </row>
        <row r="120">
          <cell r="AH120">
            <v>0</v>
          </cell>
        </row>
        <row r="122">
          <cell r="AH122">
            <v>0</v>
          </cell>
        </row>
        <row r="130">
          <cell r="AH130">
            <v>1194.6224235658276</v>
          </cell>
        </row>
        <row r="141">
          <cell r="AH141">
            <v>564.51118747557246</v>
          </cell>
        </row>
        <row r="170">
          <cell r="AH170">
            <v>74.403927331909998</v>
          </cell>
        </row>
        <row r="186">
          <cell r="D186">
            <v>578.72111644799998</v>
          </cell>
          <cell r="E186">
            <v>45.926514503</v>
          </cell>
          <cell r="F186">
            <v>0</v>
          </cell>
          <cell r="G186">
            <v>2.3687094449999999</v>
          </cell>
          <cell r="H186">
            <v>0</v>
          </cell>
          <cell r="I186">
            <v>778.04604988400001</v>
          </cell>
          <cell r="J186">
            <v>5.0077415E-2</v>
          </cell>
          <cell r="K186">
            <v>3048.8821719961779</v>
          </cell>
          <cell r="L186">
            <v>39.852622756147888</v>
          </cell>
          <cell r="M186">
            <v>2.5397687951320003</v>
          </cell>
          <cell r="N186">
            <v>2.2516035940723316</v>
          </cell>
          <cell r="O186">
            <v>55.271543336394615</v>
          </cell>
          <cell r="P186">
            <v>9455.5211126939539</v>
          </cell>
          <cell r="Q186">
            <v>8.7060349906409265</v>
          </cell>
          <cell r="S186">
            <v>1798.8703268957138</v>
          </cell>
          <cell r="T186">
            <v>7.5097216532692865</v>
          </cell>
          <cell r="U186">
            <v>4.8691000000000032E-5</v>
          </cell>
          <cell r="V186">
            <v>14.702535195932999</v>
          </cell>
          <cell r="W186">
            <v>5.8960883555602001E-2</v>
          </cell>
          <cell r="X186">
            <v>5690.6398712717064</v>
          </cell>
          <cell r="Y186">
            <v>20.518092926685824</v>
          </cell>
          <cell r="Z186">
            <v>2394.0713858873287</v>
          </cell>
          <cell r="AA186">
            <v>210.73565676351677</v>
          </cell>
          <cell r="AB186">
            <v>-5.2511788724560013E-2</v>
          </cell>
          <cell r="AC186">
            <v>27.059203845713558</v>
          </cell>
          <cell r="AD186">
            <v>-0.14744068299667806</v>
          </cell>
          <cell r="AE186">
            <v>3740.4258602371942</v>
          </cell>
          <cell r="AF186">
            <v>114.32731391571689</v>
          </cell>
          <cell r="AH186">
            <v>28036.856351553135</v>
          </cell>
        </row>
        <row r="187">
          <cell r="AH187">
            <v>0</v>
          </cell>
        </row>
        <row r="188">
          <cell r="AH188">
            <v>147.39570270635997</v>
          </cell>
        </row>
        <row r="189">
          <cell r="AH189">
            <v>2646.1749946855462</v>
          </cell>
        </row>
        <row r="190">
          <cell r="AH190">
            <v>531.56471971519909</v>
          </cell>
        </row>
        <row r="191">
          <cell r="AH191">
            <v>938.62425850067029</v>
          </cell>
        </row>
        <row r="192">
          <cell r="AH192">
            <v>2351.9327674175256</v>
          </cell>
        </row>
        <row r="193">
          <cell r="AH193">
            <v>2640.7226810160478</v>
          </cell>
        </row>
        <row r="199">
          <cell r="AH199">
            <v>80.818198809711973</v>
          </cell>
        </row>
        <row r="200">
          <cell r="AH200">
            <v>1.509965139</v>
          </cell>
        </row>
        <row r="201">
          <cell r="AH201">
            <v>0</v>
          </cell>
        </row>
        <row r="202">
          <cell r="AH202">
            <v>0.05</v>
          </cell>
        </row>
        <row r="203">
          <cell r="AH203">
            <v>3.7918933799999999</v>
          </cell>
        </row>
        <row r="204">
          <cell r="AH204">
            <v>1018.5575681689706</v>
          </cell>
        </row>
        <row r="229">
          <cell r="AH229">
            <v>271.11193811139913</v>
          </cell>
        </row>
        <row r="272">
          <cell r="D272">
            <v>1948.1271806836103</v>
          </cell>
          <cell r="E272">
            <v>129.46136799804634</v>
          </cell>
          <cell r="F272">
            <v>45.524615331</v>
          </cell>
          <cell r="G272">
            <v>32.835546409379418</v>
          </cell>
          <cell r="H272">
            <v>1.2888306970000001</v>
          </cell>
          <cell r="I272">
            <v>782.91461345800008</v>
          </cell>
          <cell r="J272">
            <v>61.172062910000008</v>
          </cell>
          <cell r="K272">
            <v>5919.9293165453728</v>
          </cell>
          <cell r="L272">
            <v>430.30073259917936</v>
          </cell>
          <cell r="M272">
            <v>2.5397687951320003</v>
          </cell>
          <cell r="N272">
            <v>351.78841384474885</v>
          </cell>
          <cell r="O272">
            <v>85.028441257827069</v>
          </cell>
          <cell r="P272">
            <v>9587.414395164953</v>
          </cell>
          <cell r="Q272">
            <v>1405.0582336975824</v>
          </cell>
          <cell r="S272">
            <v>4157.7039905779939</v>
          </cell>
          <cell r="T272">
            <v>381.39699837447631</v>
          </cell>
          <cell r="U272">
            <v>3.325235740475895</v>
          </cell>
          <cell r="V272">
            <v>30.904104855764555</v>
          </cell>
          <cell r="W272">
            <v>0.32480107617605047</v>
          </cell>
          <cell r="X272">
            <v>5804.0480045044051</v>
          </cell>
          <cell r="Y272">
            <v>999.3398929347627</v>
          </cell>
          <cell r="Z272">
            <v>7745.0186957809965</v>
          </cell>
          <cell r="AA272">
            <v>362.79954380720608</v>
          </cell>
          <cell r="AB272">
            <v>0.45994859588393994</v>
          </cell>
          <cell r="AC272">
            <v>93.069576355636755</v>
          </cell>
          <cell r="AD272">
            <v>3.9915405498992251E-3</v>
          </cell>
          <cell r="AE272">
            <v>3750.2555139191941</v>
          </cell>
          <cell r="AF272">
            <v>134.9616568845546</v>
          </cell>
          <cell r="AH272">
            <v>44246.995474339907</v>
          </cell>
        </row>
      </sheetData>
      <sheetData sheetId="4">
        <row r="14">
          <cell r="D14">
            <v>20177.263066490043</v>
          </cell>
          <cell r="G14">
            <v>19924.627828488905</v>
          </cell>
        </row>
        <row r="16">
          <cell r="D16">
            <v>19343.236958878893</v>
          </cell>
          <cell r="G16">
            <v>19770.735880700464</v>
          </cell>
        </row>
        <row r="17">
          <cell r="D17">
            <v>477.56575491294541</v>
          </cell>
          <cell r="G17">
            <v>508.60723906809443</v>
          </cell>
        </row>
        <row r="18">
          <cell r="D18">
            <v>29.413327984015297</v>
          </cell>
          <cell r="G18">
            <v>51.849083477657842</v>
          </cell>
        </row>
        <row r="19">
          <cell r="D19">
            <v>31.914254954877958</v>
          </cell>
          <cell r="G19">
            <v>86.646706261709639</v>
          </cell>
        </row>
        <row r="20">
          <cell r="D20">
            <v>1454.0530992071474</v>
          </cell>
          <cell r="G20">
            <v>1303.9549201712741</v>
          </cell>
        </row>
        <row r="21">
          <cell r="D21">
            <v>596.5611704563305</v>
          </cell>
          <cell r="G21">
            <v>141.9502777650805</v>
          </cell>
        </row>
        <row r="22">
          <cell r="D22">
            <v>1844.2165488230912</v>
          </cell>
          <cell r="G22">
            <v>2285.2527835576466</v>
          </cell>
        </row>
        <row r="23">
          <cell r="D23">
            <v>292.76155070755482</v>
          </cell>
          <cell r="G23">
            <v>173.31182317536866</v>
          </cell>
        </row>
        <row r="24">
          <cell r="G24">
            <v>44246.936542666197</v>
          </cell>
        </row>
      </sheetData>
      <sheetData sheetId="5">
        <row r="11">
          <cell r="D11">
            <v>5172.6781049010488</v>
          </cell>
        </row>
        <row r="56">
          <cell r="D56">
            <v>6172.4105802091626</v>
          </cell>
        </row>
        <row r="57">
          <cell r="D57">
            <v>3125.0546931772155</v>
          </cell>
        </row>
        <row r="58">
          <cell r="D58">
            <v>95.79514366633714</v>
          </cell>
        </row>
        <row r="59">
          <cell r="D59">
            <v>215.62445856626138</v>
          </cell>
        </row>
        <row r="60">
          <cell r="D60">
            <v>1819.7043712316513</v>
          </cell>
        </row>
        <row r="61">
          <cell r="D61">
            <v>125.72265947975004</v>
          </cell>
        </row>
        <row r="62">
          <cell r="D62">
            <v>790.50925408794672</v>
          </cell>
        </row>
        <row r="63">
          <cell r="D63">
            <v>1301.6699856150972</v>
          </cell>
        </row>
        <row r="66">
          <cell r="D66">
            <v>12646.758670725307</v>
          </cell>
        </row>
      </sheetData>
      <sheetData sheetId="6"/>
      <sheetData sheetId="7"/>
      <sheetData sheetId="8"/>
      <sheetData sheetId="9"/>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14">
          <cell r="C14">
            <v>8.1875375771276584</v>
          </cell>
          <cell r="D14">
            <v>0</v>
          </cell>
          <cell r="E14">
            <v>0</v>
          </cell>
          <cell r="F14">
            <v>0</v>
          </cell>
          <cell r="G14">
            <v>0</v>
          </cell>
          <cell r="H14">
            <v>0</v>
          </cell>
          <cell r="I14">
            <v>0</v>
          </cell>
          <cell r="J14">
            <v>0</v>
          </cell>
          <cell r="K14">
            <v>0</v>
          </cell>
          <cell r="L14">
            <v>0</v>
          </cell>
          <cell r="M14">
            <v>0</v>
          </cell>
          <cell r="N14">
            <v>0</v>
          </cell>
          <cell r="O14">
            <v>606.57801744148946</v>
          </cell>
          <cell r="P14">
            <v>274.8417147470746</v>
          </cell>
        </row>
        <row r="18">
          <cell r="C18">
            <v>156.88342672340426</v>
          </cell>
          <cell r="D18">
            <v>2532.9492115977246</v>
          </cell>
          <cell r="E18">
            <v>4.8978439255319151</v>
          </cell>
          <cell r="F18">
            <v>1957.9254650552864</v>
          </cell>
          <cell r="G18">
            <v>25.346579662234042</v>
          </cell>
          <cell r="H18">
            <v>47.510456696276592</v>
          </cell>
          <cell r="I18">
            <v>1.1597703749999997</v>
          </cell>
          <cell r="J18">
            <v>158.07324062100389</v>
          </cell>
          <cell r="K18">
            <v>9.2633154281914898</v>
          </cell>
          <cell r="L18">
            <v>1993.0000000106384</v>
          </cell>
          <cell r="M18">
            <v>62.849313111702145</v>
          </cell>
          <cell r="N18">
            <v>4185.8776019134975</v>
          </cell>
          <cell r="O18">
            <v>15.244352577127659</v>
          </cell>
          <cell r="P18">
            <v>8337.1238222512075</v>
          </cell>
        </row>
        <row r="22">
          <cell r="E22">
            <v>104.37042204787248</v>
          </cell>
          <cell r="F22">
            <v>344.1200576060902</v>
          </cell>
          <cell r="G22">
            <v>50.280411691489363</v>
          </cell>
          <cell r="H22">
            <v>445.03864758706709</v>
          </cell>
          <cell r="I22">
            <v>19.28577080319149</v>
          </cell>
          <cell r="J22">
            <v>31.154586076588942</v>
          </cell>
          <cell r="K22">
            <v>72.28002129157457</v>
          </cell>
          <cell r="L22">
            <v>2842.559512796041</v>
          </cell>
          <cell r="M22">
            <v>116.99918192287225</v>
          </cell>
          <cell r="N22">
            <v>1435.079692328552</v>
          </cell>
          <cell r="O22">
            <v>155.23233672340422</v>
          </cell>
          <cell r="P22">
            <v>2606.9750795255304</v>
          </cell>
        </row>
        <row r="23">
          <cell r="C23">
            <v>991.49212340766053</v>
          </cell>
          <cell r="D23">
            <v>146.14536423577127</v>
          </cell>
        </row>
        <row r="24">
          <cell r="C24">
            <v>186.7485331561702</v>
          </cell>
          <cell r="D24">
            <v>56.134042345797873</v>
          </cell>
        </row>
        <row r="25">
          <cell r="C25">
            <v>305.62018651329794</v>
          </cell>
          <cell r="D25">
            <v>398.98965761804777</v>
          </cell>
        </row>
        <row r="26">
          <cell r="C26">
            <v>670.11180033776589</v>
          </cell>
          <cell r="D26">
            <v>576.24885679461772</v>
          </cell>
        </row>
        <row r="27">
          <cell r="C27">
            <v>3694.6406201085724</v>
          </cell>
          <cell r="D27">
            <v>1919.4908964632612</v>
          </cell>
        </row>
        <row r="28">
          <cell r="C28">
            <v>10477.933942648884</v>
          </cell>
          <cell r="D28">
            <v>1360.4895649376256</v>
          </cell>
        </row>
        <row r="29">
          <cell r="C29">
            <v>607.34800011667551</v>
          </cell>
          <cell r="D29">
            <v>81.175283895319154</v>
          </cell>
        </row>
        <row r="30">
          <cell r="C30">
            <v>0</v>
          </cell>
          <cell r="D30">
            <v>470</v>
          </cell>
          <cell r="E30">
            <v>0</v>
          </cell>
          <cell r="F30">
            <v>0</v>
          </cell>
          <cell r="G30">
            <v>0</v>
          </cell>
          <cell r="H30">
            <v>0</v>
          </cell>
          <cell r="I30">
            <v>0</v>
          </cell>
          <cell r="J30">
            <v>0</v>
          </cell>
          <cell r="K30">
            <v>0</v>
          </cell>
          <cell r="L30">
            <v>0</v>
          </cell>
          <cell r="M30">
            <v>0</v>
          </cell>
          <cell r="N30">
            <v>0</v>
          </cell>
          <cell r="O30">
            <v>0</v>
          </cell>
          <cell r="P30">
            <v>586.46966987651592</v>
          </cell>
        </row>
        <row r="31">
          <cell r="C31">
            <v>0</v>
          </cell>
          <cell r="D31">
            <v>39.937731424325214</v>
          </cell>
          <cell r="E31">
            <v>0</v>
          </cell>
          <cell r="F31">
            <v>1.9859732836436168</v>
          </cell>
          <cell r="G31">
            <v>0</v>
          </cell>
          <cell r="H31">
            <v>0.78355763220744679</v>
          </cell>
          <cell r="I31">
            <v>0</v>
          </cell>
          <cell r="J31">
            <v>0</v>
          </cell>
          <cell r="K31">
            <v>0</v>
          </cell>
          <cell r="L31">
            <v>0.32685496930851066</v>
          </cell>
          <cell r="M31">
            <v>0</v>
          </cell>
          <cell r="N31">
            <v>43.190653968689951</v>
          </cell>
          <cell r="O31">
            <v>0</v>
          </cell>
          <cell r="P31">
            <v>148.35130716240167</v>
          </cell>
        </row>
        <row r="32">
          <cell r="E32"/>
          <cell r="F32"/>
          <cell r="G32"/>
          <cell r="H32"/>
          <cell r="I32"/>
          <cell r="J32"/>
          <cell r="K32"/>
          <cell r="L32"/>
          <cell r="M32"/>
          <cell r="N32"/>
          <cell r="O32">
            <v>0</v>
          </cell>
          <cell r="P32">
            <v>0</v>
          </cell>
        </row>
        <row r="33">
          <cell r="C33">
            <v>24.86888240282979</v>
          </cell>
          <cell r="D33">
            <v>2687.1610466225957</v>
          </cell>
          <cell r="E33">
            <v>0</v>
          </cell>
          <cell r="F33">
            <v>0</v>
          </cell>
          <cell r="G33">
            <v>0</v>
          </cell>
          <cell r="H33">
            <v>0</v>
          </cell>
          <cell r="I33">
            <v>0</v>
          </cell>
          <cell r="J33">
            <v>0</v>
          </cell>
          <cell r="K33">
            <v>0</v>
          </cell>
          <cell r="L33">
            <v>0</v>
          </cell>
          <cell r="M33">
            <v>0</v>
          </cell>
          <cell r="N33">
            <v>0.37232055702917771</v>
          </cell>
          <cell r="O33">
            <v>5.3255570000000002E-2</v>
          </cell>
          <cell r="P33">
            <v>1192.422585671459</v>
          </cell>
        </row>
        <row r="34">
          <cell r="C34">
            <v>1329.2232608181891</v>
          </cell>
          <cell r="D34">
            <v>1576.7673846002444</v>
          </cell>
          <cell r="E34">
            <v>24.468085106382976</v>
          </cell>
          <cell r="F34">
            <v>2809.1547717194144</v>
          </cell>
          <cell r="G34">
            <v>0</v>
          </cell>
          <cell r="H34">
            <v>0</v>
          </cell>
          <cell r="I34">
            <v>0.26595744680851063</v>
          </cell>
          <cell r="J34">
            <v>0</v>
          </cell>
          <cell r="K34">
            <v>0.53191489361702127</v>
          </cell>
          <cell r="L34">
            <v>14.759718749999999</v>
          </cell>
          <cell r="M34">
            <v>7.7716848404255314</v>
          </cell>
          <cell r="N34">
            <v>14.759718749999999</v>
          </cell>
          <cell r="O34">
            <v>0</v>
          </cell>
          <cell r="P34">
            <v>10</v>
          </cell>
        </row>
        <row r="36">
          <cell r="C36">
            <v>589.48460086354316</v>
          </cell>
          <cell r="D36">
            <v>131.82184089727951</v>
          </cell>
          <cell r="E36">
            <v>25.451560577589891</v>
          </cell>
          <cell r="F36">
            <v>2260.4641244607933</v>
          </cell>
          <cell r="G36">
            <v>0</v>
          </cell>
          <cell r="H36">
            <v>2.0749716502292577</v>
          </cell>
          <cell r="I36">
            <v>0</v>
          </cell>
          <cell r="J36">
            <v>0.71313218160526592</v>
          </cell>
          <cell r="K36">
            <v>0</v>
          </cell>
          <cell r="L36">
            <v>31.524802575972039</v>
          </cell>
          <cell r="M36">
            <v>0</v>
          </cell>
          <cell r="N36">
            <v>12.370508209965717</v>
          </cell>
          <cell r="O36">
            <v>148.71037284047756</v>
          </cell>
          <cell r="P36">
            <v>711.93698466845615</v>
          </cell>
        </row>
        <row r="37">
          <cell r="C37">
            <v>760.24969645652789</v>
          </cell>
          <cell r="D37">
            <v>686.08791596986589</v>
          </cell>
          <cell r="E37">
            <v>2.5326061170212313E-2</v>
          </cell>
          <cell r="F37">
            <v>1.4518996635825665E-3</v>
          </cell>
          <cell r="G37">
            <v>9.8989361702127651E-5</v>
          </cell>
          <cell r="H37">
            <v>1.6116755319148938E-3</v>
          </cell>
          <cell r="I37">
            <v>0</v>
          </cell>
          <cell r="J37">
            <v>3.9586662614001596E-4</v>
          </cell>
          <cell r="K37">
            <v>6.8497252659574945E-2</v>
          </cell>
          <cell r="L37">
            <v>5.5793138297872344E-3</v>
          </cell>
          <cell r="M37">
            <v>6.6803367021276094E-2</v>
          </cell>
          <cell r="N37">
            <v>0.21817578760638467</v>
          </cell>
          <cell r="O37">
            <v>2.3501859042553024E-2</v>
          </cell>
          <cell r="P37">
            <v>121.07112528069111</v>
          </cell>
        </row>
        <row r="38">
          <cell r="C38">
            <v>19802.792611130648</v>
          </cell>
          <cell r="D38">
            <v>12663.398797402473</v>
          </cell>
          <cell r="E38">
            <v>159.21323771854748</v>
          </cell>
          <cell r="F38">
            <v>7373.651844024891</v>
          </cell>
          <cell r="G38">
            <v>75.627090343085115</v>
          </cell>
          <cell r="H38">
            <v>495.40924524131231</v>
          </cell>
          <cell r="I38">
            <v>20.711498625000001</v>
          </cell>
          <cell r="J38">
            <v>189.94135474582424</v>
          </cell>
          <cell r="K38">
            <v>82.143748866042657</v>
          </cell>
          <cell r="L38">
            <v>4882.1764684157897</v>
          </cell>
          <cell r="M38">
            <v>187.6869832420212</v>
          </cell>
          <cell r="N38">
            <v>5691.8686715153399</v>
          </cell>
          <cell r="O38">
            <v>925.84183701154154</v>
          </cell>
          <cell r="P38">
            <v>13989.192289183338</v>
          </cell>
          <cell r="Q38">
            <v>66539.655677465853</v>
          </cell>
        </row>
        <row r="40">
          <cell r="Q40">
            <v>5965.1668316914884</v>
          </cell>
        </row>
        <row r="41">
          <cell r="Q41">
            <v>731.39716432953355</v>
          </cell>
        </row>
        <row r="42">
          <cell r="Q42">
            <v>653.10518106640723</v>
          </cell>
        </row>
        <row r="68">
          <cell r="C68">
            <v>117.63633490182799</v>
          </cell>
          <cell r="D68">
            <v>288.21022199137741</v>
          </cell>
        </row>
        <row r="69">
          <cell r="C69">
            <v>3133.9532294042547</v>
          </cell>
          <cell r="D69">
            <v>14.680851066489362</v>
          </cell>
          <cell r="E69">
            <v>0</v>
          </cell>
          <cell r="F69">
            <v>0.79787234042553201</v>
          </cell>
          <cell r="G69">
            <v>0</v>
          </cell>
          <cell r="H69">
            <v>0</v>
          </cell>
          <cell r="I69">
            <v>0</v>
          </cell>
          <cell r="J69">
            <v>0</v>
          </cell>
          <cell r="K69">
            <v>0</v>
          </cell>
          <cell r="L69">
            <v>2.9255319148936172</v>
          </cell>
          <cell r="M69">
            <v>0</v>
          </cell>
          <cell r="N69">
            <v>0.79787234042553201</v>
          </cell>
          <cell r="O69">
            <v>0</v>
          </cell>
          <cell r="P69">
            <v>13.563829787234042</v>
          </cell>
        </row>
        <row r="72">
          <cell r="C72">
            <v>1059.0351506393008</v>
          </cell>
          <cell r="D72">
            <v>1005.9232648732409</v>
          </cell>
          <cell r="E72">
            <v>-2.3670212765957449E-5</v>
          </cell>
          <cell r="F72">
            <v>7.6055311744864209</v>
          </cell>
          <cell r="G72">
            <v>0</v>
          </cell>
          <cell r="H72">
            <v>31.102800077459246</v>
          </cell>
          <cell r="I72">
            <v>0</v>
          </cell>
          <cell r="J72">
            <v>3.1335747301481773</v>
          </cell>
          <cell r="K72">
            <v>-8.4654255319148927E-5</v>
          </cell>
          <cell r="L72">
            <v>420.55074897625656</v>
          </cell>
          <cell r="M72">
            <v>-1.6861702127659575E-5</v>
          </cell>
          <cell r="N72">
            <v>834.10272173449243</v>
          </cell>
          <cell r="O72">
            <v>-2.893351063829787E-4</v>
          </cell>
          <cell r="P72">
            <v>1932.1840074839049</v>
          </cell>
        </row>
        <row r="76">
          <cell r="E76">
            <v>13.076125436170209</v>
          </cell>
          <cell r="F76">
            <v>25.289617122133883</v>
          </cell>
          <cell r="G76">
            <v>6.8797957446808514E-2</v>
          </cell>
          <cell r="H76">
            <v>216.72755240691487</v>
          </cell>
          <cell r="I76">
            <v>3.7505723404255321E-2</v>
          </cell>
          <cell r="J76">
            <v>714.88451765661819</v>
          </cell>
          <cell r="K76">
            <v>36.96117447074468</v>
          </cell>
          <cell r="L76">
            <v>1203.496859975583</v>
          </cell>
          <cell r="M76">
            <v>0.85299023936170226</v>
          </cell>
          <cell r="N76">
            <v>893.56215375903196</v>
          </cell>
          <cell r="O76">
            <v>6.255887082446808</v>
          </cell>
          <cell r="P76">
            <v>3323.9976202027219</v>
          </cell>
        </row>
        <row r="77">
          <cell r="C77">
            <v>305.48427330851058</v>
          </cell>
          <cell r="D77">
            <v>955.14084086311152</v>
          </cell>
        </row>
        <row r="78">
          <cell r="C78">
            <v>0</v>
          </cell>
          <cell r="D78">
            <v>0</v>
          </cell>
        </row>
        <row r="79">
          <cell r="C79">
            <v>55.56843702659576</v>
          </cell>
          <cell r="D79">
            <v>277.85348101499994</v>
          </cell>
        </row>
        <row r="80">
          <cell r="C80">
            <v>71.552943917553193</v>
          </cell>
          <cell r="D80">
            <v>1414.774376477473</v>
          </cell>
        </row>
        <row r="81">
          <cell r="C81">
            <v>4238.7830447886636</v>
          </cell>
          <cell r="D81">
            <v>1551.1645004305656</v>
          </cell>
        </row>
        <row r="82">
          <cell r="C82">
            <v>8496.6640859717863</v>
          </cell>
          <cell r="D82">
            <v>380.95909662195999</v>
          </cell>
        </row>
        <row r="83">
          <cell r="C83">
            <v>110.84287286170211</v>
          </cell>
          <cell r="D83">
            <v>100.58650669989973</v>
          </cell>
        </row>
        <row r="84">
          <cell r="E84">
            <v>2.6525199999999998E-3</v>
          </cell>
          <cell r="F84">
            <v>2102.5332362652398</v>
          </cell>
          <cell r="G84">
            <v>0</v>
          </cell>
          <cell r="H84">
            <v>1175.9570065297605</v>
          </cell>
          <cell r="I84">
            <v>0</v>
          </cell>
          <cell r="J84">
            <v>124.55300399534178</v>
          </cell>
          <cell r="K84">
            <v>0</v>
          </cell>
          <cell r="L84">
            <v>2651.4527839649409</v>
          </cell>
          <cell r="M84">
            <v>0</v>
          </cell>
          <cell r="N84">
            <v>2117.0711654405222</v>
          </cell>
          <cell r="O84">
            <v>2.7939250000000002</v>
          </cell>
          <cell r="P84">
            <v>5471.9231986207469</v>
          </cell>
        </row>
        <row r="86">
          <cell r="C86">
            <v>1913.1327916196808</v>
          </cell>
          <cell r="D86">
            <v>6704.0204809153274</v>
          </cell>
        </row>
        <row r="89">
          <cell r="C89">
            <v>1.3989361700212766E-6</v>
          </cell>
          <cell r="D89">
            <v>1709.1444376294291</v>
          </cell>
        </row>
        <row r="92">
          <cell r="C92">
            <v>839.25696243934067</v>
          </cell>
          <cell r="D92">
            <v>652.51395103731625</v>
          </cell>
        </row>
        <row r="93">
          <cell r="C93">
            <v>-1.8177736702128456E-2</v>
          </cell>
          <cell r="D93">
            <v>2.539815455613045</v>
          </cell>
          <cell r="E93">
            <v>0</v>
          </cell>
          <cell r="F93">
            <v>1.4255681478723394</v>
          </cell>
          <cell r="G93">
            <v>0</v>
          </cell>
          <cell r="H93">
            <v>0</v>
          </cell>
          <cell r="I93">
            <v>0</v>
          </cell>
          <cell r="J93">
            <v>0.13592483332446806</v>
          </cell>
          <cell r="K93">
            <v>0</v>
          </cell>
          <cell r="L93">
            <v>0.64396391710106371</v>
          </cell>
          <cell r="M93">
            <v>0</v>
          </cell>
          <cell r="N93">
            <v>42.18561687172366</v>
          </cell>
          <cell r="O93">
            <v>0</v>
          </cell>
          <cell r="P93">
            <v>246.74580736032212</v>
          </cell>
        </row>
        <row r="94">
          <cell r="E94"/>
          <cell r="F94"/>
          <cell r="G94"/>
          <cell r="H94"/>
          <cell r="I94"/>
          <cell r="J94"/>
          <cell r="K94"/>
          <cell r="L94"/>
          <cell r="M94"/>
          <cell r="N94"/>
          <cell r="O94">
            <v>0</v>
          </cell>
          <cell r="P94">
            <v>0</v>
          </cell>
        </row>
        <row r="95">
          <cell r="C95">
            <v>27.204407499999999</v>
          </cell>
          <cell r="D95">
            <v>1625.3516104111566</v>
          </cell>
          <cell r="E95">
            <v>0</v>
          </cell>
          <cell r="F95">
            <v>0</v>
          </cell>
          <cell r="G95">
            <v>0</v>
          </cell>
          <cell r="H95">
            <v>0</v>
          </cell>
          <cell r="I95">
            <v>0</v>
          </cell>
          <cell r="J95">
            <v>0</v>
          </cell>
          <cell r="K95">
            <v>0</v>
          </cell>
          <cell r="L95">
            <v>0</v>
          </cell>
          <cell r="M95">
            <v>0</v>
          </cell>
          <cell r="N95">
            <v>39.12697820244032</v>
          </cell>
          <cell r="O95">
            <v>0</v>
          </cell>
          <cell r="P95">
            <v>1756.3720741957966</v>
          </cell>
        </row>
        <row r="96">
          <cell r="C96">
            <v>316.71095681305331</v>
          </cell>
          <cell r="D96">
            <v>20.512837985212766</v>
          </cell>
        </row>
        <row r="97">
          <cell r="C97">
            <v>1563.3168469412387</v>
          </cell>
          <cell r="D97">
            <v>1165.6983813817812</v>
          </cell>
          <cell r="E97">
            <v>8.8030212765957737E-4</v>
          </cell>
          <cell r="F97">
            <v>5.2965334468085108E-2</v>
          </cell>
          <cell r="G97">
            <v>2.972367021276596E-4</v>
          </cell>
          <cell r="H97">
            <v>2.7069148936170211E-5</v>
          </cell>
          <cell r="I97">
            <v>2.6539893617021276E-5</v>
          </cell>
          <cell r="J97">
            <v>2.7132978723404232E-5</v>
          </cell>
          <cell r="K97">
            <v>6.9222819148937994E-3</v>
          </cell>
          <cell r="L97">
            <v>67.613775100319145</v>
          </cell>
          <cell r="M97">
            <v>4.5184473244680854</v>
          </cell>
          <cell r="N97">
            <v>120.15837396053192</v>
          </cell>
          <cell r="O97">
            <v>0.353259061170213</v>
          </cell>
          <cell r="P97">
            <v>813.74167788952536</v>
          </cell>
        </row>
        <row r="98">
          <cell r="C98">
            <v>22249.124161795742</v>
          </cell>
          <cell r="D98">
            <v>17869.074654854954</v>
          </cell>
          <cell r="E98">
            <v>13.079634588085103</v>
          </cell>
          <cell r="F98">
            <v>2137.7047903846255</v>
          </cell>
          <cell r="G98">
            <v>6.9095194148936168E-2</v>
          </cell>
          <cell r="H98">
            <v>1423.7873860832835</v>
          </cell>
          <cell r="I98">
            <v>3.7532263297872341E-2</v>
          </cell>
          <cell r="J98">
            <v>842.70704834841138</v>
          </cell>
          <cell r="K98">
            <v>36.968012098404259</v>
          </cell>
          <cell r="L98">
            <v>4346.683663849094</v>
          </cell>
          <cell r="M98">
            <v>5.3714207021276597</v>
          </cell>
          <cell r="N98">
            <v>4047.0048823091679</v>
          </cell>
          <cell r="O98">
            <v>9.4027818085106389</v>
          </cell>
          <cell r="P98">
            <v>13558.528215540253</v>
          </cell>
          <cell r="Q98">
            <v>66539.543279820107</v>
          </cell>
        </row>
        <row r="100">
          <cell r="Q100">
            <v>5925.6333126305799</v>
          </cell>
        </row>
        <row r="101">
          <cell r="Q101">
            <v>730.79716432421435</v>
          </cell>
        </row>
        <row r="102">
          <cell r="Q102">
            <v>653.10518106640723</v>
          </cell>
        </row>
      </sheetData>
      <sheetData sheetId="1"/>
      <sheetData sheetId="2">
        <row r="15">
          <cell r="AX15">
            <v>7230.8392378506924</v>
          </cell>
        </row>
        <row r="69">
          <cell r="AX69">
            <v>1047.2453791567946</v>
          </cell>
        </row>
        <row r="86">
          <cell r="AX86">
            <v>0</v>
          </cell>
        </row>
        <row r="90">
          <cell r="AX90">
            <v>57.267172268617024</v>
          </cell>
        </row>
        <row r="105">
          <cell r="AX105">
            <v>4.8072952127659573E-3</v>
          </cell>
        </row>
        <row r="118">
          <cell r="AX118">
            <v>2.9771359707446807</v>
          </cell>
        </row>
        <row r="120">
          <cell r="AX120">
            <v>230.22300812234039</v>
          </cell>
        </row>
        <row r="122">
          <cell r="AX122">
            <v>1496.3289980288112</v>
          </cell>
        </row>
        <row r="130">
          <cell r="AX130">
            <v>603.57183334760839</v>
          </cell>
        </row>
        <row r="141">
          <cell r="AX141">
            <v>1116.4119912355382</v>
          </cell>
        </row>
        <row r="170">
          <cell r="AX170">
            <v>4.7734822765957495E-2</v>
          </cell>
        </row>
        <row r="186">
          <cell r="AX186">
            <v>32466.166937688144</v>
          </cell>
        </row>
        <row r="187">
          <cell r="AX187">
            <v>1447.1789631281133</v>
          </cell>
        </row>
        <row r="188">
          <cell r="AX188">
            <v>318.22009720662197</v>
          </cell>
        </row>
        <row r="189">
          <cell r="AX189">
            <v>7532.8646734164331</v>
          </cell>
        </row>
        <row r="190">
          <cell r="AX190">
            <v>571.03633558439742</v>
          </cell>
        </row>
        <row r="191">
          <cell r="AX191">
            <v>210.65279034695155</v>
          </cell>
        </row>
        <row r="192">
          <cell r="AX192">
            <v>4964.3201336568327</v>
          </cell>
        </row>
        <row r="193">
          <cell r="AX193">
            <v>5879.5557260810547</v>
          </cell>
        </row>
        <row r="199">
          <cell r="AX199">
            <v>507.42568285933834</v>
          </cell>
        </row>
        <row r="200">
          <cell r="AX200">
            <v>21.235354706107788</v>
          </cell>
        </row>
        <row r="201">
          <cell r="AX201">
            <v>129.30079699028758</v>
          </cell>
        </row>
        <row r="202">
          <cell r="AX202">
            <v>0.19994925265957447</v>
          </cell>
        </row>
        <row r="203">
          <cell r="AX203">
            <v>347.049841194149</v>
          </cell>
        </row>
        <row r="204">
          <cell r="AX204">
            <v>213.52242326192868</v>
          </cell>
        </row>
        <row r="229">
          <cell r="AX229">
            <v>0.65696977646876265</v>
          </cell>
        </row>
      </sheetData>
      <sheetData sheetId="3">
        <row r="15">
          <cell r="AH15">
            <v>4106.5144368518459</v>
          </cell>
        </row>
        <row r="69">
          <cell r="AH69">
            <v>1860.5084387880834</v>
          </cell>
        </row>
        <row r="86">
          <cell r="AH86">
            <v>0</v>
          </cell>
        </row>
        <row r="90">
          <cell r="AH90">
            <v>0</v>
          </cell>
        </row>
        <row r="105">
          <cell r="AH105">
            <v>0</v>
          </cell>
        </row>
        <row r="118">
          <cell r="AH118">
            <v>3.0535212765957446E-3</v>
          </cell>
        </row>
        <row r="120">
          <cell r="AH120">
            <v>0</v>
          </cell>
        </row>
        <row r="122">
          <cell r="AH122">
            <v>1283.4018989655171</v>
          </cell>
        </row>
        <row r="130">
          <cell r="AH130">
            <v>2619.5360037270361</v>
          </cell>
        </row>
        <row r="141">
          <cell r="AH141">
            <v>1825.2393262014168</v>
          </cell>
        </row>
        <row r="170">
          <cell r="AH170">
            <v>138.47775339574468</v>
          </cell>
        </row>
        <row r="186">
          <cell r="AH186">
            <v>40118.169060660432</v>
          </cell>
        </row>
        <row r="187">
          <cell r="AH187">
            <v>0</v>
          </cell>
        </row>
        <row r="188">
          <cell r="AH188">
            <v>354.30303337954194</v>
          </cell>
        </row>
        <row r="189">
          <cell r="AH189">
            <v>2150.7814631180013</v>
          </cell>
        </row>
        <row r="190">
          <cell r="AH190">
            <v>1423.8564808474323</v>
          </cell>
        </row>
        <row r="191">
          <cell r="AH191">
            <v>842.77458061170898</v>
          </cell>
        </row>
        <row r="192">
          <cell r="AH192">
            <v>4383.7021155024613</v>
          </cell>
        </row>
        <row r="193">
          <cell r="AH193">
            <v>4052.3364823318843</v>
          </cell>
        </row>
        <row r="199">
          <cell r="AH199">
            <v>27.414534155248532</v>
          </cell>
        </row>
        <row r="200">
          <cell r="AH200">
            <v>2.4094414893617024E-4</v>
          </cell>
        </row>
        <row r="201">
          <cell r="AH201">
            <v>0</v>
          </cell>
        </row>
        <row r="202">
          <cell r="AH202">
            <v>0</v>
          </cell>
        </row>
        <row r="203">
          <cell r="AH203">
            <v>10.13203084574468</v>
          </cell>
        </row>
        <row r="204">
          <cell r="AH204">
            <v>932.04590847646352</v>
          </cell>
        </row>
        <row r="229">
          <cell r="AH229">
            <v>79.262623567033728</v>
          </cell>
        </row>
        <row r="272">
          <cell r="AH272">
            <v>66539.661597647937</v>
          </cell>
        </row>
      </sheetData>
      <sheetData sheetId="4">
        <row r="14">
          <cell r="D14">
            <v>21254.013817953688</v>
          </cell>
          <cell r="G14">
            <v>22314.02703052076</v>
          </cell>
        </row>
        <row r="16">
          <cell r="D16">
            <v>34586.512159177757</v>
          </cell>
          <cell r="G16">
            <v>37823.653255929785</v>
          </cell>
        </row>
        <row r="17">
          <cell r="D17">
            <v>293.79590943290424</v>
          </cell>
          <cell r="G17">
            <v>270.80920780020176</v>
          </cell>
        </row>
        <row r="18">
          <cell r="D18">
            <v>8.1630104632271898</v>
          </cell>
          <cell r="G18">
            <v>108.47881239165977</v>
          </cell>
        </row>
        <row r="19">
          <cell r="D19">
            <v>2.2655805222881393</v>
          </cell>
          <cell r="G19">
            <v>3.0254702617123943</v>
          </cell>
        </row>
        <row r="20">
          <cell r="D20">
            <v>1334.5084789967627</v>
          </cell>
          <cell r="G20">
            <v>1097.5984221623416</v>
          </cell>
        </row>
        <row r="21">
          <cell r="D21">
            <v>4983.9573307803503</v>
          </cell>
          <cell r="G21">
            <v>796.74844547706971</v>
          </cell>
        </row>
        <row r="22">
          <cell r="D22">
            <v>2215.9510514540302</v>
          </cell>
          <cell r="G22">
            <v>2501.7822729073509</v>
          </cell>
        </row>
        <row r="23">
          <cell r="D23">
            <v>1860.4885191532233</v>
          </cell>
          <cell r="G23">
            <v>1623.483895854858</v>
          </cell>
        </row>
        <row r="24">
          <cell r="G24">
            <v>66539.606813305742</v>
          </cell>
        </row>
      </sheetData>
      <sheetData sheetId="5"/>
      <sheetData sheetId="6"/>
      <sheetData sheetId="7"/>
      <sheetData sheetId="8"/>
      <sheetData sheetId="9"/>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14">
          <cell r="C14">
            <v>12.797115680851062</v>
          </cell>
          <cell r="D14">
            <v>0</v>
          </cell>
          <cell r="E14">
            <v>0</v>
          </cell>
          <cell r="F14">
            <v>0</v>
          </cell>
          <cell r="G14">
            <v>0</v>
          </cell>
          <cell r="H14">
            <v>0</v>
          </cell>
          <cell r="I14">
            <v>0</v>
          </cell>
          <cell r="J14">
            <v>0</v>
          </cell>
          <cell r="K14">
            <v>0</v>
          </cell>
          <cell r="L14">
            <v>0</v>
          </cell>
          <cell r="M14">
            <v>0</v>
          </cell>
          <cell r="N14">
            <v>0</v>
          </cell>
          <cell r="O14">
            <v>606.8914197872341</v>
          </cell>
          <cell r="P14">
            <v>275.0245645252312</v>
          </cell>
        </row>
        <row r="18">
          <cell r="C18">
            <v>199.17304409574467</v>
          </cell>
          <cell r="D18">
            <v>2367.9171667493347</v>
          </cell>
          <cell r="E18">
            <v>3.2755286329787228</v>
          </cell>
          <cell r="F18">
            <v>2227.428720929478</v>
          </cell>
          <cell r="G18">
            <v>23.82435465425532</v>
          </cell>
          <cell r="H18">
            <v>109.03454214299529</v>
          </cell>
          <cell r="I18">
            <v>1.2430048324468084</v>
          </cell>
          <cell r="J18">
            <v>114.29151856555414</v>
          </cell>
          <cell r="K18">
            <v>6.25705404787234</v>
          </cell>
          <cell r="L18">
            <v>1451.1919546087233</v>
          </cell>
          <cell r="M18">
            <v>60.424074829787237</v>
          </cell>
          <cell r="N18">
            <v>4255.3476270421415</v>
          </cell>
          <cell r="O18">
            <v>16.986327779255319</v>
          </cell>
          <cell r="P18">
            <v>7879.8557749602969</v>
          </cell>
        </row>
        <row r="22">
          <cell r="E22">
            <v>102.79418066489379</v>
          </cell>
          <cell r="F22">
            <v>307.29998190916228</v>
          </cell>
          <cell r="G22">
            <v>55.765182045212768</v>
          </cell>
          <cell r="H22">
            <v>379.8342562052311</v>
          </cell>
          <cell r="I22">
            <v>19.996763848404257</v>
          </cell>
          <cell r="J22">
            <v>53.194667985813012</v>
          </cell>
          <cell r="K22">
            <v>74.065522399170277</v>
          </cell>
          <cell r="L22">
            <v>3200.5572636977463</v>
          </cell>
          <cell r="M22">
            <v>129.59641732180847</v>
          </cell>
          <cell r="N22">
            <v>1373.4931628579668</v>
          </cell>
          <cell r="O22">
            <v>149.02331604787233</v>
          </cell>
          <cell r="P22">
            <v>2759.3144234869051</v>
          </cell>
        </row>
        <row r="23">
          <cell r="C23">
            <v>992.24710158851042</v>
          </cell>
          <cell r="D23">
            <v>79.412345002207459</v>
          </cell>
        </row>
        <row r="24">
          <cell r="C24">
            <v>188.59125437159577</v>
          </cell>
          <cell r="D24">
            <v>56.506392480239363</v>
          </cell>
        </row>
        <row r="25">
          <cell r="C25">
            <v>301.63202314095736</v>
          </cell>
          <cell r="D25">
            <v>362.47728276697364</v>
          </cell>
        </row>
        <row r="26">
          <cell r="C26">
            <v>606.72709567021275</v>
          </cell>
          <cell r="D26">
            <v>381.65707878907506</v>
          </cell>
        </row>
        <row r="27">
          <cell r="C27">
            <v>3677.2433048256476</v>
          </cell>
          <cell r="D27">
            <v>1922.0529220892083</v>
          </cell>
        </row>
        <row r="28">
          <cell r="C28">
            <v>10507.781967263207</v>
          </cell>
          <cell r="D28">
            <v>1367.1006357337967</v>
          </cell>
        </row>
        <row r="29">
          <cell r="C29">
            <v>576.87659981880313</v>
          </cell>
          <cell r="D29">
            <v>109.80524563202128</v>
          </cell>
        </row>
        <row r="30">
          <cell r="C30">
            <v>0</v>
          </cell>
          <cell r="D30">
            <v>474</v>
          </cell>
          <cell r="E30">
            <v>0</v>
          </cell>
          <cell r="F30">
            <v>0</v>
          </cell>
          <cell r="G30">
            <v>0</v>
          </cell>
          <cell r="H30">
            <v>0</v>
          </cell>
          <cell r="I30">
            <v>0</v>
          </cell>
          <cell r="J30">
            <v>0</v>
          </cell>
          <cell r="K30">
            <v>0</v>
          </cell>
          <cell r="L30">
            <v>0</v>
          </cell>
          <cell r="M30">
            <v>0</v>
          </cell>
          <cell r="N30">
            <v>0</v>
          </cell>
          <cell r="O30">
            <v>0</v>
          </cell>
          <cell r="P30">
            <v>591.29115730784565</v>
          </cell>
        </row>
        <row r="31">
          <cell r="C31">
            <v>0</v>
          </cell>
          <cell r="D31">
            <v>38.188841549185177</v>
          </cell>
          <cell r="E31">
            <v>0</v>
          </cell>
          <cell r="F31">
            <v>1.9291593234840425</v>
          </cell>
          <cell r="G31">
            <v>0</v>
          </cell>
          <cell r="H31">
            <v>0.79122788771276586</v>
          </cell>
          <cell r="I31">
            <v>0</v>
          </cell>
          <cell r="J31">
            <v>0</v>
          </cell>
          <cell r="K31">
            <v>0</v>
          </cell>
          <cell r="L31">
            <v>0.18811675343085105</v>
          </cell>
          <cell r="M31">
            <v>0</v>
          </cell>
          <cell r="N31">
            <v>41.27641825142279</v>
          </cell>
          <cell r="O31">
            <v>0</v>
          </cell>
          <cell r="P31">
            <v>143.31723854258092</v>
          </cell>
        </row>
        <row r="32">
          <cell r="E32"/>
          <cell r="F32"/>
          <cell r="G32"/>
          <cell r="H32"/>
          <cell r="I32"/>
          <cell r="J32"/>
          <cell r="K32"/>
          <cell r="L32"/>
          <cell r="M32"/>
          <cell r="N32"/>
          <cell r="O32">
            <v>0</v>
          </cell>
          <cell r="P32">
            <v>0</v>
          </cell>
        </row>
        <row r="33">
          <cell r="C33">
            <v>25.265151914787232</v>
          </cell>
          <cell r="D33">
            <v>2684.9639322541275</v>
          </cell>
          <cell r="E33">
            <v>0</v>
          </cell>
          <cell r="F33">
            <v>0</v>
          </cell>
          <cell r="G33">
            <v>0</v>
          </cell>
          <cell r="H33">
            <v>0</v>
          </cell>
          <cell r="I33">
            <v>0</v>
          </cell>
          <cell r="J33">
            <v>0</v>
          </cell>
          <cell r="K33">
            <v>0</v>
          </cell>
          <cell r="L33">
            <v>0</v>
          </cell>
          <cell r="M33">
            <v>0</v>
          </cell>
          <cell r="N33">
            <v>0.44997082228116708</v>
          </cell>
          <cell r="O33">
            <v>5.3255570000000002E-2</v>
          </cell>
          <cell r="P33">
            <v>1260.5502337791495</v>
          </cell>
        </row>
        <row r="34">
          <cell r="C34">
            <v>1323.4002660924771</v>
          </cell>
          <cell r="D34">
            <v>1611.6661169404777</v>
          </cell>
          <cell r="E34">
            <v>24.468085106382976</v>
          </cell>
          <cell r="F34">
            <v>2809.1547717194144</v>
          </cell>
          <cell r="G34">
            <v>0</v>
          </cell>
          <cell r="H34">
            <v>0</v>
          </cell>
          <cell r="I34">
            <v>0.26595744680851063</v>
          </cell>
          <cell r="J34">
            <v>0</v>
          </cell>
          <cell r="K34">
            <v>0.53191489361702127</v>
          </cell>
          <cell r="L34">
            <v>14.759718749999999</v>
          </cell>
          <cell r="M34">
            <v>7.7786688829787236</v>
          </cell>
          <cell r="N34">
            <v>14.759718749999999</v>
          </cell>
          <cell r="O34">
            <v>0</v>
          </cell>
          <cell r="P34">
            <v>10</v>
          </cell>
        </row>
        <row r="36">
          <cell r="C36">
            <v>703.89344161694987</v>
          </cell>
          <cell r="D36">
            <v>112.19262262939034</v>
          </cell>
          <cell r="E36">
            <v>22.648733739098034</v>
          </cell>
          <cell r="F36">
            <v>2238.1787416966672</v>
          </cell>
          <cell r="G36">
            <v>0</v>
          </cell>
          <cell r="H36">
            <v>2.0774607637648632</v>
          </cell>
          <cell r="I36">
            <v>0</v>
          </cell>
          <cell r="J36">
            <v>0.71398764725257424</v>
          </cell>
          <cell r="K36">
            <v>0</v>
          </cell>
          <cell r="L36">
            <v>31.52747852866888</v>
          </cell>
          <cell r="M36">
            <v>0</v>
          </cell>
          <cell r="N36">
            <v>12.374660996770206</v>
          </cell>
          <cell r="O36">
            <v>148.71037316011709</v>
          </cell>
          <cell r="P36">
            <v>696.76615328631044</v>
          </cell>
        </row>
        <row r="37">
          <cell r="C37">
            <v>776.45311516302388</v>
          </cell>
          <cell r="D37">
            <v>714.70415717502988</v>
          </cell>
          <cell r="E37">
            <v>1.7097295212765987E-2</v>
          </cell>
          <cell r="F37">
            <v>1.3443758718806838E-3</v>
          </cell>
          <cell r="G37">
            <v>9.2712765957446818E-5</v>
          </cell>
          <cell r="H37">
            <v>1.9778563829787239E-3</v>
          </cell>
          <cell r="I37">
            <v>0</v>
          </cell>
          <cell r="J37">
            <v>1.4667167553206916E-4</v>
          </cell>
          <cell r="K37">
            <v>5.6660364361702652E-2</v>
          </cell>
          <cell r="L37">
            <v>1.7540226063829784E-2</v>
          </cell>
          <cell r="M37">
            <v>5.8874295212765451E-2</v>
          </cell>
          <cell r="N37">
            <v>0.20785602050531987</v>
          </cell>
          <cell r="O37">
            <v>0.17666969414893571</v>
          </cell>
          <cell r="P37">
            <v>137.98591837802394</v>
          </cell>
        </row>
        <row r="38">
          <cell r="C38">
            <v>19892.081481242771</v>
          </cell>
          <cell r="D38">
            <v>12282.644739791067</v>
          </cell>
          <cell r="E38">
            <v>153.20362543856632</v>
          </cell>
          <cell r="F38">
            <v>7583.9927199540771</v>
          </cell>
          <cell r="G38">
            <v>79.589629412234046</v>
          </cell>
          <cell r="H38">
            <v>491.73946485608695</v>
          </cell>
          <cell r="I38">
            <v>21.505726127659575</v>
          </cell>
          <cell r="J38">
            <v>168.20032087029526</v>
          </cell>
          <cell r="K38">
            <v>80.911151705021354</v>
          </cell>
          <cell r="L38">
            <v>4698.2420725646334</v>
          </cell>
          <cell r="M38">
            <v>197.85803532978721</v>
          </cell>
          <cell r="N38">
            <v>5697.9094147410879</v>
          </cell>
          <cell r="O38">
            <v>921.84136203862784</v>
          </cell>
          <cell r="P38">
            <v>13754.105464266344</v>
          </cell>
          <cell r="Q38">
            <v>66023.825208338254</v>
          </cell>
        </row>
        <row r="40">
          <cell r="Q40">
            <v>5777.2493698856379</v>
          </cell>
        </row>
        <row r="41">
          <cell r="Q41">
            <v>733.53311574865972</v>
          </cell>
        </row>
        <row r="42">
          <cell r="Q42">
            <v>625.58740580039569</v>
          </cell>
        </row>
        <row r="68">
          <cell r="C68">
            <v>93.72062802677155</v>
          </cell>
          <cell r="D68">
            <v>202.95725364096003</v>
          </cell>
        </row>
        <row r="69">
          <cell r="C69">
            <v>3097.2100106994685</v>
          </cell>
          <cell r="D69">
            <v>22.127659577127663</v>
          </cell>
          <cell r="E69">
            <v>0</v>
          </cell>
          <cell r="F69">
            <v>2.3936170212765959</v>
          </cell>
          <cell r="G69">
            <v>0</v>
          </cell>
          <cell r="H69">
            <v>0</v>
          </cell>
          <cell r="I69">
            <v>0</v>
          </cell>
          <cell r="J69">
            <v>0</v>
          </cell>
          <cell r="K69">
            <v>0</v>
          </cell>
          <cell r="L69">
            <v>3.9893617021276597</v>
          </cell>
          <cell r="M69">
            <v>0</v>
          </cell>
          <cell r="N69">
            <v>2.3936170212765959</v>
          </cell>
          <cell r="O69">
            <v>0</v>
          </cell>
          <cell r="P69">
            <v>7.7127659574468082</v>
          </cell>
        </row>
        <row r="72">
          <cell r="C72">
            <v>937.91686958114758</v>
          </cell>
          <cell r="D72">
            <v>1278.6073583722864</v>
          </cell>
          <cell r="E72">
            <v>0</v>
          </cell>
          <cell r="F72">
            <v>713.81981371885774</v>
          </cell>
          <cell r="G72">
            <v>0</v>
          </cell>
          <cell r="H72">
            <v>15.524561186812655</v>
          </cell>
          <cell r="I72">
            <v>0</v>
          </cell>
          <cell r="J72">
            <v>35.891191262632979</v>
          </cell>
          <cell r="K72">
            <v>0</v>
          </cell>
          <cell r="L72">
            <v>260.8344675796609</v>
          </cell>
          <cell r="M72">
            <v>0</v>
          </cell>
          <cell r="N72">
            <v>668.32172688816706</v>
          </cell>
          <cell r="O72">
            <v>0</v>
          </cell>
          <cell r="P72">
            <v>1986.0312930836858</v>
          </cell>
        </row>
        <row r="76">
          <cell r="E76">
            <v>16.290313087765959</v>
          </cell>
          <cell r="F76">
            <v>25.287201140208637</v>
          </cell>
          <cell r="G76">
            <v>9.1470007978723386E-2</v>
          </cell>
          <cell r="H76">
            <v>215.11196956146281</v>
          </cell>
          <cell r="I76">
            <v>3.7237611702127658E-2</v>
          </cell>
          <cell r="J76">
            <v>712.45838297279647</v>
          </cell>
          <cell r="K76">
            <v>41.290751978723399</v>
          </cell>
          <cell r="L76">
            <v>1379.0518737725827</v>
          </cell>
          <cell r="M76">
            <v>0.83952975000000019</v>
          </cell>
          <cell r="N76">
            <v>894.43432949162241</v>
          </cell>
          <cell r="O76">
            <v>6.0116991515957441</v>
          </cell>
          <cell r="P76">
            <v>3020.2771557155111</v>
          </cell>
        </row>
        <row r="77">
          <cell r="C77">
            <v>308.14212707446802</v>
          </cell>
          <cell r="D77">
            <v>1033.3373350098668</v>
          </cell>
        </row>
        <row r="78">
          <cell r="C78">
            <v>0</v>
          </cell>
          <cell r="D78">
            <v>0</v>
          </cell>
        </row>
        <row r="79">
          <cell r="C79">
            <v>55.082184707446814</v>
          </cell>
          <cell r="D79">
            <v>371.50905327061173</v>
          </cell>
        </row>
        <row r="80">
          <cell r="C80">
            <v>70.386714430851072</v>
          </cell>
          <cell r="D80">
            <v>1383.4282347879521</v>
          </cell>
        </row>
        <row r="81">
          <cell r="C81">
            <v>4211.6557087308229</v>
          </cell>
          <cell r="D81">
            <v>1503.3300460350779</v>
          </cell>
        </row>
        <row r="82">
          <cell r="C82">
            <v>8550.1809978269775</v>
          </cell>
          <cell r="D82">
            <v>364.86769990489597</v>
          </cell>
        </row>
        <row r="83">
          <cell r="C83">
            <v>109.06776797606368</v>
          </cell>
          <cell r="D83">
            <v>100</v>
          </cell>
        </row>
        <row r="84">
          <cell r="E84">
            <v>2.6525199999999998E-3</v>
          </cell>
          <cell r="F84">
            <v>173.68511371377656</v>
          </cell>
          <cell r="G84">
            <v>0</v>
          </cell>
          <cell r="H84">
            <v>1119.2129373981118</v>
          </cell>
          <cell r="I84">
            <v>0</v>
          </cell>
          <cell r="J84">
            <v>123.8687196575126</v>
          </cell>
          <cell r="K84">
            <v>0</v>
          </cell>
          <cell r="L84">
            <v>2944.9713761766848</v>
          </cell>
          <cell r="M84">
            <v>0</v>
          </cell>
          <cell r="N84">
            <v>2086.2391285758622</v>
          </cell>
          <cell r="O84">
            <v>2.7939250000000002</v>
          </cell>
          <cell r="P84">
            <v>5661.9792580192379</v>
          </cell>
        </row>
        <row r="86">
          <cell r="C86">
            <v>1916.4862093297872</v>
          </cell>
          <cell r="D86">
            <v>6988.6992074829031</v>
          </cell>
        </row>
        <row r="89">
          <cell r="C89">
            <v>1.3989361700212766E-6</v>
          </cell>
          <cell r="D89">
            <v>1336.7253408692702</v>
          </cell>
        </row>
        <row r="92">
          <cell r="C92">
            <v>846.25696243934033</v>
          </cell>
          <cell r="D92">
            <v>643.49186614077598</v>
          </cell>
        </row>
        <row r="93">
          <cell r="C93">
            <v>-7.313858244680875E-2</v>
          </cell>
          <cell r="D93">
            <v>4.3486926616289656</v>
          </cell>
          <cell r="E93">
            <v>0</v>
          </cell>
          <cell r="F93">
            <v>1.8691532060638296</v>
          </cell>
          <cell r="G93">
            <v>0</v>
          </cell>
          <cell r="H93">
            <v>0</v>
          </cell>
          <cell r="I93">
            <v>0</v>
          </cell>
          <cell r="J93">
            <v>0.1264517557978723</v>
          </cell>
          <cell r="K93">
            <v>0</v>
          </cell>
          <cell r="L93">
            <v>0.48735271276595743</v>
          </cell>
          <cell r="M93">
            <v>0</v>
          </cell>
          <cell r="N93">
            <v>58.214227155962149</v>
          </cell>
          <cell r="O93">
            <v>0</v>
          </cell>
          <cell r="P93">
            <v>239.92778210679234</v>
          </cell>
        </row>
        <row r="94">
          <cell r="E94"/>
          <cell r="F94"/>
          <cell r="G94"/>
          <cell r="H94"/>
          <cell r="I94"/>
          <cell r="J94"/>
          <cell r="K94"/>
          <cell r="L94"/>
          <cell r="M94"/>
          <cell r="N94"/>
          <cell r="O94">
            <v>0</v>
          </cell>
          <cell r="P94">
            <v>0</v>
          </cell>
        </row>
        <row r="95">
          <cell r="C95">
            <v>1253.3692548324466</v>
          </cell>
          <cell r="D95">
            <v>1678.6762225909515</v>
          </cell>
          <cell r="E95">
            <v>0</v>
          </cell>
          <cell r="F95">
            <v>0</v>
          </cell>
          <cell r="G95">
            <v>0</v>
          </cell>
          <cell r="H95">
            <v>0</v>
          </cell>
          <cell r="I95">
            <v>0</v>
          </cell>
          <cell r="J95">
            <v>0</v>
          </cell>
          <cell r="K95">
            <v>0</v>
          </cell>
          <cell r="L95">
            <v>0</v>
          </cell>
          <cell r="M95">
            <v>0</v>
          </cell>
          <cell r="N95">
            <v>38.953368700265251</v>
          </cell>
          <cell r="O95">
            <v>0</v>
          </cell>
          <cell r="P95">
            <v>1352.61053048244</v>
          </cell>
        </row>
        <row r="96">
          <cell r="C96">
            <v>314.51597847501927</v>
          </cell>
          <cell r="D96">
            <v>20.526176738218084</v>
          </cell>
        </row>
        <row r="97">
          <cell r="C97">
            <v>1645.7123446591802</v>
          </cell>
          <cell r="D97">
            <v>759.55657558015253</v>
          </cell>
          <cell r="E97">
            <v>9.1861595744681282E-4</v>
          </cell>
          <cell r="F97">
            <v>5.2966823829787235E-2</v>
          </cell>
          <cell r="G97">
            <v>2.9976329787234038E-4</v>
          </cell>
          <cell r="H97">
            <v>2.7069148936170218E-5</v>
          </cell>
          <cell r="I97">
            <v>2.6970744680851063E-5</v>
          </cell>
          <cell r="J97">
            <v>1.1120876595744681E-3</v>
          </cell>
          <cell r="K97">
            <v>7.1000265957446651E-3</v>
          </cell>
          <cell r="L97">
            <v>30.675288486489357</v>
          </cell>
          <cell r="M97">
            <v>4.5213774707446808</v>
          </cell>
          <cell r="N97">
            <v>211.75436117378837</v>
          </cell>
          <cell r="O97">
            <v>4.3375878164893589</v>
          </cell>
          <cell r="P97">
            <v>857.49761039758948</v>
          </cell>
        </row>
        <row r="98">
          <cell r="C98">
            <v>23409.630621606277</v>
          </cell>
          <cell r="D98">
            <v>17692.188722662679</v>
          </cell>
          <cell r="E98">
            <v>16.293884223723406</v>
          </cell>
          <cell r="F98">
            <v>917.10786562401313</v>
          </cell>
          <cell r="G98">
            <v>9.1769771276595732E-2</v>
          </cell>
          <cell r="H98">
            <v>1349.8494952155361</v>
          </cell>
          <cell r="I98">
            <v>3.7264582446808511E-2</v>
          </cell>
          <cell r="J98">
            <v>872.34585773639947</v>
          </cell>
          <cell r="K98">
            <v>41.297852005319143</v>
          </cell>
          <cell r="L98">
            <v>4620.0097204303111</v>
          </cell>
          <cell r="M98">
            <v>5.3609072207446813</v>
          </cell>
          <cell r="N98">
            <v>3960.3107590069444</v>
          </cell>
          <cell r="O98">
            <v>13.143211968085103</v>
          </cell>
          <cell r="P98">
            <v>13126.036395762703</v>
          </cell>
          <cell r="Q98">
            <v>66023.704327816449</v>
          </cell>
        </row>
        <row r="100">
          <cell r="Q100">
            <v>5740.2071744829173</v>
          </cell>
        </row>
        <row r="101">
          <cell r="Q101">
            <v>732.93311574334041</v>
          </cell>
        </row>
        <row r="102">
          <cell r="Q102">
            <v>625.58740580039569</v>
          </cell>
        </row>
      </sheetData>
      <sheetData sheetId="1"/>
      <sheetData sheetId="2">
        <row r="15">
          <cell r="AX15">
            <v>6773.7469991097987</v>
          </cell>
        </row>
        <row r="69">
          <cell r="AX69">
            <v>920.6456564077298</v>
          </cell>
        </row>
        <row r="86">
          <cell r="AX86">
            <v>0</v>
          </cell>
        </row>
        <row r="90">
          <cell r="AX90">
            <v>57.320879598404254</v>
          </cell>
        </row>
        <row r="105">
          <cell r="AX105">
            <v>4.8072952127659573E-3</v>
          </cell>
        </row>
        <row r="118">
          <cell r="AX118">
            <v>9.9265760292553207</v>
          </cell>
        </row>
        <row r="120">
          <cell r="AX120">
            <v>270.29616140691485</v>
          </cell>
        </row>
        <row r="122">
          <cell r="AX122">
            <v>1517.2029221689006</v>
          </cell>
        </row>
        <row r="130">
          <cell r="AX130">
            <v>493.55435589331529</v>
          </cell>
        </row>
        <row r="141">
          <cell r="AX141">
            <v>1349.3830883939247</v>
          </cell>
        </row>
        <row r="170">
          <cell r="AX170">
            <v>6.955238829787333E-2</v>
          </cell>
        </row>
        <row r="186">
          <cell r="AX186">
            <v>32174.711357992197</v>
          </cell>
        </row>
        <row r="187">
          <cell r="AX187">
            <v>1446.938626105738</v>
          </cell>
        </row>
        <row r="188">
          <cell r="AX188">
            <v>531.36738534603046</v>
          </cell>
        </row>
        <row r="189">
          <cell r="AX189">
            <v>7737.1959386436447</v>
          </cell>
        </row>
        <row r="190">
          <cell r="AX190">
            <v>571.329094268321</v>
          </cell>
        </row>
        <row r="191">
          <cell r="AX191">
            <v>189.70598397408216</v>
          </cell>
        </row>
        <row r="192">
          <cell r="AX192">
            <v>4779.1531371698529</v>
          </cell>
        </row>
        <row r="193">
          <cell r="AX193">
            <v>5895.7674478083554</v>
          </cell>
        </row>
        <row r="199">
          <cell r="AX199">
            <v>463.11238788304843</v>
          </cell>
        </row>
        <row r="200">
          <cell r="AX200">
            <v>22.746001357703523</v>
          </cell>
        </row>
        <row r="201">
          <cell r="AX201">
            <v>127.14027000132384</v>
          </cell>
        </row>
        <row r="202">
          <cell r="AX202">
            <v>0.19994925265957447</v>
          </cell>
        </row>
        <row r="203">
          <cell r="AX203">
            <v>383.53712583776598</v>
          </cell>
        </row>
        <row r="204">
          <cell r="AX204">
            <v>157.47149830694013</v>
          </cell>
        </row>
        <row r="229">
          <cell r="AX229">
            <v>0.74179000253259175</v>
          </cell>
        </row>
      </sheetData>
      <sheetData sheetId="3">
        <row r="15">
          <cell r="AH15">
            <v>3940.9342703505731</v>
          </cell>
        </row>
        <row r="69">
          <cell r="AH69">
            <v>1771.0283950176124</v>
          </cell>
        </row>
        <row r="86">
          <cell r="AH86">
            <v>0</v>
          </cell>
        </row>
        <row r="90">
          <cell r="AH90">
            <v>0</v>
          </cell>
        </row>
        <row r="105">
          <cell r="AH105">
            <v>0</v>
          </cell>
        </row>
        <row r="118">
          <cell r="AH118">
            <v>3.0755851063829789E-3</v>
          </cell>
        </row>
        <row r="120">
          <cell r="AH120">
            <v>0</v>
          </cell>
        </row>
        <row r="122">
          <cell r="AH122">
            <v>1284.2402806366047</v>
          </cell>
        </row>
        <row r="130">
          <cell r="AH130">
            <v>2565.5978286228196</v>
          </cell>
        </row>
        <row r="141">
          <cell r="AH141">
            <v>1452.6016524470215</v>
          </cell>
        </row>
        <row r="170">
          <cell r="AH170">
            <v>138.4483164978989</v>
          </cell>
        </row>
        <row r="186">
          <cell r="AH186">
            <v>41101.792089371782</v>
          </cell>
        </row>
        <row r="187">
          <cell r="AH187">
            <v>0</v>
          </cell>
        </row>
        <row r="188">
          <cell r="AH188">
            <v>434.86427901190814</v>
          </cell>
        </row>
        <row r="189">
          <cell r="AH189">
            <v>933.39878799302664</v>
          </cell>
        </row>
        <row r="190">
          <cell r="AH190">
            <v>1349.9412646368125</v>
          </cell>
        </row>
        <row r="191">
          <cell r="AH191">
            <v>872.41312231884649</v>
          </cell>
        </row>
        <row r="192">
          <cell r="AH192">
            <v>4661.3701120810356</v>
          </cell>
        </row>
        <row r="193">
          <cell r="AH193">
            <v>3965.631753126735</v>
          </cell>
        </row>
        <row r="199">
          <cell r="AH199">
            <v>28.087605495036215</v>
          </cell>
        </row>
        <row r="200">
          <cell r="AH200">
            <v>1.1847606382978728E-4</v>
          </cell>
        </row>
        <row r="201">
          <cell r="AH201">
            <v>0</v>
          </cell>
        </row>
        <row r="202">
          <cell r="AH202">
            <v>0</v>
          </cell>
        </row>
        <row r="203">
          <cell r="AH203">
            <v>10.180813021276597</v>
          </cell>
        </row>
        <row r="204">
          <cell r="AH204">
            <v>906.55096743464446</v>
          </cell>
        </row>
        <row r="229">
          <cell r="AH229">
            <v>281.62374490193088</v>
          </cell>
        </row>
        <row r="272">
          <cell r="AH272">
            <v>66023.861708962882</v>
          </cell>
        </row>
      </sheetData>
      <sheetData sheetId="4">
        <row r="14">
          <cell r="D14">
            <v>21346.969640029325</v>
          </cell>
          <cell r="G14">
            <v>23485.894919050628</v>
          </cell>
        </row>
        <row r="16">
          <cell r="D16">
            <v>34664.597727008251</v>
          </cell>
          <cell r="G16">
            <v>38039.681487595393</v>
          </cell>
        </row>
        <row r="17">
          <cell r="D17">
            <v>299.61010387420129</v>
          </cell>
          <cell r="G17">
            <v>318.04375856100694</v>
          </cell>
        </row>
        <row r="18">
          <cell r="D18">
            <v>5.0821879868498039</v>
          </cell>
          <cell r="G18">
            <v>235.89910244411504</v>
          </cell>
        </row>
        <row r="19">
          <cell r="D19">
            <v>2.1799613781281786</v>
          </cell>
          <cell r="G19">
            <v>3.6592219010259903</v>
          </cell>
        </row>
        <row r="20">
          <cell r="D20">
            <v>1323.7341096054113</v>
          </cell>
          <cell r="G20">
            <v>914.56480865938795</v>
          </cell>
        </row>
        <row r="21">
          <cell r="D21">
            <v>4800.9384595734882</v>
          </cell>
          <cell r="G21">
            <v>853.12962781387</v>
          </cell>
        </row>
        <row r="22">
          <cell r="D22">
            <v>1738.807037086855</v>
          </cell>
          <cell r="G22">
            <v>558.39107587963133</v>
          </cell>
        </row>
        <row r="23">
          <cell r="D23">
            <v>1841.8953872045274</v>
          </cell>
          <cell r="G23">
            <v>1614.5465292801728</v>
          </cell>
        </row>
        <row r="24">
          <cell r="G24">
            <v>66023.810531185241</v>
          </cell>
        </row>
      </sheetData>
      <sheetData sheetId="5"/>
      <sheetData sheetId="6"/>
      <sheetData sheetId="7"/>
      <sheetData sheetId="8"/>
      <sheetData sheetId="9"/>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14">
          <cell r="C14">
            <v>12.532967406914894</v>
          </cell>
          <cell r="D14">
            <v>0</v>
          </cell>
          <cell r="E14">
            <v>0</v>
          </cell>
          <cell r="F14">
            <v>0</v>
          </cell>
          <cell r="G14">
            <v>0</v>
          </cell>
          <cell r="H14">
            <v>0</v>
          </cell>
          <cell r="I14">
            <v>0</v>
          </cell>
          <cell r="J14">
            <v>0</v>
          </cell>
          <cell r="K14">
            <v>0</v>
          </cell>
          <cell r="L14">
            <v>0</v>
          </cell>
          <cell r="M14">
            <v>0</v>
          </cell>
          <cell r="N14">
            <v>0</v>
          </cell>
          <cell r="O14">
            <v>607.1948577446808</v>
          </cell>
          <cell r="P14">
            <v>275.33613283259751</v>
          </cell>
        </row>
        <row r="18">
          <cell r="C18">
            <v>224.79924652127659</v>
          </cell>
          <cell r="D18">
            <v>2568.7672415205975</v>
          </cell>
          <cell r="E18">
            <v>2.6936508776595738</v>
          </cell>
          <cell r="F18">
            <v>2594.8284099882717</v>
          </cell>
          <cell r="G18">
            <v>17.822122180851064</v>
          </cell>
          <cell r="H18">
            <v>109.17201140372339</v>
          </cell>
          <cell r="I18">
            <v>1.9073977074468085</v>
          </cell>
          <cell r="J18">
            <v>143.07856890197593</v>
          </cell>
          <cell r="K18">
            <v>5.2830199760638292</v>
          </cell>
          <cell r="L18">
            <v>1337.3804225874469</v>
          </cell>
          <cell r="M18">
            <v>59.560094476063817</v>
          </cell>
          <cell r="N18">
            <v>4403.8700885003936</v>
          </cell>
          <cell r="O18">
            <v>16.524042374999997</v>
          </cell>
          <cell r="P18">
            <v>8007.0120902900553</v>
          </cell>
        </row>
        <row r="22">
          <cell r="E22">
            <v>101.72313284042554</v>
          </cell>
          <cell r="F22">
            <v>275.46449845089876</v>
          </cell>
          <cell r="G22">
            <v>47.275899297872343</v>
          </cell>
          <cell r="H22">
            <v>378.8689133573929</v>
          </cell>
          <cell r="I22">
            <v>18.859792345744683</v>
          </cell>
          <cell r="J22">
            <v>67.709037406279776</v>
          </cell>
          <cell r="K22">
            <v>98.093369666148973</v>
          </cell>
          <cell r="L22">
            <v>3843.9844231195907</v>
          </cell>
          <cell r="M22">
            <v>137.14268380851064</v>
          </cell>
          <cell r="N22">
            <v>1461.6679346834449</v>
          </cell>
          <cell r="O22">
            <v>156.09020846808511</v>
          </cell>
          <cell r="P22">
            <v>3165.1398939390383</v>
          </cell>
        </row>
        <row r="23">
          <cell r="C23">
            <v>950.88463594393625</v>
          </cell>
          <cell r="D23">
            <v>70.364715535106384</v>
          </cell>
        </row>
        <row r="24">
          <cell r="C24">
            <v>189.9177159854255</v>
          </cell>
          <cell r="D24">
            <v>56.607683648218078</v>
          </cell>
        </row>
        <row r="25">
          <cell r="C25">
            <v>263.86828681914886</v>
          </cell>
          <cell r="D25">
            <v>323.63907117053122</v>
          </cell>
        </row>
        <row r="26">
          <cell r="C26">
            <v>508.21994271010635</v>
          </cell>
          <cell r="D26">
            <v>457.13148089401727</v>
          </cell>
        </row>
        <row r="27">
          <cell r="C27">
            <v>3712.9833581606795</v>
          </cell>
          <cell r="D27">
            <v>2080.3473281211664</v>
          </cell>
        </row>
        <row r="28">
          <cell r="C28">
            <v>10498.545333717346</v>
          </cell>
          <cell r="D28">
            <v>1377.0242501793368</v>
          </cell>
        </row>
        <row r="29">
          <cell r="C29">
            <v>636.52007910146278</v>
          </cell>
          <cell r="D29">
            <v>111.65932352031915</v>
          </cell>
        </row>
        <row r="30">
          <cell r="C30">
            <v>0</v>
          </cell>
          <cell r="D30">
            <v>458</v>
          </cell>
          <cell r="E30">
            <v>0</v>
          </cell>
          <cell r="F30">
            <v>0</v>
          </cell>
          <cell r="G30">
            <v>0</v>
          </cell>
          <cell r="H30">
            <v>0</v>
          </cell>
          <cell r="I30">
            <v>0</v>
          </cell>
          <cell r="J30">
            <v>0</v>
          </cell>
          <cell r="K30">
            <v>0</v>
          </cell>
          <cell r="L30">
            <v>0</v>
          </cell>
          <cell r="M30">
            <v>0</v>
          </cell>
          <cell r="N30">
            <v>0</v>
          </cell>
          <cell r="O30">
            <v>0</v>
          </cell>
          <cell r="P30">
            <v>595.99265657819149</v>
          </cell>
        </row>
        <row r="31">
          <cell r="C31">
            <v>0</v>
          </cell>
          <cell r="D31">
            <v>36.799379595269592</v>
          </cell>
          <cell r="E31">
            <v>0</v>
          </cell>
          <cell r="F31">
            <v>1.833167713829787</v>
          </cell>
          <cell r="G31">
            <v>0</v>
          </cell>
          <cell r="H31">
            <v>0.80023043715425535</v>
          </cell>
          <cell r="I31">
            <v>0</v>
          </cell>
          <cell r="J31">
            <v>0</v>
          </cell>
          <cell r="K31">
            <v>0</v>
          </cell>
          <cell r="L31">
            <v>0.12044923398936169</v>
          </cell>
          <cell r="M31">
            <v>0</v>
          </cell>
          <cell r="N31">
            <v>44.126958043401899</v>
          </cell>
          <cell r="O31">
            <v>0</v>
          </cell>
          <cell r="P31">
            <v>147.58520050532397</v>
          </cell>
        </row>
        <row r="32">
          <cell r="E32"/>
          <cell r="F32"/>
          <cell r="G32"/>
          <cell r="H32"/>
          <cell r="I32"/>
          <cell r="J32"/>
          <cell r="K32"/>
          <cell r="L32"/>
          <cell r="M32"/>
          <cell r="N32"/>
          <cell r="O32">
            <v>0</v>
          </cell>
          <cell r="P32">
            <v>0</v>
          </cell>
        </row>
        <row r="33">
          <cell r="C33">
            <v>25.063485530978724</v>
          </cell>
          <cell r="D33">
            <v>2743.3958500420849</v>
          </cell>
          <cell r="E33">
            <v>0</v>
          </cell>
          <cell r="F33">
            <v>0</v>
          </cell>
          <cell r="G33">
            <v>0</v>
          </cell>
          <cell r="H33">
            <v>0</v>
          </cell>
          <cell r="I33">
            <v>0</v>
          </cell>
          <cell r="J33">
            <v>0</v>
          </cell>
          <cell r="K33">
            <v>0</v>
          </cell>
          <cell r="L33">
            <v>0</v>
          </cell>
          <cell r="M33">
            <v>0</v>
          </cell>
          <cell r="N33">
            <v>0.44992401061007953</v>
          </cell>
          <cell r="O33">
            <v>5.3255570000000002E-2</v>
          </cell>
          <cell r="P33">
            <v>1277.8932095737118</v>
          </cell>
        </row>
        <row r="34">
          <cell r="C34">
            <v>1325.9606412725739</v>
          </cell>
          <cell r="D34">
            <v>1611.3622907749</v>
          </cell>
          <cell r="E34">
            <v>24.468085106382976</v>
          </cell>
          <cell r="F34">
            <v>2809.1547717194144</v>
          </cell>
          <cell r="G34">
            <v>0</v>
          </cell>
          <cell r="H34">
            <v>0</v>
          </cell>
          <cell r="I34">
            <v>0.26595744680851063</v>
          </cell>
          <cell r="J34">
            <v>0</v>
          </cell>
          <cell r="K34">
            <v>0.53191489361702127</v>
          </cell>
          <cell r="L34">
            <v>14.759718749999999</v>
          </cell>
          <cell r="M34">
            <v>7.783462765957446</v>
          </cell>
          <cell r="N34">
            <v>14.759718749999999</v>
          </cell>
          <cell r="O34">
            <v>0</v>
          </cell>
          <cell r="P34">
            <v>10</v>
          </cell>
        </row>
        <row r="36">
          <cell r="C36">
            <v>712.95604221103997</v>
          </cell>
          <cell r="D36">
            <v>173.69728987969566</v>
          </cell>
          <cell r="E36">
            <v>8.2652429344050304</v>
          </cell>
          <cell r="F36">
            <v>2242.6597229331974</v>
          </cell>
          <cell r="G36">
            <v>0</v>
          </cell>
          <cell r="H36">
            <v>2.0691888701518373</v>
          </cell>
          <cell r="I36">
            <v>0</v>
          </cell>
          <cell r="J36">
            <v>0.72215636145598239</v>
          </cell>
          <cell r="K36">
            <v>7.8193930490260376E-4</v>
          </cell>
          <cell r="L36">
            <v>31.481433308611894</v>
          </cell>
          <cell r="M36">
            <v>0</v>
          </cell>
          <cell r="N36">
            <v>12.357126689101499</v>
          </cell>
          <cell r="O36">
            <v>148.71036546357226</v>
          </cell>
          <cell r="P36">
            <v>694.99510948722707</v>
          </cell>
        </row>
        <row r="37">
          <cell r="C37">
            <v>794.02446956633105</v>
          </cell>
          <cell r="D37">
            <v>722.16260515556394</v>
          </cell>
          <cell r="E37">
            <v>1.4929154255319297E-2</v>
          </cell>
          <cell r="F37">
            <v>1.4987483244644571E-3</v>
          </cell>
          <cell r="G37">
            <v>6.1934840425531914E-4</v>
          </cell>
          <cell r="H37">
            <v>1.3558111702127659E-3</v>
          </cell>
          <cell r="I37">
            <v>0</v>
          </cell>
          <cell r="J37">
            <v>2.4917334346542022E-4</v>
          </cell>
          <cell r="K37">
            <v>5.2706718085106234E-2</v>
          </cell>
          <cell r="L37">
            <v>6.3023417553191479E-3</v>
          </cell>
          <cell r="M37">
            <v>5.8874295212765451E-2</v>
          </cell>
          <cell r="N37">
            <v>0.23727224375</v>
          </cell>
          <cell r="O37">
            <v>0.18278553191489333</v>
          </cell>
          <cell r="P37">
            <v>153.52315750411984</v>
          </cell>
        </row>
        <row r="38">
          <cell r="C38">
            <v>19856.276204947222</v>
          </cell>
          <cell r="D38">
            <v>12790.958510036806</v>
          </cell>
          <cell r="E38">
            <v>137.16504091312845</v>
          </cell>
          <cell r="F38">
            <v>7923.9420695539366</v>
          </cell>
          <cell r="G38">
            <v>65.098640827127667</v>
          </cell>
          <cell r="H38">
            <v>490.91169987959256</v>
          </cell>
          <cell r="I38">
            <v>21.033147500000002</v>
          </cell>
          <cell r="J38">
            <v>211.51001184305514</v>
          </cell>
          <cell r="K38">
            <v>103.96179319321983</v>
          </cell>
          <cell r="L38">
            <v>5227.7327493413932</v>
          </cell>
          <cell r="M38">
            <v>204.54511534574468</v>
          </cell>
          <cell r="N38">
            <v>5937.4690229207017</v>
          </cell>
          <cell r="O38">
            <v>928.75551515325299</v>
          </cell>
          <cell r="P38">
            <v>14327.477450710265</v>
          </cell>
          <cell r="Q38">
            <v>68226.836972165445</v>
          </cell>
        </row>
        <row r="40">
          <cell r="Q40">
            <v>5625.5033916595739</v>
          </cell>
        </row>
        <row r="41">
          <cell r="Q41">
            <v>742.84874056958608</v>
          </cell>
        </row>
        <row r="42">
          <cell r="Q42">
            <v>705.30820332933581</v>
          </cell>
        </row>
        <row r="68">
          <cell r="C68">
            <v>95.072210707716295</v>
          </cell>
          <cell r="D68">
            <v>198.90280465725229</v>
          </cell>
        </row>
        <row r="69">
          <cell r="C69">
            <v>3425.5605605984042</v>
          </cell>
          <cell r="D69">
            <v>22.65957447074468</v>
          </cell>
          <cell r="E69">
            <v>0</v>
          </cell>
          <cell r="F69">
            <v>1.0638297872340425</v>
          </cell>
          <cell r="G69">
            <v>0</v>
          </cell>
          <cell r="H69">
            <v>0</v>
          </cell>
          <cell r="I69">
            <v>0</v>
          </cell>
          <cell r="J69">
            <v>0</v>
          </cell>
          <cell r="K69">
            <v>0</v>
          </cell>
          <cell r="L69">
            <v>5.3191489361702127</v>
          </cell>
          <cell r="M69">
            <v>0</v>
          </cell>
          <cell r="N69">
            <v>1.3297872340425532</v>
          </cell>
          <cell r="O69">
            <v>0</v>
          </cell>
          <cell r="P69">
            <v>3.9893617021276597</v>
          </cell>
        </row>
        <row r="72">
          <cell r="C72">
            <v>916.59421802619443</v>
          </cell>
          <cell r="D72">
            <v>1432.2791855000814</v>
          </cell>
          <cell r="E72">
            <v>-1.677313829787234E-4</v>
          </cell>
          <cell r="F72">
            <v>625.56001115175013</v>
          </cell>
          <cell r="G72">
            <v>-6.5319414893617032E-4</v>
          </cell>
          <cell r="H72">
            <v>9.6748032384843885</v>
          </cell>
          <cell r="I72">
            <v>-2.9517287234042552E-3</v>
          </cell>
          <cell r="J72">
            <v>46.641588208776597</v>
          </cell>
          <cell r="K72">
            <v>-1.3198856382978725E-3</v>
          </cell>
          <cell r="L72">
            <v>792.86725198437</v>
          </cell>
          <cell r="M72">
            <v>-1.8505585106382979E-3</v>
          </cell>
          <cell r="N72">
            <v>814.69832654905554</v>
          </cell>
          <cell r="O72">
            <v>-2.2077127659574466E-5</v>
          </cell>
          <cell r="P72">
            <v>2867.7318745716793</v>
          </cell>
        </row>
        <row r="76">
          <cell r="E76">
            <v>17.93397469414893</v>
          </cell>
          <cell r="F76">
            <v>21.865849732502006</v>
          </cell>
          <cell r="G76">
            <v>7.8735311170212763E-2</v>
          </cell>
          <cell r="H76">
            <v>213.98405092143625</v>
          </cell>
          <cell r="I76">
            <v>3.43166914893617E-2</v>
          </cell>
          <cell r="J76">
            <v>715.00549424785856</v>
          </cell>
          <cell r="K76">
            <v>41.070079321808514</v>
          </cell>
          <cell r="L76">
            <v>1521.2591118655314</v>
          </cell>
          <cell r="M76">
            <v>0.68900693882978736</v>
          </cell>
          <cell r="N76">
            <v>942.97448035514367</v>
          </cell>
          <cell r="O76">
            <v>6.22231094680851</v>
          </cell>
          <cell r="P76">
            <v>3092.0175394092953</v>
          </cell>
        </row>
        <row r="77">
          <cell r="C77">
            <v>348.50829532978713</v>
          </cell>
          <cell r="D77">
            <v>958.55416876220761</v>
          </cell>
        </row>
        <row r="78">
          <cell r="C78">
            <v>0</v>
          </cell>
          <cell r="D78">
            <v>0</v>
          </cell>
        </row>
        <row r="79">
          <cell r="C79">
            <v>62.23698134042553</v>
          </cell>
          <cell r="D79">
            <v>423.41450933630324</v>
          </cell>
        </row>
        <row r="80">
          <cell r="C80">
            <v>69.526447789893624</v>
          </cell>
          <cell r="D80">
            <v>1291.9184615846275</v>
          </cell>
        </row>
        <row r="81">
          <cell r="C81">
            <v>4209.8562000515503</v>
          </cell>
          <cell r="D81">
            <v>1451.5374090580235</v>
          </cell>
        </row>
        <row r="82">
          <cell r="C82">
            <v>8579.2733942936957</v>
          </cell>
          <cell r="D82">
            <v>361.30520416690155</v>
          </cell>
        </row>
        <row r="83">
          <cell r="C83">
            <v>110.93815061170203</v>
          </cell>
          <cell r="D83">
            <v>100.53191489361701</v>
          </cell>
        </row>
        <row r="84">
          <cell r="E84">
            <v>2.6525199999999998E-3</v>
          </cell>
          <cell r="F84">
            <v>175.36646193728726</v>
          </cell>
          <cell r="G84">
            <v>0</v>
          </cell>
          <cell r="H84">
            <v>1084.8913637515957</v>
          </cell>
          <cell r="I84">
            <v>0</v>
          </cell>
          <cell r="J84">
            <v>124.70981228244288</v>
          </cell>
          <cell r="K84">
            <v>0</v>
          </cell>
          <cell r="L84">
            <v>2962.5138195429718</v>
          </cell>
          <cell r="M84">
            <v>0</v>
          </cell>
          <cell r="N84">
            <v>2088.5576282938819</v>
          </cell>
          <cell r="O84">
            <v>2.7939250000000002</v>
          </cell>
          <cell r="P84">
            <v>5893.0151878178613</v>
          </cell>
        </row>
        <row r="86">
          <cell r="C86">
            <v>1905.7288759468086</v>
          </cell>
          <cell r="D86">
            <v>7027.9084438904001</v>
          </cell>
        </row>
        <row r="89">
          <cell r="C89">
            <v>1.3989361700212766E-6</v>
          </cell>
          <cell r="D89">
            <v>1364.8804589298923</v>
          </cell>
        </row>
        <row r="92">
          <cell r="C92">
            <v>844.66121737019148</v>
          </cell>
          <cell r="D92">
            <v>647.74479998167021</v>
          </cell>
        </row>
        <row r="93">
          <cell r="C93">
            <v>-0.17039035638297945</v>
          </cell>
          <cell r="D93">
            <v>4.3806550057021036</v>
          </cell>
          <cell r="E93">
            <v>0</v>
          </cell>
          <cell r="F93">
            <v>2.1539652456648923</v>
          </cell>
          <cell r="G93">
            <v>0</v>
          </cell>
          <cell r="H93">
            <v>0</v>
          </cell>
          <cell r="I93">
            <v>0</v>
          </cell>
          <cell r="J93">
            <v>9.7838859521276578E-2</v>
          </cell>
          <cell r="K93">
            <v>0</v>
          </cell>
          <cell r="L93">
            <v>0.53563760941489358</v>
          </cell>
          <cell r="M93">
            <v>0</v>
          </cell>
          <cell r="N93">
            <v>37.374186983420877</v>
          </cell>
          <cell r="O93">
            <v>0</v>
          </cell>
          <cell r="P93">
            <v>233.51932949101135</v>
          </cell>
        </row>
        <row r="94">
          <cell r="E94"/>
          <cell r="F94"/>
          <cell r="G94"/>
          <cell r="H94"/>
          <cell r="I94"/>
          <cell r="J94"/>
          <cell r="K94"/>
          <cell r="L94"/>
          <cell r="M94"/>
          <cell r="N94"/>
          <cell r="O94">
            <v>0</v>
          </cell>
          <cell r="P94">
            <v>0</v>
          </cell>
        </row>
        <row r="95">
          <cell r="C95">
            <v>1253.3842268191488</v>
          </cell>
          <cell r="D95">
            <v>1482.6058458340344</v>
          </cell>
          <cell r="E95">
            <v>0</v>
          </cell>
          <cell r="F95">
            <v>0</v>
          </cell>
          <cell r="G95">
            <v>0</v>
          </cell>
          <cell r="H95">
            <v>0</v>
          </cell>
          <cell r="I95">
            <v>0</v>
          </cell>
          <cell r="J95">
            <v>0</v>
          </cell>
          <cell r="K95">
            <v>0</v>
          </cell>
          <cell r="L95">
            <v>0</v>
          </cell>
          <cell r="M95">
            <v>0</v>
          </cell>
          <cell r="N95">
            <v>114.09670450928384</v>
          </cell>
          <cell r="O95">
            <v>0</v>
          </cell>
          <cell r="P95">
            <v>1409.4370019760299</v>
          </cell>
        </row>
        <row r="96">
          <cell r="C96">
            <v>312.55771814874987</v>
          </cell>
          <cell r="D96">
            <v>20.539715537287236</v>
          </cell>
        </row>
        <row r="97">
          <cell r="C97">
            <v>1616.3279031213597</v>
          </cell>
          <cell r="D97">
            <v>779.4564671800515</v>
          </cell>
          <cell r="E97">
            <v>9.6026755319149381E-4</v>
          </cell>
          <cell r="F97">
            <v>8.9465631170212778E-2</v>
          </cell>
          <cell r="G97">
            <v>6.6170212765957479E-5</v>
          </cell>
          <cell r="H97">
            <v>2.6593085106382978E-5</v>
          </cell>
          <cell r="I97">
            <v>-9.7973404255319139E-5</v>
          </cell>
          <cell r="J97">
            <v>1.2836436170212765E-4</v>
          </cell>
          <cell r="K97">
            <v>10.911161377659573</v>
          </cell>
          <cell r="L97">
            <v>30.690020925531918</v>
          </cell>
          <cell r="M97">
            <v>4.5213380531914886</v>
          </cell>
          <cell r="N97">
            <v>212.24872922815013</v>
          </cell>
          <cell r="O97">
            <v>0.43646179521276668</v>
          </cell>
          <cell r="P97">
            <v>778.04405634486329</v>
          </cell>
        </row>
        <row r="98">
          <cell r="C98">
            <v>23750.056011198183</v>
          </cell>
          <cell r="D98">
            <v>17568.619618788794</v>
          </cell>
          <cell r="E98">
            <v>17.937419750319144</v>
          </cell>
          <cell r="F98">
            <v>826.09958348560849</v>
          </cell>
          <cell r="G98">
            <v>7.814828723404256E-2</v>
          </cell>
          <cell r="H98">
            <v>1308.5502445046013</v>
          </cell>
          <cell r="I98">
            <v>3.1266989361702129E-2</v>
          </cell>
          <cell r="J98">
            <v>886.45486196296099</v>
          </cell>
          <cell r="K98">
            <v>51.979920813829793</v>
          </cell>
          <cell r="L98">
            <v>5313.1849908639897</v>
          </cell>
          <cell r="M98">
            <v>5.208494433510638</v>
          </cell>
          <cell r="N98">
            <v>4211.2798431529782</v>
          </cell>
          <cell r="O98">
            <v>9.4526756648936168</v>
          </cell>
          <cell r="P98">
            <v>14277.754351312868</v>
          </cell>
          <cell r="Q98">
            <v>68226.687431209124</v>
          </cell>
        </row>
        <row r="100">
          <cell r="Q100">
            <v>5603.9855562903404</v>
          </cell>
        </row>
        <row r="101">
          <cell r="Q101">
            <v>742.84874056426679</v>
          </cell>
        </row>
        <row r="102">
          <cell r="Q102">
            <v>705.30820332933592</v>
          </cell>
        </row>
      </sheetData>
      <sheetData sheetId="1"/>
      <sheetData sheetId="2">
        <row r="15">
          <cell r="AX15">
            <v>7206.2147159697597</v>
          </cell>
        </row>
        <row r="69">
          <cell r="AX69">
            <v>1044.5972224016427</v>
          </cell>
        </row>
        <row r="86">
          <cell r="AX86">
            <v>0</v>
          </cell>
        </row>
        <row r="90">
          <cell r="AX90">
            <v>65.878240018617035</v>
          </cell>
        </row>
        <row r="105">
          <cell r="AX105">
            <v>4.8072952127659573E-3</v>
          </cell>
        </row>
        <row r="118">
          <cell r="AX118">
            <v>6.680446311170213</v>
          </cell>
        </row>
        <row r="120">
          <cell r="AX120">
            <v>270.46165891489352</v>
          </cell>
        </row>
        <row r="122">
          <cell r="AX122">
            <v>1613.4425879175037</v>
          </cell>
        </row>
        <row r="130">
          <cell r="AX130">
            <v>551.02093064656742</v>
          </cell>
        </row>
        <row r="141">
          <cell r="AX141">
            <v>1199.2029215509078</v>
          </cell>
        </row>
        <row r="170">
          <cell r="AX170">
            <v>4.7179634308510798E-2</v>
          </cell>
        </row>
        <row r="186">
          <cell r="AX186">
            <v>32647.211698311501</v>
          </cell>
        </row>
        <row r="187">
          <cell r="AX187">
            <v>1447.5495035295189</v>
          </cell>
        </row>
        <row r="188">
          <cell r="AX188">
            <v>533.83115744240445</v>
          </cell>
        </row>
        <row r="189">
          <cell r="AX189">
            <v>8061.1067041950655</v>
          </cell>
        </row>
        <row r="190">
          <cell r="AX190">
            <v>556.01034070672029</v>
          </cell>
        </row>
        <row r="191">
          <cell r="AX191">
            <v>232.54309631918247</v>
          </cell>
        </row>
        <row r="192">
          <cell r="AX192">
            <v>5331.694539059813</v>
          </cell>
        </row>
        <row r="193">
          <cell r="AX193">
            <v>6142.01395059278</v>
          </cell>
        </row>
        <row r="199">
          <cell r="AX199">
            <v>456.33419408543364</v>
          </cell>
        </row>
        <row r="200">
          <cell r="AX200">
            <v>21.883243730921613</v>
          </cell>
        </row>
        <row r="201">
          <cell r="AX201">
            <v>127.43129947940399</v>
          </cell>
        </row>
        <row r="202">
          <cell r="AX202">
            <v>0.21124220744680855</v>
          </cell>
        </row>
        <row r="203">
          <cell r="AX203">
            <v>350.34566513829787</v>
          </cell>
        </row>
        <row r="204">
          <cell r="AX204">
            <v>205.36393410454667</v>
          </cell>
        </row>
        <row r="229">
          <cell r="AX229">
            <v>1.0591369360432306</v>
          </cell>
        </row>
      </sheetData>
      <sheetData sheetId="3">
        <row r="15">
          <cell r="AH15">
            <v>3961.3383444743431</v>
          </cell>
        </row>
        <row r="69">
          <cell r="AH69">
            <v>1809.9401222619358</v>
          </cell>
        </row>
        <row r="86">
          <cell r="AH86">
            <v>0</v>
          </cell>
        </row>
        <row r="90">
          <cell r="AH90">
            <v>0</v>
          </cell>
        </row>
        <row r="105">
          <cell r="AH105">
            <v>0</v>
          </cell>
        </row>
        <row r="118">
          <cell r="AH118">
            <v>3.0976489361702123E-3</v>
          </cell>
        </row>
        <row r="120">
          <cell r="AH120">
            <v>0</v>
          </cell>
        </row>
        <row r="122">
          <cell r="AH122">
            <v>1281.1300144411014</v>
          </cell>
        </row>
        <row r="130">
          <cell r="AH130">
            <v>3342.1857171326456</v>
          </cell>
        </row>
        <row r="141">
          <cell r="AH141">
            <v>1794.2981428701858</v>
          </cell>
        </row>
        <row r="170">
          <cell r="AH170">
            <v>139.34111288396275</v>
          </cell>
        </row>
        <row r="186">
          <cell r="AH186">
            <v>41318.699400573685</v>
          </cell>
        </row>
        <row r="187">
          <cell r="AH187">
            <v>0</v>
          </cell>
        </row>
        <row r="188">
          <cell r="AH188">
            <v>450.55589073003563</v>
          </cell>
        </row>
        <row r="189">
          <cell r="AH189">
            <v>844.03404138121778</v>
          </cell>
        </row>
        <row r="190">
          <cell r="AH190">
            <v>1308.628392881835</v>
          </cell>
        </row>
        <row r="191">
          <cell r="AH191">
            <v>886.48612895232304</v>
          </cell>
        </row>
        <row r="192">
          <cell r="AH192">
            <v>5365.1786530862046</v>
          </cell>
        </row>
        <row r="193">
          <cell r="AH193">
            <v>4216.4483375093532</v>
          </cell>
        </row>
        <row r="199">
          <cell r="AH199">
            <v>28.064741385567679</v>
          </cell>
        </row>
        <row r="200">
          <cell r="AH200">
            <v>1.1848404255319152E-4</v>
          </cell>
        </row>
        <row r="201">
          <cell r="AH201">
            <v>0</v>
          </cell>
        </row>
        <row r="202">
          <cell r="AH202">
            <v>0</v>
          </cell>
        </row>
        <row r="203">
          <cell r="AH203">
            <v>10.228021574468086</v>
          </cell>
        </row>
        <row r="204">
          <cell r="AH204">
            <v>926.10292564640463</v>
          </cell>
        </row>
        <row r="229">
          <cell r="AH229">
            <v>223.84037974934949</v>
          </cell>
        </row>
        <row r="272">
          <cell r="AH272">
            <v>68226.797893793671</v>
          </cell>
        </row>
      </sheetData>
      <sheetData sheetId="4">
        <row r="14">
          <cell r="D14">
            <v>21316.813991759758</v>
          </cell>
          <cell r="G14">
            <v>23834.739802575728</v>
          </cell>
        </row>
        <row r="16">
          <cell r="D16">
            <v>35848.252743517645</v>
          </cell>
          <cell r="G16">
            <v>39390.354476881177</v>
          </cell>
        </row>
        <row r="17">
          <cell r="D17">
            <v>318.13393804011559</v>
          </cell>
          <cell r="G17">
            <v>318.0743733176397</v>
          </cell>
        </row>
        <row r="18">
          <cell r="D18">
            <v>2.7841047557001741</v>
          </cell>
          <cell r="G18">
            <v>176.74561337249753</v>
          </cell>
        </row>
        <row r="19">
          <cell r="D19">
            <v>1.9908660643219931</v>
          </cell>
          <cell r="G19">
            <v>3.6001882482916781</v>
          </cell>
        </row>
        <row r="20">
          <cell r="D20">
            <v>1620.2691311964693</v>
          </cell>
          <cell r="G20">
            <v>904.76219657045203</v>
          </cell>
        </row>
        <row r="21">
          <cell r="D21">
            <v>5342.6789574531658</v>
          </cell>
          <cell r="G21">
            <v>1347.2571248956096</v>
          </cell>
        </row>
        <row r="22">
          <cell r="D22">
            <v>2053.7345499218613</v>
          </cell>
          <cell r="G22">
            <v>727.23135953824021</v>
          </cell>
        </row>
        <row r="23">
          <cell r="D23">
            <v>1722.1874614664409</v>
          </cell>
          <cell r="G23">
            <v>1524.0359652419986</v>
          </cell>
        </row>
        <row r="24">
          <cell r="G24">
            <v>68226.801100641635</v>
          </cell>
        </row>
      </sheetData>
      <sheetData sheetId="5"/>
      <sheetData sheetId="6"/>
      <sheetData sheetId="7"/>
      <sheetData sheetId="8"/>
      <sheetData sheetId="9"/>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14">
          <cell r="C14">
            <v>6.90729147606383</v>
          </cell>
          <cell r="D14">
            <v>0</v>
          </cell>
          <cell r="E14">
            <v>0</v>
          </cell>
          <cell r="F14">
            <v>0</v>
          </cell>
          <cell r="G14">
            <v>0</v>
          </cell>
          <cell r="H14">
            <v>0</v>
          </cell>
          <cell r="I14">
            <v>0</v>
          </cell>
          <cell r="J14">
            <v>0</v>
          </cell>
          <cell r="K14">
            <v>0</v>
          </cell>
          <cell r="L14">
            <v>0</v>
          </cell>
          <cell r="M14">
            <v>0</v>
          </cell>
          <cell r="N14">
            <v>0</v>
          </cell>
          <cell r="O14">
            <v>607.50858250797876</v>
          </cell>
          <cell r="P14">
            <v>275.52903155145526</v>
          </cell>
        </row>
        <row r="18">
          <cell r="C18">
            <v>201.18752207180847</v>
          </cell>
          <cell r="D18">
            <v>2548.7428970353658</v>
          </cell>
          <cell r="E18">
            <v>9.1814088191489365</v>
          </cell>
          <cell r="F18">
            <v>2490.5181109277728</v>
          </cell>
          <cell r="G18">
            <v>14.868359130319149</v>
          </cell>
          <cell r="H18">
            <v>109.01324443163166</v>
          </cell>
          <cell r="I18">
            <v>1.6366728643617019</v>
          </cell>
          <cell r="J18">
            <v>119.70910210595159</v>
          </cell>
          <cell r="K18">
            <v>21.972361646276592</v>
          </cell>
          <cell r="L18">
            <v>1210.1756485056117</v>
          </cell>
          <cell r="M18">
            <v>105.86889058244682</v>
          </cell>
          <cell r="N18">
            <v>4024.6901161688161</v>
          </cell>
          <cell r="O18">
            <v>16.734232257978721</v>
          </cell>
          <cell r="P18">
            <v>8482.3310615938244</v>
          </cell>
        </row>
        <row r="22">
          <cell r="E22">
            <v>103.88429704521306</v>
          </cell>
          <cell r="F22">
            <v>131.67158616930206</v>
          </cell>
          <cell r="G22">
            <v>38.265361148936165</v>
          </cell>
          <cell r="H22">
            <v>378.14068202191982</v>
          </cell>
          <cell r="I22">
            <v>18.266036066489367</v>
          </cell>
          <cell r="J22">
            <v>49.755739850948927</v>
          </cell>
          <cell r="K22">
            <v>96.929307079298042</v>
          </cell>
          <cell r="L22">
            <v>4092.2451781176692</v>
          </cell>
          <cell r="M22">
            <v>120.46615203191487</v>
          </cell>
          <cell r="N22">
            <v>1589.7160483510279</v>
          </cell>
          <cell r="O22">
            <v>151.54300761436158</v>
          </cell>
          <cell r="P22">
            <v>2750.7606815214867</v>
          </cell>
        </row>
        <row r="23">
          <cell r="C23">
            <v>925.86259608797855</v>
          </cell>
          <cell r="D23">
            <v>75.601504189095763</v>
          </cell>
        </row>
        <row r="24">
          <cell r="C24">
            <v>193.16691594691488</v>
          </cell>
          <cell r="D24">
            <v>56.72197976236702</v>
          </cell>
        </row>
        <row r="25">
          <cell r="C25">
            <v>214.1098227207448</v>
          </cell>
          <cell r="D25">
            <v>298.742286572041</v>
          </cell>
        </row>
        <row r="26">
          <cell r="C26">
            <v>693.55435269680845</v>
          </cell>
          <cell r="D26">
            <v>616.7434724786491</v>
          </cell>
        </row>
        <row r="27">
          <cell r="C27">
            <v>4115.4376723375808</v>
          </cell>
          <cell r="D27">
            <v>2111.5439658931878</v>
          </cell>
        </row>
        <row r="28">
          <cell r="C28">
            <v>10547.170139377638</v>
          </cell>
          <cell r="D28">
            <v>1350.1737052860051</v>
          </cell>
        </row>
        <row r="29">
          <cell r="C29">
            <v>610.85613614976069</v>
          </cell>
          <cell r="D29">
            <v>105.58285151765958</v>
          </cell>
        </row>
        <row r="30">
          <cell r="C30">
            <v>0</v>
          </cell>
          <cell r="D30">
            <v>461</v>
          </cell>
          <cell r="E30">
            <v>0</v>
          </cell>
          <cell r="F30">
            <v>0</v>
          </cell>
          <cell r="G30">
            <v>0</v>
          </cell>
          <cell r="H30">
            <v>0</v>
          </cell>
          <cell r="I30">
            <v>0</v>
          </cell>
          <cell r="J30">
            <v>0</v>
          </cell>
          <cell r="K30">
            <v>0</v>
          </cell>
          <cell r="L30">
            <v>0</v>
          </cell>
          <cell r="M30">
            <v>0</v>
          </cell>
          <cell r="N30">
            <v>0</v>
          </cell>
          <cell r="O30">
            <v>0</v>
          </cell>
          <cell r="P30">
            <v>594.41176595436173</v>
          </cell>
        </row>
        <row r="31">
          <cell r="C31">
            <v>0</v>
          </cell>
          <cell r="D31">
            <v>37.454140724595561</v>
          </cell>
          <cell r="E31">
            <v>0</v>
          </cell>
          <cell r="F31">
            <v>1.5820972644680849</v>
          </cell>
          <cell r="G31">
            <v>0</v>
          </cell>
          <cell r="H31">
            <v>0.51517421986702128</v>
          </cell>
          <cell r="I31">
            <v>0</v>
          </cell>
          <cell r="J31">
            <v>0</v>
          </cell>
          <cell r="K31">
            <v>0</v>
          </cell>
          <cell r="L31">
            <v>0.20339733547872341</v>
          </cell>
          <cell r="M31">
            <v>0</v>
          </cell>
          <cell r="N31">
            <v>42.845674076102384</v>
          </cell>
          <cell r="O31">
            <v>0</v>
          </cell>
          <cell r="P31">
            <v>117.98458246468607</v>
          </cell>
        </row>
        <row r="32">
          <cell r="E32"/>
          <cell r="F32"/>
          <cell r="G32"/>
          <cell r="H32"/>
          <cell r="I32"/>
          <cell r="J32"/>
          <cell r="K32"/>
          <cell r="L32"/>
          <cell r="M32"/>
          <cell r="N32"/>
          <cell r="O32">
            <v>0</v>
          </cell>
          <cell r="P32">
            <v>0</v>
          </cell>
        </row>
        <row r="33">
          <cell r="C33">
            <v>12.645621131361702</v>
          </cell>
          <cell r="D33">
            <v>2687.1220115331062</v>
          </cell>
          <cell r="E33">
            <v>0</v>
          </cell>
          <cell r="F33">
            <v>0</v>
          </cell>
          <cell r="G33">
            <v>0</v>
          </cell>
          <cell r="H33">
            <v>0</v>
          </cell>
          <cell r="I33">
            <v>0</v>
          </cell>
          <cell r="J33">
            <v>0</v>
          </cell>
          <cell r="K33">
            <v>0</v>
          </cell>
          <cell r="L33">
            <v>0</v>
          </cell>
          <cell r="M33">
            <v>0</v>
          </cell>
          <cell r="N33">
            <v>0.45004104244031828</v>
          </cell>
          <cell r="O33">
            <v>5.3255570000000002E-2</v>
          </cell>
          <cell r="P33">
            <v>336.02350927409276</v>
          </cell>
        </row>
        <row r="34">
          <cell r="C34">
            <v>1323.8446246952767</v>
          </cell>
          <cell r="D34">
            <v>1610.3239007648226</v>
          </cell>
          <cell r="E34">
            <v>24.468085106382976</v>
          </cell>
          <cell r="F34">
            <v>2809.1547717194144</v>
          </cell>
          <cell r="G34">
            <v>0</v>
          </cell>
          <cell r="H34">
            <v>0</v>
          </cell>
          <cell r="I34">
            <v>0.26595744680851063</v>
          </cell>
          <cell r="J34">
            <v>0</v>
          </cell>
          <cell r="K34">
            <v>0.53191489361702127</v>
          </cell>
          <cell r="L34">
            <v>14.759718749999999</v>
          </cell>
          <cell r="M34">
            <v>7.7837287234042556</v>
          </cell>
          <cell r="N34">
            <v>14.759718749999999</v>
          </cell>
          <cell r="O34">
            <v>0</v>
          </cell>
          <cell r="P34">
            <v>10</v>
          </cell>
        </row>
        <row r="36">
          <cell r="C36">
            <v>688.00140526853272</v>
          </cell>
          <cell r="D36">
            <v>86.484878737315142</v>
          </cell>
          <cell r="E36">
            <v>-4.8177389890486122</v>
          </cell>
          <cell r="F36">
            <v>2239.9640409391459</v>
          </cell>
          <cell r="G36">
            <v>0</v>
          </cell>
          <cell r="H36">
            <v>1.8519984663710727</v>
          </cell>
          <cell r="I36">
            <v>0</v>
          </cell>
          <cell r="J36">
            <v>0.69596178082577753</v>
          </cell>
          <cell r="K36">
            <v>6.4606059182719332E-4</v>
          </cell>
          <cell r="L36">
            <v>31.7502474998549</v>
          </cell>
          <cell r="M36">
            <v>0</v>
          </cell>
          <cell r="N36">
            <v>7.498218257217129</v>
          </cell>
          <cell r="O36">
            <v>148.71035523048329</v>
          </cell>
          <cell r="P36">
            <v>608.80774193826085</v>
          </cell>
        </row>
        <row r="37">
          <cell r="C37">
            <v>724.28823357287035</v>
          </cell>
          <cell r="D37">
            <v>706.33101665627487</v>
          </cell>
          <cell r="E37">
            <v>3.0594513111702921E-2</v>
          </cell>
          <cell r="F37">
            <v>2.1734741845279022E-2</v>
          </cell>
          <cell r="G37">
            <v>6.1934840425531914E-4</v>
          </cell>
          <cell r="H37">
            <v>9.6959849871667059E-2</v>
          </cell>
          <cell r="I37">
            <v>0</v>
          </cell>
          <cell r="J37">
            <v>9.6989564320900303E-3</v>
          </cell>
          <cell r="K37">
            <v>5.2416072579788135E-2</v>
          </cell>
          <cell r="L37">
            <v>7.4877751288931238</v>
          </cell>
          <cell r="M37">
            <v>5.8984369095743859E-2</v>
          </cell>
          <cell r="N37">
            <v>0.27186207079605729</v>
          </cell>
          <cell r="O37">
            <v>0.2095391813297896</v>
          </cell>
          <cell r="P37">
            <v>21.501735985118302</v>
          </cell>
        </row>
        <row r="38">
          <cell r="C38">
            <v>20257.032333533345</v>
          </cell>
          <cell r="D38">
            <v>12752.568611150486</v>
          </cell>
          <cell r="E38">
            <v>132.74664649480806</v>
          </cell>
          <cell r="F38">
            <v>7672.9123417619494</v>
          </cell>
          <cell r="G38">
            <v>53.134339627659571</v>
          </cell>
          <cell r="H38">
            <v>489.61805898966128</v>
          </cell>
          <cell r="I38">
            <v>20.16866637765958</v>
          </cell>
          <cell r="J38">
            <v>170.17050269415836</v>
          </cell>
          <cell r="K38">
            <v>119.48664575236329</v>
          </cell>
          <cell r="L38">
            <v>5356.6219653375074</v>
          </cell>
          <cell r="M38">
            <v>234.17775570686172</v>
          </cell>
          <cell r="N38">
            <v>5680.2316787164</v>
          </cell>
          <cell r="O38">
            <v>924.75897236213223</v>
          </cell>
          <cell r="P38">
            <v>13197.350110283289</v>
          </cell>
          <cell r="Q38">
            <v>67060.978628788274</v>
          </cell>
        </row>
        <row r="40">
          <cell r="Q40">
            <v>5730.6241585851058</v>
          </cell>
        </row>
        <row r="41">
          <cell r="Q41">
            <v>824.23234507066718</v>
          </cell>
        </row>
        <row r="42">
          <cell r="Q42">
            <v>695.50372433283258</v>
          </cell>
        </row>
        <row r="68">
          <cell r="C68">
            <v>143.39992438046863</v>
          </cell>
          <cell r="D68">
            <v>147.62793524784843</v>
          </cell>
        </row>
        <row r="69">
          <cell r="C69">
            <v>3423.6802991249997</v>
          </cell>
          <cell r="D69">
            <v>18.93617021542553</v>
          </cell>
          <cell r="E69">
            <v>0</v>
          </cell>
          <cell r="F69">
            <v>0.79787234042553201</v>
          </cell>
          <cell r="G69">
            <v>0</v>
          </cell>
          <cell r="H69">
            <v>0</v>
          </cell>
          <cell r="I69">
            <v>0</v>
          </cell>
          <cell r="J69">
            <v>0</v>
          </cell>
          <cell r="K69">
            <v>0</v>
          </cell>
          <cell r="L69">
            <v>2.1276595744680851</v>
          </cell>
          <cell r="M69">
            <v>0</v>
          </cell>
          <cell r="N69">
            <v>1.5957446808510638</v>
          </cell>
          <cell r="O69">
            <v>0</v>
          </cell>
          <cell r="P69">
            <v>22.872340425531913</v>
          </cell>
        </row>
        <row r="72">
          <cell r="C72">
            <v>1123.2340910182058</v>
          </cell>
          <cell r="D72">
            <v>1613.9862040485752</v>
          </cell>
          <cell r="E72">
            <v>0</v>
          </cell>
          <cell r="F72">
            <v>599.14394928861657</v>
          </cell>
          <cell r="G72">
            <v>-2.1711436170212766E-4</v>
          </cell>
          <cell r="H72">
            <v>2.3181827350580266</v>
          </cell>
          <cell r="I72">
            <v>0</v>
          </cell>
          <cell r="J72">
            <v>37.963175256933894</v>
          </cell>
          <cell r="K72">
            <v>0</v>
          </cell>
          <cell r="L72">
            <v>220.68656266180272</v>
          </cell>
          <cell r="M72">
            <v>-4.0212765957446809E-5</v>
          </cell>
          <cell r="N72">
            <v>834.51023241205803</v>
          </cell>
          <cell r="O72">
            <v>-3.6729787234042553E-4</v>
          </cell>
          <cell r="P72">
            <v>2562.5969660304199</v>
          </cell>
        </row>
        <row r="76">
          <cell r="E76">
            <v>16.712735694148929</v>
          </cell>
          <cell r="F76">
            <v>22.084222007471197</v>
          </cell>
          <cell r="G76">
            <v>5.8908702127659578E-2</v>
          </cell>
          <cell r="H76">
            <v>206.35320335925533</v>
          </cell>
          <cell r="I76">
            <v>4.8069284574468088E-2</v>
          </cell>
          <cell r="J76">
            <v>713.32642331436591</v>
          </cell>
          <cell r="K76">
            <v>41.087174611702125</v>
          </cell>
          <cell r="L76">
            <v>1482.844236375028</v>
          </cell>
          <cell r="M76">
            <v>0.64957580053191488</v>
          </cell>
          <cell r="N76">
            <v>1032.5032053144682</v>
          </cell>
          <cell r="O76">
            <v>6.4493158882978721</v>
          </cell>
          <cell r="P76">
            <v>2492.3717353631409</v>
          </cell>
        </row>
        <row r="77">
          <cell r="C77">
            <v>377.36306176329788</v>
          </cell>
          <cell r="D77">
            <v>999.21112302731399</v>
          </cell>
        </row>
        <row r="78">
          <cell r="C78">
            <v>0</v>
          </cell>
          <cell r="D78">
            <v>0</v>
          </cell>
        </row>
        <row r="79">
          <cell r="C79">
            <v>53.70065177393618</v>
          </cell>
          <cell r="D79">
            <v>324.05519370337765</v>
          </cell>
        </row>
        <row r="80">
          <cell r="C80">
            <v>78.715613228723413</v>
          </cell>
          <cell r="D80">
            <v>1427.5274500602134</v>
          </cell>
        </row>
        <row r="81">
          <cell r="C81">
            <v>4126.9026536450019</v>
          </cell>
          <cell r="D81">
            <v>1609.6788991759859</v>
          </cell>
        </row>
        <row r="82">
          <cell r="C82">
            <v>8527.4670219752606</v>
          </cell>
          <cell r="D82">
            <v>363.55003254136511</v>
          </cell>
        </row>
        <row r="83">
          <cell r="C83">
            <v>109.75237716755272</v>
          </cell>
          <cell r="D83">
            <v>101.32978723404256</v>
          </cell>
        </row>
        <row r="84">
          <cell r="E84">
            <v>2.6525199999999998E-3</v>
          </cell>
          <cell r="F84">
            <v>175.34435760710107</v>
          </cell>
          <cell r="G84">
            <v>0</v>
          </cell>
          <cell r="H84">
            <v>1078.9949080990957</v>
          </cell>
          <cell r="I84">
            <v>0</v>
          </cell>
          <cell r="J84">
            <v>124.74291307293818</v>
          </cell>
          <cell r="K84">
            <v>0</v>
          </cell>
          <cell r="L84">
            <v>2942.8745417195319</v>
          </cell>
          <cell r="M84">
            <v>0</v>
          </cell>
          <cell r="N84">
            <v>2108.8502814486942</v>
          </cell>
          <cell r="O84">
            <v>2.7939250000000002</v>
          </cell>
          <cell r="P84">
            <v>5924.3472943407705</v>
          </cell>
        </row>
        <row r="86">
          <cell r="C86">
            <v>1918.6888405212765</v>
          </cell>
          <cell r="D86">
            <v>7092.5637807489829</v>
          </cell>
        </row>
        <row r="89">
          <cell r="C89">
            <v>9.9468085074468084E-7</v>
          </cell>
          <cell r="D89">
            <v>1366.496066505973</v>
          </cell>
        </row>
        <row r="92">
          <cell r="C92">
            <v>848.05954236510661</v>
          </cell>
          <cell r="D92">
            <v>632.16293751282888</v>
          </cell>
        </row>
        <row r="93">
          <cell r="C93">
            <v>-9.1079787234571815E-5</v>
          </cell>
          <cell r="D93">
            <v>2.5397749964131497</v>
          </cell>
          <cell r="E93">
            <v>0</v>
          </cell>
          <cell r="F93">
            <v>1.7512989352659567</v>
          </cell>
          <cell r="G93">
            <v>0</v>
          </cell>
          <cell r="H93">
            <v>0</v>
          </cell>
          <cell r="I93">
            <v>0</v>
          </cell>
          <cell r="J93">
            <v>8.7562992579787197E-2</v>
          </cell>
          <cell r="K93">
            <v>0</v>
          </cell>
          <cell r="L93">
            <v>0.69288337694148938</v>
          </cell>
          <cell r="M93">
            <v>0</v>
          </cell>
          <cell r="N93">
            <v>37.316999755295534</v>
          </cell>
          <cell r="O93">
            <v>0</v>
          </cell>
          <cell r="P93">
            <v>244.7233544443672</v>
          </cell>
        </row>
        <row r="94">
          <cell r="E94"/>
          <cell r="F94"/>
          <cell r="G94"/>
          <cell r="H94"/>
          <cell r="I94"/>
          <cell r="J94"/>
          <cell r="K94"/>
          <cell r="L94"/>
          <cell r="M94"/>
          <cell r="N94"/>
          <cell r="O94">
            <v>0</v>
          </cell>
          <cell r="P94">
            <v>0</v>
          </cell>
        </row>
        <row r="95">
          <cell r="C95">
            <v>1255.6855407897444</v>
          </cell>
          <cell r="D95">
            <v>1429.3464813013684</v>
          </cell>
          <cell r="E95">
            <v>0</v>
          </cell>
          <cell r="F95">
            <v>0</v>
          </cell>
          <cell r="G95">
            <v>0</v>
          </cell>
          <cell r="H95">
            <v>0</v>
          </cell>
          <cell r="I95">
            <v>0</v>
          </cell>
          <cell r="J95">
            <v>0</v>
          </cell>
          <cell r="K95">
            <v>0</v>
          </cell>
          <cell r="L95">
            <v>0</v>
          </cell>
          <cell r="M95">
            <v>0</v>
          </cell>
          <cell r="N95">
            <v>54.133755276896558</v>
          </cell>
          <cell r="O95">
            <v>0</v>
          </cell>
          <cell r="P95">
            <v>1018.9863669077218</v>
          </cell>
        </row>
        <row r="96">
          <cell r="C96">
            <v>315.84724862090246</v>
          </cell>
          <cell r="D96">
            <v>20.556189110824469</v>
          </cell>
        </row>
        <row r="97">
          <cell r="C97">
            <v>1636.6116167239693</v>
          </cell>
          <cell r="D97">
            <v>832.92542088495236</v>
          </cell>
          <cell r="E97">
            <v>9.3986861702128211E-4</v>
          </cell>
          <cell r="F97">
            <v>9.0901990957446804E-2</v>
          </cell>
          <cell r="G97">
            <v>6.8178191489361717E-5</v>
          </cell>
          <cell r="H97">
            <v>2.7079787234042554E-5</v>
          </cell>
          <cell r="I97">
            <v>4.1944148936170217E-5</v>
          </cell>
          <cell r="J97">
            <v>1.645478723404256E-5</v>
          </cell>
          <cell r="K97">
            <v>7.1878148962765955</v>
          </cell>
          <cell r="L97">
            <v>34.623258580744675</v>
          </cell>
          <cell r="M97">
            <v>4.5213665186170209</v>
          </cell>
          <cell r="N97">
            <v>207.884720343617</v>
          </cell>
          <cell r="O97">
            <v>2.0117553191489342E-4</v>
          </cell>
          <cell r="P97">
            <v>870.24916638791353</v>
          </cell>
        </row>
        <row r="98">
          <cell r="C98">
            <v>23939.108393013343</v>
          </cell>
          <cell r="D98">
            <v>17982.49344631549</v>
          </cell>
          <cell r="E98">
            <v>16.716328082765951</v>
          </cell>
          <cell r="F98">
            <v>799.21260216983785</v>
          </cell>
          <cell r="G98">
            <v>5.8759765957446808E-2</v>
          </cell>
          <cell r="H98">
            <v>1287.6663212731964</v>
          </cell>
          <cell r="I98">
            <v>4.8111228723404259E-2</v>
          </cell>
          <cell r="J98">
            <v>876.1200910916051</v>
          </cell>
          <cell r="K98">
            <v>48.274989507978717</v>
          </cell>
          <cell r="L98">
            <v>4683.8491422885172</v>
          </cell>
          <cell r="M98">
            <v>5.1709021063829788</v>
          </cell>
          <cell r="N98">
            <v>4276.7949392318806</v>
          </cell>
          <cell r="O98">
            <v>9.2430747659574468</v>
          </cell>
          <cell r="P98">
            <v>13136.147223899867</v>
          </cell>
          <cell r="Q98">
            <v>67060.904324741496</v>
          </cell>
        </row>
        <row r="100">
          <cell r="Q100">
            <v>5688.6400501059052</v>
          </cell>
        </row>
        <row r="101">
          <cell r="Q101">
            <v>824.23234506534811</v>
          </cell>
        </row>
        <row r="102">
          <cell r="Q102">
            <v>695.50372433283269</v>
          </cell>
        </row>
      </sheetData>
      <sheetData sheetId="1"/>
      <sheetData sheetId="2">
        <row r="15">
          <cell r="AX15">
            <v>7422.6045373900679</v>
          </cell>
        </row>
        <row r="69">
          <cell r="AX69">
            <v>977.65371051209343</v>
          </cell>
        </row>
        <row r="86">
          <cell r="AX86">
            <v>0</v>
          </cell>
        </row>
        <row r="90">
          <cell r="AX90">
            <v>48.966235593085109</v>
          </cell>
        </row>
        <row r="105">
          <cell r="AX105">
            <v>4.8072952127659573E-3</v>
          </cell>
        </row>
        <row r="118">
          <cell r="AX118">
            <v>5.2858034308510637</v>
          </cell>
        </row>
        <row r="120">
          <cell r="AX120">
            <v>280.01942124734035</v>
          </cell>
        </row>
        <row r="122">
          <cell r="AX122">
            <v>294.94194177823948</v>
          </cell>
        </row>
        <row r="130">
          <cell r="AX130">
            <v>422.75987403573521</v>
          </cell>
        </row>
        <row r="141">
          <cell r="AX141">
            <v>1365.3567615231623</v>
          </cell>
        </row>
        <row r="170">
          <cell r="AX170">
            <v>2.0495075398935917E-2</v>
          </cell>
        </row>
        <row r="186">
          <cell r="AX186">
            <v>33009.579002405277</v>
          </cell>
        </row>
        <row r="187">
          <cell r="AX187">
            <v>1448.3959629026322</v>
          </cell>
        </row>
        <row r="188">
          <cell r="AX188">
            <v>732.13948988048105</v>
          </cell>
        </row>
        <row r="189">
          <cell r="AX189">
            <v>7805.6589882567587</v>
          </cell>
        </row>
        <row r="190">
          <cell r="AX190">
            <v>542.75239861732064</v>
          </cell>
        </row>
        <row r="191">
          <cell r="AX191">
            <v>190.33910647234848</v>
          </cell>
        </row>
        <row r="192">
          <cell r="AX192">
            <v>5476.10831599007</v>
          </cell>
        </row>
        <row r="193">
          <cell r="AX193">
            <v>5914.4162999671044</v>
          </cell>
        </row>
        <row r="199">
          <cell r="AX199">
            <v>303.00372083813164</v>
          </cell>
        </row>
        <row r="200">
          <cell r="AX200">
            <v>21.662824208049265</v>
          </cell>
        </row>
        <row r="201">
          <cell r="AX201">
            <v>128.66540574273091</v>
          </cell>
        </row>
        <row r="202">
          <cell r="AX202">
            <v>0.19493595478723408</v>
          </cell>
        </row>
        <row r="203">
          <cell r="AX203">
            <v>347.77189410372341</v>
          </cell>
        </row>
        <row r="204">
          <cell r="AX204">
            <v>172.33995709656875</v>
          </cell>
        </row>
        <row r="229">
          <cell r="AX229">
            <v>0.85701013383578351</v>
          </cell>
        </row>
      </sheetData>
      <sheetData sheetId="3">
        <row r="15">
          <cell r="AH15">
            <v>4144.8597337199217</v>
          </cell>
        </row>
        <row r="69">
          <cell r="AH69">
            <v>1795.2118086306116</v>
          </cell>
        </row>
        <row r="86">
          <cell r="AH86">
            <v>0</v>
          </cell>
        </row>
        <row r="90">
          <cell r="AH90">
            <v>0</v>
          </cell>
        </row>
        <row r="105">
          <cell r="AH105">
            <v>0</v>
          </cell>
        </row>
        <row r="118">
          <cell r="AH118">
            <v>3.1197127659574465E-3</v>
          </cell>
        </row>
        <row r="120">
          <cell r="AH120">
            <v>0</v>
          </cell>
        </row>
        <row r="122">
          <cell r="AH122">
            <v>21.766268565769796</v>
          </cell>
        </row>
        <row r="130">
          <cell r="AH130">
            <v>3284.0832317648278</v>
          </cell>
        </row>
        <row r="141">
          <cell r="AH141">
            <v>1894.5877000009564</v>
          </cell>
        </row>
        <row r="170">
          <cell r="AH170">
            <v>139.33909061986705</v>
          </cell>
        </row>
        <row r="186">
          <cell r="AH186">
            <v>41921.622877057787</v>
          </cell>
        </row>
        <row r="187">
          <cell r="AH187">
            <v>0</v>
          </cell>
        </row>
        <row r="188">
          <cell r="AH188">
            <v>451.37975340560752</v>
          </cell>
        </row>
        <row r="189">
          <cell r="AH189">
            <v>815.9259683978936</v>
          </cell>
        </row>
        <row r="190">
          <cell r="AH190">
            <v>1287.7250807391536</v>
          </cell>
        </row>
        <row r="191">
          <cell r="AH191">
            <v>876.16820232032853</v>
          </cell>
        </row>
        <row r="192">
          <cell r="AH192">
            <v>4732.1406841854459</v>
          </cell>
        </row>
        <row r="193">
          <cell r="AH193">
            <v>4281.9262350277832</v>
          </cell>
        </row>
        <row r="199">
          <cell r="AH199">
            <v>30.447619632111802</v>
          </cell>
        </row>
        <row r="200">
          <cell r="AH200">
            <v>1.1846808510638298E-4</v>
          </cell>
        </row>
        <row r="201">
          <cell r="AH201">
            <v>0</v>
          </cell>
        </row>
        <row r="202">
          <cell r="AH202">
            <v>0</v>
          </cell>
        </row>
        <row r="203">
          <cell r="AH203">
            <v>10.276803750000001</v>
          </cell>
        </row>
        <row r="204">
          <cell r="AH204">
            <v>931.57392998696423</v>
          </cell>
        </row>
        <row r="229">
          <cell r="AH229">
            <v>134.02117962104415</v>
          </cell>
        </row>
        <row r="272">
          <cell r="AH272">
            <v>67060.942781213103</v>
          </cell>
        </row>
      </sheetData>
      <sheetData sheetId="4">
        <row r="14">
          <cell r="D14">
            <v>21741.483893098393</v>
          </cell>
          <cell r="G14">
            <v>24018.617618667497</v>
          </cell>
        </row>
        <row r="16">
          <cell r="D16">
            <v>35072.875441790311</v>
          </cell>
          <cell r="G16">
            <v>39960.34736798353</v>
          </cell>
        </row>
        <row r="17">
          <cell r="D17">
            <v>416.85920324194115</v>
          </cell>
          <cell r="G17">
            <v>355.33856086987737</v>
          </cell>
        </row>
        <row r="18">
          <cell r="D18">
            <v>3.1604221288201932</v>
          </cell>
          <cell r="G18">
            <v>222.44073947256462</v>
          </cell>
        </row>
        <row r="19">
          <cell r="D19">
            <v>2.3566753818338739</v>
          </cell>
          <cell r="G19">
            <v>2.2421100519996386</v>
          </cell>
        </row>
        <row r="20">
          <cell r="D20">
            <v>1645.1567346685586</v>
          </cell>
          <cell r="G20">
            <v>811.26076100459227</v>
          </cell>
        </row>
        <row r="21">
          <cell r="D21">
            <v>5589.7389311157658</v>
          </cell>
          <cell r="G21">
            <v>708.29146863271626</v>
          </cell>
        </row>
        <row r="22">
          <cell r="D22">
            <v>2002.9661036220646</v>
          </cell>
          <cell r="G22">
            <v>654.16959072160762</v>
          </cell>
        </row>
        <row r="23">
          <cell r="D23">
            <v>586.40024152498415</v>
          </cell>
          <cell r="G23">
            <v>328.23013281890974</v>
          </cell>
        </row>
        <row r="24">
          <cell r="G24">
            <v>67060.938350223296</v>
          </cell>
        </row>
      </sheetData>
      <sheetData sheetId="5"/>
      <sheetData sheetId="6"/>
      <sheetData sheetId="7"/>
      <sheetData sheetId="8"/>
      <sheetData sheetId="9"/>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14">
          <cell r="C14">
            <v>10.216469414893616</v>
          </cell>
          <cell r="D14">
            <v>0</v>
          </cell>
          <cell r="E14">
            <v>0</v>
          </cell>
          <cell r="F14">
            <v>0</v>
          </cell>
          <cell r="G14">
            <v>0</v>
          </cell>
          <cell r="H14">
            <v>0</v>
          </cell>
          <cell r="I14">
            <v>0</v>
          </cell>
          <cell r="J14">
            <v>0</v>
          </cell>
          <cell r="K14">
            <v>0</v>
          </cell>
          <cell r="L14">
            <v>0</v>
          </cell>
          <cell r="M14">
            <v>0</v>
          </cell>
          <cell r="N14">
            <v>0</v>
          </cell>
          <cell r="O14">
            <v>607.82246194148922</v>
          </cell>
          <cell r="P14">
            <v>275.72657967088111</v>
          </cell>
        </row>
        <row r="18">
          <cell r="C18">
            <v>238.44663752659574</v>
          </cell>
          <cell r="D18">
            <v>2610.3856560198183</v>
          </cell>
          <cell r="E18">
            <v>4.7605308670212763</v>
          </cell>
          <cell r="F18">
            <v>2215.3547982378163</v>
          </cell>
          <cell r="G18">
            <v>11.668766537234042</v>
          </cell>
          <cell r="H18">
            <v>121.82364643031916</v>
          </cell>
          <cell r="I18">
            <v>1.2242209707446809</v>
          </cell>
          <cell r="J18">
            <v>110.0590214169048</v>
          </cell>
          <cell r="K18">
            <v>11.667655311170213</v>
          </cell>
          <cell r="L18">
            <v>1309.600819196643</v>
          </cell>
          <cell r="M18">
            <v>60.818656438829784</v>
          </cell>
          <cell r="N18">
            <v>3980.7629941632213</v>
          </cell>
          <cell r="O18">
            <v>14.671239489361703</v>
          </cell>
          <cell r="P18">
            <v>8885.6139289816674</v>
          </cell>
        </row>
        <row r="22">
          <cell r="E22">
            <v>125.02871485638295</v>
          </cell>
          <cell r="F22">
            <v>315.03875501173297</v>
          </cell>
          <cell r="G22">
            <v>47.061472952127659</v>
          </cell>
          <cell r="H22">
            <v>468.82732051239151</v>
          </cell>
          <cell r="I22">
            <v>18.014008960106384</v>
          </cell>
          <cell r="J22">
            <v>29.970641944392241</v>
          </cell>
          <cell r="K22">
            <v>97.252304000957579</v>
          </cell>
          <cell r="L22">
            <v>3740.3383217453993</v>
          </cell>
          <cell r="M22">
            <v>153.78671978457447</v>
          </cell>
          <cell r="N22">
            <v>1371.9504377282024</v>
          </cell>
          <cell r="O22">
            <v>160.03837481117026</v>
          </cell>
          <cell r="P22">
            <v>3340.5371474313552</v>
          </cell>
        </row>
        <row r="23">
          <cell r="C23">
            <v>867.34914350404267</v>
          </cell>
          <cell r="D23">
            <v>76.834813336462787</v>
          </cell>
        </row>
        <row r="24">
          <cell r="C24">
            <v>192.50502099319149</v>
          </cell>
          <cell r="D24">
            <v>41.738321421196801</v>
          </cell>
        </row>
        <row r="25">
          <cell r="C25">
            <v>210.23232851063833</v>
          </cell>
          <cell r="D25">
            <v>357.96800229185123</v>
          </cell>
        </row>
        <row r="26">
          <cell r="C26">
            <v>551.68879605851055</v>
          </cell>
          <cell r="D26">
            <v>643.80637004521782</v>
          </cell>
        </row>
        <row r="27">
          <cell r="C27">
            <v>3855.9477732260975</v>
          </cell>
          <cell r="D27">
            <v>2374.1364222846914</v>
          </cell>
        </row>
        <row r="28">
          <cell r="C28">
            <v>10589.25884000457</v>
          </cell>
          <cell r="D28">
            <v>1350.6196290352798</v>
          </cell>
        </row>
        <row r="29">
          <cell r="C29">
            <v>554.4389749741224</v>
          </cell>
          <cell r="D29">
            <v>30.661436983085107</v>
          </cell>
        </row>
        <row r="30">
          <cell r="C30">
            <v>0</v>
          </cell>
          <cell r="D30">
            <v>464</v>
          </cell>
          <cell r="E30">
            <v>0</v>
          </cell>
          <cell r="F30">
            <v>0</v>
          </cell>
          <cell r="G30">
            <v>0</v>
          </cell>
          <cell r="H30">
            <v>0</v>
          </cell>
          <cell r="I30">
            <v>0</v>
          </cell>
          <cell r="J30">
            <v>0</v>
          </cell>
          <cell r="K30">
            <v>0</v>
          </cell>
          <cell r="L30">
            <v>0</v>
          </cell>
          <cell r="M30">
            <v>0</v>
          </cell>
          <cell r="N30">
            <v>0</v>
          </cell>
          <cell r="O30">
            <v>0</v>
          </cell>
          <cell r="P30">
            <v>596.77703608042555</v>
          </cell>
        </row>
        <row r="31">
          <cell r="C31">
            <v>0</v>
          </cell>
          <cell r="D31">
            <v>41.697862011337136</v>
          </cell>
          <cell r="E31">
            <v>0</v>
          </cell>
          <cell r="F31">
            <v>1.7245979002393612</v>
          </cell>
          <cell r="G31">
            <v>0</v>
          </cell>
          <cell r="H31">
            <v>0.55660923707446808</v>
          </cell>
          <cell r="I31">
            <v>0</v>
          </cell>
          <cell r="J31">
            <v>0</v>
          </cell>
          <cell r="K31">
            <v>0</v>
          </cell>
          <cell r="L31">
            <v>0.27629117784574464</v>
          </cell>
          <cell r="M31">
            <v>0</v>
          </cell>
          <cell r="N31">
            <v>49.66640435046854</v>
          </cell>
          <cell r="O31">
            <v>0</v>
          </cell>
          <cell r="P31">
            <v>115.42965383531211</v>
          </cell>
        </row>
        <row r="32">
          <cell r="E32"/>
          <cell r="F32"/>
          <cell r="G32"/>
          <cell r="H32"/>
          <cell r="I32"/>
          <cell r="J32"/>
          <cell r="K32"/>
          <cell r="L32"/>
          <cell r="M32"/>
          <cell r="N32"/>
          <cell r="O32">
            <v>0</v>
          </cell>
          <cell r="P32">
            <v>0</v>
          </cell>
        </row>
        <row r="33">
          <cell r="C33">
            <v>9.0140787589361704</v>
          </cell>
          <cell r="D33">
            <v>2667.4702113072553</v>
          </cell>
          <cell r="E33">
            <v>0</v>
          </cell>
          <cell r="F33">
            <v>0</v>
          </cell>
          <cell r="G33">
            <v>0</v>
          </cell>
          <cell r="H33">
            <v>0</v>
          </cell>
          <cell r="I33">
            <v>0</v>
          </cell>
          <cell r="J33">
            <v>0</v>
          </cell>
          <cell r="K33">
            <v>0</v>
          </cell>
          <cell r="L33">
            <v>0</v>
          </cell>
          <cell r="M33">
            <v>0</v>
          </cell>
          <cell r="N33">
            <v>0.44915464456233423</v>
          </cell>
          <cell r="O33">
            <v>1.1170853572340425</v>
          </cell>
          <cell r="P33">
            <v>339.5254102613934</v>
          </cell>
        </row>
        <row r="34">
          <cell r="C34">
            <v>1339.0633491858364</v>
          </cell>
          <cell r="D34">
            <v>1609.2667194773885</v>
          </cell>
          <cell r="E34">
            <v>24.468085106382976</v>
          </cell>
          <cell r="F34">
            <v>2809.1547717194144</v>
          </cell>
          <cell r="G34">
            <v>0</v>
          </cell>
          <cell r="H34">
            <v>0</v>
          </cell>
          <cell r="I34">
            <v>0.26595744680851063</v>
          </cell>
          <cell r="J34">
            <v>0</v>
          </cell>
          <cell r="K34">
            <v>0.53191489361702127</v>
          </cell>
          <cell r="L34">
            <v>14.759718749999999</v>
          </cell>
          <cell r="M34">
            <v>7.7129667553191483</v>
          </cell>
          <cell r="N34">
            <v>14.759718749999999</v>
          </cell>
          <cell r="O34">
            <v>0</v>
          </cell>
          <cell r="P34">
            <v>10</v>
          </cell>
        </row>
        <row r="36">
          <cell r="C36">
            <v>698.53504733900763</v>
          </cell>
          <cell r="D36">
            <v>180.43509097763348</v>
          </cell>
          <cell r="E36">
            <v>51.43222161047467</v>
          </cell>
          <cell r="F36">
            <v>2186.3986340437832</v>
          </cell>
          <cell r="G36">
            <v>0</v>
          </cell>
          <cell r="H36">
            <v>1.8589345788473395</v>
          </cell>
          <cell r="I36">
            <v>0</v>
          </cell>
          <cell r="J36">
            <v>0.6985682998260061</v>
          </cell>
          <cell r="K36">
            <v>6.4848022068367793E-4</v>
          </cell>
          <cell r="L36">
            <v>31.790754554939557</v>
          </cell>
          <cell r="M36">
            <v>0</v>
          </cell>
          <cell r="N36">
            <v>7.5617956858037596</v>
          </cell>
          <cell r="O36">
            <v>148.71010638297875</v>
          </cell>
          <cell r="P36">
            <v>619.21307748837944</v>
          </cell>
        </row>
        <row r="37">
          <cell r="C37">
            <v>752.07665451733192</v>
          </cell>
          <cell r="D37">
            <v>754.40268316778224</v>
          </cell>
          <cell r="E37">
            <v>2.9023448404258492E-2</v>
          </cell>
          <cell r="F37">
            <v>1.8866402837178772E-2</v>
          </cell>
          <cell r="G37">
            <v>3.0188829787234045E-4</v>
          </cell>
          <cell r="H37">
            <v>8.8355784226311088E-2</v>
          </cell>
          <cell r="I37">
            <v>0</v>
          </cell>
          <cell r="J37">
            <v>5.552398400574868E-4</v>
          </cell>
          <cell r="K37">
            <v>2.3948063297873502E-2</v>
          </cell>
          <cell r="L37">
            <v>7.4477817049874036</v>
          </cell>
          <cell r="M37">
            <v>5.5009954494681115E-2</v>
          </cell>
          <cell r="N37">
            <v>0.30411594364432715</v>
          </cell>
          <cell r="O37">
            <v>4.7607227606381489E-2</v>
          </cell>
          <cell r="P37">
            <v>37.769330186040172</v>
          </cell>
        </row>
        <row r="38">
          <cell r="C38">
            <v>19868.773114013777</v>
          </cell>
          <cell r="D38">
            <v>13203.423218359001</v>
          </cell>
          <cell r="E38">
            <v>205.71857588866612</v>
          </cell>
          <cell r="F38">
            <v>7527.6904233158239</v>
          </cell>
          <cell r="G38">
            <v>58.73054137765957</v>
          </cell>
          <cell r="H38">
            <v>593.15486654285871</v>
          </cell>
          <cell r="I38">
            <v>19.504187377659576</v>
          </cell>
          <cell r="J38">
            <v>140.72878690096309</v>
          </cell>
          <cell r="K38">
            <v>109.47647074926338</v>
          </cell>
          <cell r="L38">
            <v>5104.2136871298144</v>
          </cell>
          <cell r="M38">
            <v>222.37335293321809</v>
          </cell>
          <cell r="N38">
            <v>5425.4546212659025</v>
          </cell>
          <cell r="O38">
            <v>932.40687520984034</v>
          </cell>
          <cell r="P38">
            <v>14220.592163935453</v>
          </cell>
          <cell r="Q38">
            <v>67632.24088499989</v>
          </cell>
        </row>
        <row r="40">
          <cell r="Q40">
            <v>5229.3988434654257</v>
          </cell>
        </row>
        <row r="41">
          <cell r="Q41">
            <v>942.59345437258798</v>
          </cell>
        </row>
        <row r="42">
          <cell r="Q42">
            <v>647.62476086191157</v>
          </cell>
        </row>
        <row r="68">
          <cell r="C68">
            <v>105.3240018524691</v>
          </cell>
          <cell r="D68">
            <v>128.22941050599866</v>
          </cell>
        </row>
        <row r="69">
          <cell r="C69">
            <v>3418.9307950744674</v>
          </cell>
          <cell r="D69">
            <v>20.531914896276596</v>
          </cell>
          <cell r="E69">
            <v>0</v>
          </cell>
          <cell r="F69">
            <v>0.53191489361702127</v>
          </cell>
          <cell r="G69">
            <v>0</v>
          </cell>
          <cell r="H69">
            <v>0</v>
          </cell>
          <cell r="I69">
            <v>0</v>
          </cell>
          <cell r="J69">
            <v>0.26595744680851063</v>
          </cell>
          <cell r="K69">
            <v>0</v>
          </cell>
          <cell r="L69">
            <v>1.5957446808510638</v>
          </cell>
          <cell r="M69">
            <v>0</v>
          </cell>
          <cell r="N69">
            <v>1.8617021276595744</v>
          </cell>
          <cell r="O69">
            <v>0</v>
          </cell>
          <cell r="P69">
            <v>16.223404255319149</v>
          </cell>
        </row>
        <row r="72">
          <cell r="C72">
            <v>944.04772249532959</v>
          </cell>
          <cell r="D72">
            <v>1515.6976943355444</v>
          </cell>
          <cell r="E72">
            <v>0</v>
          </cell>
          <cell r="F72">
            <v>571.38030193423901</v>
          </cell>
          <cell r="G72">
            <v>0</v>
          </cell>
          <cell r="H72">
            <v>27.522145991786402</v>
          </cell>
          <cell r="I72">
            <v>0</v>
          </cell>
          <cell r="J72">
            <v>183.01860483539133</v>
          </cell>
          <cell r="K72">
            <v>-4.711702127659575E-5</v>
          </cell>
          <cell r="L72">
            <v>915.01584623845986</v>
          </cell>
          <cell r="M72">
            <v>-7.9614361702127654E-5</v>
          </cell>
          <cell r="N72">
            <v>833.67319127110238</v>
          </cell>
          <cell r="O72">
            <v>2.1108425531914894E-2</v>
          </cell>
          <cell r="P72">
            <v>2967.4038328268553</v>
          </cell>
        </row>
        <row r="76">
          <cell r="E76">
            <v>17.373211832446803</v>
          </cell>
          <cell r="F76">
            <v>22.250978852999861</v>
          </cell>
          <cell r="G76">
            <v>6.8791518617021291E-2</v>
          </cell>
          <cell r="H76">
            <v>205.7154680493085</v>
          </cell>
          <cell r="I76">
            <v>6.9773226063829782E-2</v>
          </cell>
          <cell r="J76">
            <v>694.28682767989915</v>
          </cell>
          <cell r="K76">
            <v>37.440935654255313</v>
          </cell>
          <cell r="L76">
            <v>1576.7658790321341</v>
          </cell>
          <cell r="M76">
            <v>0.72614253723404254</v>
          </cell>
          <cell r="N76">
            <v>1022.1365257455055</v>
          </cell>
          <cell r="O76">
            <v>6.2294980053191482</v>
          </cell>
          <cell r="P76">
            <v>2334.5023523068548</v>
          </cell>
        </row>
        <row r="77">
          <cell r="C77">
            <v>367.64320195744682</v>
          </cell>
          <cell r="D77">
            <v>1071.5288197904783</v>
          </cell>
        </row>
        <row r="78">
          <cell r="C78">
            <v>0</v>
          </cell>
          <cell r="D78">
            <v>0</v>
          </cell>
        </row>
        <row r="79">
          <cell r="C79">
            <v>52.751191470744686</v>
          </cell>
          <cell r="D79">
            <v>368.52727774872346</v>
          </cell>
        </row>
        <row r="80">
          <cell r="C80">
            <v>83.788640627659575</v>
          </cell>
          <cell r="D80">
            <v>1212.1696175401594</v>
          </cell>
        </row>
        <row r="81">
          <cell r="C81">
            <v>4097.0901159890655</v>
          </cell>
          <cell r="D81">
            <v>1591.8524610330139</v>
          </cell>
        </row>
        <row r="82">
          <cell r="C82">
            <v>8578.6199014145986</v>
          </cell>
          <cell r="D82">
            <v>367.22641708085126</v>
          </cell>
        </row>
        <row r="83">
          <cell r="C83">
            <v>107.67707181382943</v>
          </cell>
          <cell r="D83">
            <v>101.86170212765957</v>
          </cell>
        </row>
        <row r="84">
          <cell r="E84">
            <v>2.6525199999999998E-3</v>
          </cell>
          <cell r="F84">
            <v>174.52698673191489</v>
          </cell>
          <cell r="G84">
            <v>0</v>
          </cell>
          <cell r="H84">
            <v>1084.9556405789363</v>
          </cell>
          <cell r="I84">
            <v>0</v>
          </cell>
          <cell r="J84">
            <v>124.69731554122652</v>
          </cell>
          <cell r="K84">
            <v>0</v>
          </cell>
          <cell r="L84">
            <v>3080.7847972072441</v>
          </cell>
          <cell r="M84">
            <v>0</v>
          </cell>
          <cell r="N84">
            <v>2218.3850889654723</v>
          </cell>
          <cell r="O84">
            <v>2.7488797872340429</v>
          </cell>
          <cell r="P84">
            <v>5407.599819178884</v>
          </cell>
        </row>
        <row r="86">
          <cell r="C86">
            <v>1837.8478362792553</v>
          </cell>
          <cell r="D86">
            <v>7224.2627145631131</v>
          </cell>
        </row>
        <row r="89">
          <cell r="C89">
            <v>9.9468085074468084E-7</v>
          </cell>
          <cell r="D89">
            <v>1359.6592643833137</v>
          </cell>
        </row>
        <row r="92">
          <cell r="C92">
            <v>845.19109023744693</v>
          </cell>
          <cell r="D92">
            <v>785.41444933297691</v>
          </cell>
        </row>
        <row r="93">
          <cell r="C93">
            <v>1.8371117021272075E-3</v>
          </cell>
          <cell r="D93">
            <v>10.040599194788809</v>
          </cell>
          <cell r="E93">
            <v>0</v>
          </cell>
          <cell r="F93">
            <v>0.90527353606382865</v>
          </cell>
          <cell r="G93">
            <v>0</v>
          </cell>
          <cell r="H93">
            <v>0</v>
          </cell>
          <cell r="I93">
            <v>0</v>
          </cell>
          <cell r="J93">
            <v>0</v>
          </cell>
          <cell r="K93">
            <v>0</v>
          </cell>
          <cell r="L93">
            <v>1.1282669605585103</v>
          </cell>
          <cell r="M93">
            <v>0</v>
          </cell>
          <cell r="N93">
            <v>47.712758792273448</v>
          </cell>
          <cell r="O93">
            <v>0</v>
          </cell>
          <cell r="P93">
            <v>262.32311000868305</v>
          </cell>
        </row>
        <row r="94">
          <cell r="E94"/>
          <cell r="F94"/>
          <cell r="G94"/>
          <cell r="H94"/>
          <cell r="I94"/>
          <cell r="J94"/>
          <cell r="K94"/>
          <cell r="L94"/>
          <cell r="M94"/>
          <cell r="N94"/>
          <cell r="O94">
            <v>0</v>
          </cell>
          <cell r="P94">
            <v>0</v>
          </cell>
        </row>
        <row r="95">
          <cell r="C95">
            <v>1251.7316277207444</v>
          </cell>
          <cell r="D95">
            <v>1463.4151691652876</v>
          </cell>
          <cell r="E95">
            <v>0</v>
          </cell>
          <cell r="F95">
            <v>0</v>
          </cell>
          <cell r="G95">
            <v>0</v>
          </cell>
          <cell r="H95">
            <v>0</v>
          </cell>
          <cell r="I95">
            <v>0</v>
          </cell>
          <cell r="J95">
            <v>0</v>
          </cell>
          <cell r="K95">
            <v>0</v>
          </cell>
          <cell r="L95">
            <v>0</v>
          </cell>
          <cell r="M95">
            <v>0</v>
          </cell>
          <cell r="N95">
            <v>22.63785776657825</v>
          </cell>
          <cell r="O95">
            <v>0</v>
          </cell>
          <cell r="P95">
            <v>1015.0476306124647</v>
          </cell>
        </row>
        <row r="96">
          <cell r="C96">
            <v>310.72744271055114</v>
          </cell>
          <cell r="D96">
            <v>20.569489710957448</v>
          </cell>
        </row>
        <row r="97">
          <cell r="C97">
            <v>1627.8997732247349</v>
          </cell>
          <cell r="D97">
            <v>867.31053592219087</v>
          </cell>
          <cell r="E97">
            <v>8.9849893617021499E-4</v>
          </cell>
          <cell r="F97">
            <v>8.3878119787234043E-2</v>
          </cell>
          <cell r="G97">
            <v>6.1303191489361727E-5</v>
          </cell>
          <cell r="H97">
            <v>6.4873441489361697E-3</v>
          </cell>
          <cell r="I97">
            <v>7.696808510638304E-6</v>
          </cell>
          <cell r="J97">
            <v>1.122340425531915E-5</v>
          </cell>
          <cell r="K97">
            <v>7.1873521117021273</v>
          </cell>
          <cell r="L97">
            <v>34.648015623936175</v>
          </cell>
          <cell r="M97">
            <v>4.5214064521276596</v>
          </cell>
          <cell r="N97">
            <v>244.0738921612766</v>
          </cell>
          <cell r="O97">
            <v>2.0832180851063979E-4</v>
          </cell>
          <cell r="P97">
            <v>724.41809346402442</v>
          </cell>
        </row>
        <row r="98">
          <cell r="C98">
            <v>23629.272250974722</v>
          </cell>
          <cell r="D98">
            <v>18108.297537331331</v>
          </cell>
          <cell r="E98">
            <v>17.376762851382974</v>
          </cell>
          <cell r="F98">
            <v>769.67933406862187</v>
          </cell>
          <cell r="G98">
            <v>6.8852821808510656E-2</v>
          </cell>
          <cell r="H98">
            <v>1318.1997419641802</v>
          </cell>
          <cell r="I98">
            <v>6.9780922872340417E-2</v>
          </cell>
          <cell r="J98">
            <v>1002.2687167267297</v>
          </cell>
          <cell r="K98">
            <v>44.628240648936163</v>
          </cell>
          <cell r="L98">
            <v>5609.938549743184</v>
          </cell>
          <cell r="M98">
            <v>5.2474693749999997</v>
          </cell>
          <cell r="N98">
            <v>4390.4810168298682</v>
          </cell>
          <cell r="O98">
            <v>8.9996945398936177</v>
          </cell>
          <cell r="P98">
            <v>12727.518242653085</v>
          </cell>
          <cell r="Q98">
            <v>67632.046191451605</v>
          </cell>
        </row>
        <row r="100">
          <cell r="Q100">
            <v>5195.4398397300556</v>
          </cell>
        </row>
        <row r="101">
          <cell r="Q101">
            <v>942.59345436726881</v>
          </cell>
        </row>
        <row r="102">
          <cell r="Q102">
            <v>647.62476086191157</v>
          </cell>
        </row>
      </sheetData>
      <sheetData sheetId="1"/>
      <sheetData sheetId="2">
        <row r="15">
          <cell r="AX15">
            <v>7687.3022279126117</v>
          </cell>
        </row>
        <row r="69">
          <cell r="AX69">
            <v>1255.9913130871316</v>
          </cell>
        </row>
        <row r="86">
          <cell r="AX86">
            <v>0</v>
          </cell>
        </row>
        <row r="90">
          <cell r="AX90">
            <v>159.36978009574466</v>
          </cell>
        </row>
        <row r="105">
          <cell r="AX105">
            <v>4.8072952127659573E-3</v>
          </cell>
        </row>
        <row r="118">
          <cell r="AX118">
            <v>4.1580320425531916</v>
          </cell>
        </row>
        <row r="120">
          <cell r="AX120">
            <v>330.28884980319145</v>
          </cell>
        </row>
        <row r="122">
          <cell r="AX122">
            <v>258.59449424394012</v>
          </cell>
        </row>
        <row r="130">
          <cell r="AX130">
            <v>511.42258919924774</v>
          </cell>
        </row>
        <row r="141">
          <cell r="AX141">
            <v>1355.4550273753691</v>
          </cell>
        </row>
        <row r="170">
          <cell r="AX170">
            <v>2.3363173670212893E-2</v>
          </cell>
        </row>
        <row r="186">
          <cell r="AX186">
            <v>33072.171798745316</v>
          </cell>
        </row>
        <row r="187">
          <cell r="AX187">
            <v>1449.1549737112121</v>
          </cell>
        </row>
        <row r="188">
          <cell r="AX188">
            <v>849.48792786426895</v>
          </cell>
        </row>
        <row r="189">
          <cell r="AX189">
            <v>7733.4089992044865</v>
          </cell>
        </row>
        <row r="190">
          <cell r="AX190">
            <v>651.88540792051822</v>
          </cell>
        </row>
        <row r="191">
          <cell r="AX191">
            <v>160.23291167915318</v>
          </cell>
        </row>
        <row r="192">
          <cell r="AX192">
            <v>5213.6901544042767</v>
          </cell>
        </row>
        <row r="193">
          <cell r="AX193">
            <v>5647.8130004856694</v>
          </cell>
        </row>
        <row r="199">
          <cell r="AX199">
            <v>254.9236791058492</v>
          </cell>
        </row>
        <row r="200">
          <cell r="AX200">
            <v>21.388511544831182</v>
          </cell>
        </row>
        <row r="201">
          <cell r="AX201">
            <v>130.96393277955207</v>
          </cell>
        </row>
        <row r="202">
          <cell r="AX202">
            <v>0.19499210372340425</v>
          </cell>
        </row>
        <row r="203">
          <cell r="AX203">
            <v>415.19361344414904</v>
          </cell>
        </row>
        <row r="204">
          <cell r="AX204">
            <v>312.73575831064539</v>
          </cell>
        </row>
        <row r="229">
          <cell r="AX229">
            <v>0.59166660333046428</v>
          </cell>
        </row>
      </sheetData>
      <sheetData sheetId="3">
        <row r="15">
          <cell r="AH15">
            <v>4458.2544012419567</v>
          </cell>
        </row>
        <row r="69">
          <cell r="AH69">
            <v>1812.6055459810766</v>
          </cell>
        </row>
        <row r="86">
          <cell r="AH86">
            <v>0</v>
          </cell>
        </row>
        <row r="90">
          <cell r="AH90">
            <v>0</v>
          </cell>
        </row>
        <row r="105">
          <cell r="AH105">
            <v>0</v>
          </cell>
        </row>
        <row r="118">
          <cell r="AH118">
            <v>3.1417765957446808E-3</v>
          </cell>
        </row>
        <row r="120">
          <cell r="AH120">
            <v>0</v>
          </cell>
        </row>
        <row r="122">
          <cell r="AH122">
            <v>46.609151480691629</v>
          </cell>
        </row>
        <row r="130">
          <cell r="AH130">
            <v>2766.5038780740033</v>
          </cell>
        </row>
        <row r="141">
          <cell r="AH141">
            <v>1720.3066304911272</v>
          </cell>
        </row>
        <row r="170">
          <cell r="AH170">
            <v>137.36765756446806</v>
          </cell>
        </row>
        <row r="186">
          <cell r="AH186">
            <v>41737.616549178128</v>
          </cell>
        </row>
        <row r="187">
          <cell r="AH187">
            <v>0</v>
          </cell>
        </row>
        <row r="188">
          <cell r="AH188">
            <v>450.62923079946404</v>
          </cell>
        </row>
        <row r="189">
          <cell r="AH189">
            <v>787.05373506529486</v>
          </cell>
        </row>
        <row r="190">
          <cell r="AH190">
            <v>1318.2685948659885</v>
          </cell>
        </row>
        <row r="191">
          <cell r="AH191">
            <v>1002.3384976496025</v>
          </cell>
        </row>
        <row r="192">
          <cell r="AH192">
            <v>5654.5912737615527</v>
          </cell>
        </row>
        <row r="193">
          <cell r="AH193">
            <v>4395.6885960456648</v>
          </cell>
        </row>
        <row r="199">
          <cell r="AH199">
            <v>30.363571042430948</v>
          </cell>
        </row>
        <row r="200">
          <cell r="AH200">
            <v>-2.5365691489361703E-4</v>
          </cell>
        </row>
        <row r="201">
          <cell r="AH201">
            <v>0</v>
          </cell>
        </row>
        <row r="202">
          <cell r="AH202">
            <v>0</v>
          </cell>
        </row>
        <row r="203">
          <cell r="AH203">
            <v>10.267139763297873</v>
          </cell>
        </row>
        <row r="204">
          <cell r="AH204">
            <v>929.62068018610864</v>
          </cell>
        </row>
        <row r="229">
          <cell r="AH229">
            <v>71.16411900563692</v>
          </cell>
        </row>
        <row r="272">
          <cell r="AH272">
            <v>67632.159474113199</v>
          </cell>
        </row>
      </sheetData>
      <sheetData sheetId="4">
        <row r="14">
          <cell r="D14">
            <v>21416.961650793499</v>
          </cell>
          <cell r="G14">
            <v>23705.657141105621</v>
          </cell>
        </row>
        <row r="16">
          <cell r="D16">
            <v>35737.237260443369</v>
          </cell>
          <cell r="G16">
            <v>40072.600737817062</v>
          </cell>
        </row>
        <row r="17">
          <cell r="D17">
            <v>343.18933182364373</v>
          </cell>
          <cell r="G17">
            <v>345.76676197797332</v>
          </cell>
        </row>
        <row r="18">
          <cell r="D18">
            <v>2.3293595991919198</v>
          </cell>
          <cell r="G18">
            <v>71.331933862323069</v>
          </cell>
        </row>
        <row r="19">
          <cell r="D19">
            <v>2.1636177554588438</v>
          </cell>
          <cell r="G19">
            <v>1.8884308627576301</v>
          </cell>
        </row>
        <row r="20">
          <cell r="D20">
            <v>1927.3996174089282</v>
          </cell>
          <cell r="G20">
            <v>1049.5683177850178</v>
          </cell>
        </row>
        <row r="21">
          <cell r="D21">
            <v>5598.2498189244761</v>
          </cell>
          <cell r="G21">
            <v>1484.9448295284928</v>
          </cell>
        </row>
        <row r="22">
          <cell r="D22">
            <v>1984.7826252876973</v>
          </cell>
          <cell r="G22">
            <v>576.07063805977509</v>
          </cell>
        </row>
        <row r="23">
          <cell r="D23">
            <v>619.89221208514095</v>
          </cell>
          <cell r="G23">
            <v>324.32132409516981</v>
          </cell>
        </row>
        <row r="24">
          <cell r="G24">
            <v>67632.150115094191</v>
          </cell>
        </row>
      </sheetData>
      <sheetData sheetId="5"/>
      <sheetData sheetId="6"/>
      <sheetData sheetId="7"/>
      <sheetData sheetId="8"/>
      <sheetData sheetId="9"/>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14">
          <cell r="C14">
            <v>5.5709680771276586</v>
          </cell>
          <cell r="D14">
            <v>0</v>
          </cell>
          <cell r="E14">
            <v>0</v>
          </cell>
          <cell r="F14">
            <v>0</v>
          </cell>
          <cell r="G14">
            <v>0</v>
          </cell>
          <cell r="H14">
            <v>0</v>
          </cell>
          <cell r="I14">
            <v>0</v>
          </cell>
          <cell r="J14">
            <v>0</v>
          </cell>
          <cell r="K14">
            <v>0</v>
          </cell>
          <cell r="L14">
            <v>0</v>
          </cell>
          <cell r="M14">
            <v>0</v>
          </cell>
          <cell r="N14">
            <v>0</v>
          </cell>
          <cell r="O14">
            <v>608.1061012819149</v>
          </cell>
          <cell r="P14">
            <v>275.88892890676289</v>
          </cell>
        </row>
        <row r="18">
          <cell r="C18">
            <v>287.6984543696808</v>
          </cell>
          <cell r="D18">
            <v>2310.5762360636745</v>
          </cell>
          <cell r="E18">
            <v>4.0747613696808518</v>
          </cell>
          <cell r="F18">
            <v>2254.9673677436444</v>
          </cell>
          <cell r="G18">
            <v>11.647817856382977</v>
          </cell>
          <cell r="H18">
            <v>122.03854978404256</v>
          </cell>
          <cell r="I18">
            <v>1.3956926622340422</v>
          </cell>
          <cell r="J18">
            <v>86.997799591105107</v>
          </cell>
          <cell r="K18">
            <v>15.078322125000001</v>
          </cell>
          <cell r="L18">
            <v>1216.9108256150066</v>
          </cell>
          <cell r="M18">
            <v>73.072918954787241</v>
          </cell>
          <cell r="N18">
            <v>4316.254143598595</v>
          </cell>
          <cell r="O18">
            <v>14.550183268617019</v>
          </cell>
          <cell r="P18">
            <v>8755.9230489180918</v>
          </cell>
        </row>
        <row r="22">
          <cell r="E22">
            <v>118.32210380053195</v>
          </cell>
          <cell r="F22">
            <v>325.96949899186319</v>
          </cell>
          <cell r="G22">
            <v>48.527265952127649</v>
          </cell>
          <cell r="H22">
            <v>367.57939051090011</v>
          </cell>
          <cell r="I22">
            <v>18.379646101063834</v>
          </cell>
          <cell r="J22">
            <v>35.047696595145005</v>
          </cell>
          <cell r="K22">
            <v>81.959483379063855</v>
          </cell>
          <cell r="L22">
            <v>4129.9664120581174</v>
          </cell>
          <cell r="M22">
            <v>137.43410418882982</v>
          </cell>
          <cell r="N22">
            <v>1951.8114327580345</v>
          </cell>
          <cell r="O22">
            <v>148.40987856648917</v>
          </cell>
          <cell r="P22">
            <v>3253.9581946858825</v>
          </cell>
        </row>
        <row r="23">
          <cell r="C23">
            <v>866.2090561848936</v>
          </cell>
          <cell r="D23">
            <v>79.005036149680862</v>
          </cell>
        </row>
        <row r="24">
          <cell r="C24">
            <v>193.23576648627659</v>
          </cell>
          <cell r="D24">
            <v>41.821232565611702</v>
          </cell>
        </row>
        <row r="25">
          <cell r="C25">
            <v>209.68302626329788</v>
          </cell>
          <cell r="D25">
            <v>388.86934837187135</v>
          </cell>
        </row>
        <row r="26">
          <cell r="C26">
            <v>601.88744737765967</v>
          </cell>
          <cell r="D26">
            <v>673.91938466494696</v>
          </cell>
        </row>
        <row r="27">
          <cell r="C27">
            <v>3787.643257631009</v>
          </cell>
          <cell r="D27">
            <v>2749.1056467415806</v>
          </cell>
        </row>
        <row r="28">
          <cell r="C28">
            <v>10717.627593812438</v>
          </cell>
          <cell r="D28">
            <v>1353.6162817186005</v>
          </cell>
        </row>
        <row r="29">
          <cell r="C29">
            <v>613.25588305422878</v>
          </cell>
          <cell r="D29">
            <v>135.22767435276597</v>
          </cell>
        </row>
        <row r="30">
          <cell r="C30">
            <v>0</v>
          </cell>
          <cell r="D30">
            <v>467</v>
          </cell>
          <cell r="E30">
            <v>0</v>
          </cell>
          <cell r="F30">
            <v>0</v>
          </cell>
          <cell r="G30">
            <v>0</v>
          </cell>
          <cell r="H30">
            <v>0</v>
          </cell>
          <cell r="I30">
            <v>0</v>
          </cell>
          <cell r="J30">
            <v>0</v>
          </cell>
          <cell r="K30">
            <v>0</v>
          </cell>
          <cell r="L30">
            <v>0</v>
          </cell>
          <cell r="M30">
            <v>0</v>
          </cell>
          <cell r="N30">
            <v>0</v>
          </cell>
          <cell r="O30">
            <v>0</v>
          </cell>
          <cell r="P30">
            <v>599.59362512890959</v>
          </cell>
        </row>
        <row r="31">
          <cell r="C31">
            <v>0</v>
          </cell>
          <cell r="D31">
            <v>35.024831371562037</v>
          </cell>
          <cell r="E31">
            <v>0</v>
          </cell>
          <cell r="F31">
            <v>1.4072000661702129</v>
          </cell>
          <cell r="G31">
            <v>0</v>
          </cell>
          <cell r="H31">
            <v>0.56424516151595749</v>
          </cell>
          <cell r="I31">
            <v>0</v>
          </cell>
          <cell r="J31">
            <v>0</v>
          </cell>
          <cell r="K31">
            <v>0</v>
          </cell>
          <cell r="L31">
            <v>1.6958131781914895E-2</v>
          </cell>
          <cell r="M31">
            <v>0</v>
          </cell>
          <cell r="N31">
            <v>55.337324365841482</v>
          </cell>
          <cell r="O31">
            <v>0</v>
          </cell>
          <cell r="P31">
            <v>152.69555413502107</v>
          </cell>
        </row>
        <row r="32">
          <cell r="E32"/>
          <cell r="F32"/>
          <cell r="G32"/>
          <cell r="H32"/>
          <cell r="I32"/>
          <cell r="J32"/>
          <cell r="K32"/>
          <cell r="L32"/>
          <cell r="M32"/>
          <cell r="N32"/>
          <cell r="O32">
            <v>0</v>
          </cell>
          <cell r="P32">
            <v>0</v>
          </cell>
        </row>
        <row r="33">
          <cell r="C33">
            <v>9.080186001744682</v>
          </cell>
          <cell r="D33">
            <v>2745.5644251776171</v>
          </cell>
          <cell r="E33">
            <v>0</v>
          </cell>
          <cell r="F33">
            <v>0</v>
          </cell>
          <cell r="G33">
            <v>0</v>
          </cell>
          <cell r="H33">
            <v>0</v>
          </cell>
          <cell r="I33">
            <v>0</v>
          </cell>
          <cell r="J33">
            <v>0</v>
          </cell>
          <cell r="K33">
            <v>0</v>
          </cell>
          <cell r="L33">
            <v>0</v>
          </cell>
          <cell r="M33">
            <v>0</v>
          </cell>
          <cell r="N33">
            <v>0.44915464456233423</v>
          </cell>
          <cell r="O33">
            <v>0.85112791042553193</v>
          </cell>
          <cell r="P33">
            <v>376.91562346461143</v>
          </cell>
        </row>
        <row r="34">
          <cell r="C34">
            <v>1338.3537804449954</v>
          </cell>
          <cell r="D34">
            <v>1610.1149814628898</v>
          </cell>
          <cell r="E34">
            <v>24.468085106382976</v>
          </cell>
          <cell r="F34">
            <v>2809.1547717194144</v>
          </cell>
          <cell r="G34">
            <v>0</v>
          </cell>
          <cell r="H34">
            <v>0</v>
          </cell>
          <cell r="I34">
            <v>0.26595744680851063</v>
          </cell>
          <cell r="J34">
            <v>0</v>
          </cell>
          <cell r="K34">
            <v>0.53191489361702127</v>
          </cell>
          <cell r="L34">
            <v>14.759718749999999</v>
          </cell>
          <cell r="M34">
            <v>7.7132127659574463</v>
          </cell>
          <cell r="N34">
            <v>14.759718749999999</v>
          </cell>
          <cell r="O34">
            <v>0</v>
          </cell>
          <cell r="P34">
            <v>10</v>
          </cell>
        </row>
        <row r="36">
          <cell r="C36">
            <v>719.86258729598069</v>
          </cell>
          <cell r="D36">
            <v>175.03075399138083</v>
          </cell>
          <cell r="E36">
            <v>34.344474951156009</v>
          </cell>
          <cell r="F36">
            <v>2188.7271958592728</v>
          </cell>
          <cell r="G36">
            <v>0</v>
          </cell>
          <cell r="H36">
            <v>1.2700142227323719</v>
          </cell>
          <cell r="I36">
            <v>0</v>
          </cell>
          <cell r="J36">
            <v>0.5633110798093961</v>
          </cell>
          <cell r="K36">
            <v>0</v>
          </cell>
          <cell r="L36">
            <v>31.866292300880904</v>
          </cell>
          <cell r="M36">
            <v>0</v>
          </cell>
          <cell r="N36">
            <v>7.4244036249159731</v>
          </cell>
          <cell r="O36">
            <v>148.71010638297872</v>
          </cell>
          <cell r="P36">
            <v>628.69367229686327</v>
          </cell>
        </row>
        <row r="37">
          <cell r="C37">
            <v>758.60282498617642</v>
          </cell>
          <cell r="D37">
            <v>676.20496959700449</v>
          </cell>
          <cell r="E37">
            <v>3.4035625159576408E-2</v>
          </cell>
          <cell r="F37">
            <v>2.1356261474423186E-2</v>
          </cell>
          <cell r="G37">
            <v>6.7050531914893618E-5</v>
          </cell>
          <cell r="H37">
            <v>0.10761502777471972</v>
          </cell>
          <cell r="I37">
            <v>0</v>
          </cell>
          <cell r="J37">
            <v>2.7761489169946044E-3</v>
          </cell>
          <cell r="K37">
            <v>2.7279005638295311E-2</v>
          </cell>
          <cell r="L37">
            <v>7.632623809568142</v>
          </cell>
          <cell r="M37">
            <v>5.5025821755318609E-2</v>
          </cell>
          <cell r="N37">
            <v>0.27932890872738664</v>
          </cell>
          <cell r="O37">
            <v>4.4114404627659518E-2</v>
          </cell>
          <cell r="P37">
            <v>64.043268334025001</v>
          </cell>
        </row>
        <row r="38">
          <cell r="C38">
            <v>20108.710831985511</v>
          </cell>
          <cell r="D38">
            <v>13441.080802229189</v>
          </cell>
          <cell r="E38">
            <v>181.24346085291137</v>
          </cell>
          <cell r="F38">
            <v>7580.24739064184</v>
          </cell>
          <cell r="G38">
            <v>60.175150859042546</v>
          </cell>
          <cell r="H38">
            <v>491.55981470696571</v>
          </cell>
          <cell r="I38">
            <v>20.041296210106385</v>
          </cell>
          <cell r="J38">
            <v>122.61158341497651</v>
          </cell>
          <cell r="K38">
            <v>97.596999403319174</v>
          </cell>
          <cell r="L38">
            <v>5401.1528306653545</v>
          </cell>
          <cell r="M38">
            <v>218.27526173132983</v>
          </cell>
          <cell r="N38">
            <v>6346.3155066506761</v>
          </cell>
          <cell r="O38">
            <v>920.67151181505301</v>
          </cell>
          <cell r="P38">
            <v>14117.711915870166</v>
          </cell>
          <cell r="Q38">
            <v>69107.39435703645</v>
          </cell>
        </row>
        <row r="40">
          <cell r="Q40">
            <v>4954.1404611303187</v>
          </cell>
        </row>
        <row r="41">
          <cell r="Q41">
            <v>828.08933701862554</v>
          </cell>
        </row>
        <row r="42">
          <cell r="Q42">
            <v>797.77362290087365</v>
          </cell>
        </row>
        <row r="68">
          <cell r="C68">
            <v>91.686322597044111</v>
          </cell>
          <cell r="D68">
            <v>163.69843001295399</v>
          </cell>
        </row>
        <row r="69">
          <cell r="C69">
            <v>3560.6803636914888</v>
          </cell>
          <cell r="D69">
            <v>25.053191492021277</v>
          </cell>
          <cell r="E69">
            <v>0</v>
          </cell>
          <cell r="F69">
            <v>0.7978723404255319</v>
          </cell>
          <cell r="G69">
            <v>0</v>
          </cell>
          <cell r="H69">
            <v>0</v>
          </cell>
          <cell r="I69">
            <v>0</v>
          </cell>
          <cell r="J69">
            <v>0</v>
          </cell>
          <cell r="K69">
            <v>0</v>
          </cell>
          <cell r="L69">
            <v>3.4574468085106385</v>
          </cell>
          <cell r="M69">
            <v>0</v>
          </cell>
          <cell r="N69">
            <v>3.4574468085106385</v>
          </cell>
          <cell r="O69">
            <v>0</v>
          </cell>
          <cell r="P69">
            <v>18.085106382978722</v>
          </cell>
        </row>
        <row r="72">
          <cell r="C72">
            <v>965.32873464605643</v>
          </cell>
          <cell r="D72">
            <v>522.94604269694582</v>
          </cell>
          <cell r="E72">
            <v>21.281737590425529</v>
          </cell>
          <cell r="F72">
            <v>564.17616805799696</v>
          </cell>
          <cell r="G72">
            <v>0</v>
          </cell>
          <cell r="H72">
            <v>67.995124577209864</v>
          </cell>
          <cell r="I72">
            <v>0</v>
          </cell>
          <cell r="J72">
            <v>131.74173819804332</v>
          </cell>
          <cell r="K72">
            <v>-4.711702127659575E-5</v>
          </cell>
          <cell r="L72">
            <v>967.6226437121154</v>
          </cell>
          <cell r="M72">
            <v>-7.9614361702127654E-5</v>
          </cell>
          <cell r="N72">
            <v>1040.3166755101734</v>
          </cell>
          <cell r="O72">
            <v>-1.4122031914893605E-2</v>
          </cell>
          <cell r="P72">
            <v>2682.4324149269892</v>
          </cell>
        </row>
        <row r="76">
          <cell r="E76">
            <v>19.411214619680855</v>
          </cell>
          <cell r="F76">
            <v>28.997902145930283</v>
          </cell>
          <cell r="G76">
            <v>7.390612765957448E-2</v>
          </cell>
          <cell r="H76">
            <v>203.43222238085107</v>
          </cell>
          <cell r="I76">
            <v>6.7860244680851056E-2</v>
          </cell>
          <cell r="J76">
            <v>690.12186210273819</v>
          </cell>
          <cell r="K76">
            <v>37.335437654255323</v>
          </cell>
          <cell r="L76">
            <v>1453.6316188747285</v>
          </cell>
          <cell r="M76">
            <v>0.73720266489361719</v>
          </cell>
          <cell r="N76">
            <v>1008.0934075475425</v>
          </cell>
          <cell r="O76">
            <v>6.0508508377659567</v>
          </cell>
          <cell r="P76">
            <v>2348.7756906450359</v>
          </cell>
        </row>
        <row r="77">
          <cell r="C77">
            <v>398.075913042553</v>
          </cell>
          <cell r="D77">
            <v>1182.439048134707</v>
          </cell>
        </row>
        <row r="78">
          <cell r="C78">
            <v>0</v>
          </cell>
          <cell r="D78">
            <v>0</v>
          </cell>
        </row>
        <row r="79">
          <cell r="C79">
            <v>51.496939726063836</v>
          </cell>
          <cell r="D79">
            <v>371.64322239284581</v>
          </cell>
        </row>
        <row r="80">
          <cell r="C80">
            <v>94.048339928191467</v>
          </cell>
          <cell r="D80">
            <v>1218.5732081710109</v>
          </cell>
        </row>
        <row r="81">
          <cell r="C81">
            <v>4110.4634182856025</v>
          </cell>
          <cell r="D81">
            <v>1576.5217254087413</v>
          </cell>
        </row>
        <row r="82">
          <cell r="C82">
            <v>8596.9617689832703</v>
          </cell>
          <cell r="D82">
            <v>341.07938523815324</v>
          </cell>
        </row>
        <row r="83">
          <cell r="C83">
            <v>113.54148950797877</v>
          </cell>
          <cell r="D83">
            <v>102.3936170212766</v>
          </cell>
        </row>
        <row r="84">
          <cell r="E84">
            <v>2.6525199999999998E-3</v>
          </cell>
          <cell r="F84">
            <v>177.50992854505319</v>
          </cell>
          <cell r="G84">
            <v>0</v>
          </cell>
          <cell r="H84">
            <v>1193.356617504282</v>
          </cell>
          <cell r="I84">
            <v>0</v>
          </cell>
          <cell r="J84">
            <v>126.03022177152913</v>
          </cell>
          <cell r="K84">
            <v>0</v>
          </cell>
          <cell r="L84">
            <v>3373.1564328269524</v>
          </cell>
          <cell r="M84">
            <v>0</v>
          </cell>
          <cell r="N84">
            <v>2183.5465807456385</v>
          </cell>
          <cell r="O84">
            <v>2.7488797872340429</v>
          </cell>
          <cell r="P84">
            <v>6129.7818365002704</v>
          </cell>
        </row>
        <row r="86">
          <cell r="C86">
            <v>1870.6961102792557</v>
          </cell>
          <cell r="D86">
            <v>7591.2285202204084</v>
          </cell>
        </row>
        <row r="89">
          <cell r="C89">
            <v>9.9468085074468084E-7</v>
          </cell>
          <cell r="D89">
            <v>1361.0475322864665</v>
          </cell>
        </row>
        <row r="92">
          <cell r="C92">
            <v>857.0125109384046</v>
          </cell>
          <cell r="D92">
            <v>792.5851425686983</v>
          </cell>
        </row>
        <row r="93">
          <cell r="C93">
            <v>-9.1079787234571815E-5</v>
          </cell>
          <cell r="D93">
            <v>16.581173526363617</v>
          </cell>
          <cell r="E93">
            <v>0</v>
          </cell>
          <cell r="F93">
            <v>1.7769890287499994</v>
          </cell>
          <cell r="G93">
            <v>0</v>
          </cell>
          <cell r="H93">
            <v>0</v>
          </cell>
          <cell r="I93">
            <v>0</v>
          </cell>
          <cell r="J93">
            <v>0</v>
          </cell>
          <cell r="K93">
            <v>0</v>
          </cell>
          <cell r="L93">
            <v>0.6991898048670212</v>
          </cell>
          <cell r="M93">
            <v>0</v>
          </cell>
          <cell r="N93">
            <v>39.67071525244765</v>
          </cell>
          <cell r="O93">
            <v>0</v>
          </cell>
          <cell r="P93">
            <v>205.25066775126132</v>
          </cell>
        </row>
        <row r="94">
          <cell r="E94"/>
          <cell r="F94"/>
          <cell r="G94"/>
          <cell r="H94"/>
          <cell r="I94"/>
          <cell r="J94"/>
          <cell r="K94"/>
          <cell r="L94"/>
          <cell r="M94"/>
          <cell r="N94"/>
          <cell r="O94">
            <v>0</v>
          </cell>
          <cell r="P94">
            <v>0</v>
          </cell>
        </row>
        <row r="95">
          <cell r="C95">
            <v>1253.4221011223403</v>
          </cell>
          <cell r="D95">
            <v>1937.6542292058784</v>
          </cell>
          <cell r="E95">
            <v>0</v>
          </cell>
          <cell r="F95">
            <v>0</v>
          </cell>
          <cell r="G95">
            <v>0</v>
          </cell>
          <cell r="H95">
            <v>0</v>
          </cell>
          <cell r="I95">
            <v>0</v>
          </cell>
          <cell r="J95">
            <v>0</v>
          </cell>
          <cell r="K95">
            <v>0</v>
          </cell>
          <cell r="L95">
            <v>0</v>
          </cell>
          <cell r="M95">
            <v>0</v>
          </cell>
          <cell r="N95">
            <v>21.921544031830237</v>
          </cell>
          <cell r="O95">
            <v>0</v>
          </cell>
          <cell r="P95">
            <v>1120.6168320830354</v>
          </cell>
        </row>
        <row r="96">
          <cell r="C96">
            <v>311.36614889618124</v>
          </cell>
          <cell r="D96">
            <v>20.58329688957447</v>
          </cell>
        </row>
        <row r="97">
          <cell r="C97">
            <v>1521.2604496891884</v>
          </cell>
          <cell r="D97">
            <v>1192.0055823114249</v>
          </cell>
          <cell r="E97">
            <v>9.0308670212766091E-4</v>
          </cell>
          <cell r="F97">
            <v>7.8544712446808509E-2</v>
          </cell>
          <cell r="G97">
            <v>6.3460106382978739E-5</v>
          </cell>
          <cell r="H97">
            <v>6.4873441489361697E-3</v>
          </cell>
          <cell r="I97">
            <v>1.0736702127659575E-5</v>
          </cell>
          <cell r="J97">
            <v>1.1231382978723404E-5</v>
          </cell>
          <cell r="K97">
            <v>7.1877047207446818</v>
          </cell>
          <cell r="L97">
            <v>9.5983745043617041</v>
          </cell>
          <cell r="M97">
            <v>4.5214183058510633</v>
          </cell>
          <cell r="N97">
            <v>269.09183329904255</v>
          </cell>
          <cell r="O97">
            <v>2.1425000000000114E-4</v>
          </cell>
          <cell r="P97">
            <v>730.53869975510963</v>
          </cell>
        </row>
        <row r="98">
          <cell r="C98">
            <v>23796.040521248513</v>
          </cell>
          <cell r="D98">
            <v>18416.033347577464</v>
          </cell>
          <cell r="E98">
            <v>40.696507816808513</v>
          </cell>
          <cell r="F98">
            <v>773.33740483060285</v>
          </cell>
          <cell r="G98">
            <v>7.3969587765957454E-2</v>
          </cell>
          <cell r="H98">
            <v>1464.790451806492</v>
          </cell>
          <cell r="I98">
            <v>6.7870981382978715E-2</v>
          </cell>
          <cell r="J98">
            <v>947.89383330369355</v>
          </cell>
          <cell r="K98">
            <v>44.523095257978731</v>
          </cell>
          <cell r="L98">
            <v>5808.1657065315358</v>
          </cell>
          <cell r="M98">
            <v>5.2585413563829784</v>
          </cell>
          <cell r="N98">
            <v>4566.0982031951853</v>
          </cell>
          <cell r="O98">
            <v>8.7858228430851071</v>
          </cell>
          <cell r="P98">
            <v>13235.48124804468</v>
          </cell>
          <cell r="Q98">
            <v>69107.246524381568</v>
          </cell>
        </row>
        <row r="100">
          <cell r="Q100">
            <v>4919.5915766185753</v>
          </cell>
        </row>
        <row r="101">
          <cell r="Q101">
            <v>828.08933701330648</v>
          </cell>
        </row>
        <row r="102">
          <cell r="Q102">
            <v>797.77362290087365</v>
          </cell>
        </row>
      </sheetData>
      <sheetData sheetId="1"/>
      <sheetData sheetId="2">
        <row r="15">
          <cell r="AX15">
            <v>7426.3877050310912</v>
          </cell>
        </row>
        <row r="69">
          <cell r="AX69">
            <v>1224.0345912676025</v>
          </cell>
        </row>
        <row r="86">
          <cell r="AX86">
            <v>0</v>
          </cell>
        </row>
        <row r="90">
          <cell r="AX90">
            <v>73.809513281914903</v>
          </cell>
        </row>
        <row r="105">
          <cell r="AX105">
            <v>4.8072952127659573E-3</v>
          </cell>
        </row>
        <row r="118">
          <cell r="AX118">
            <v>1.7030396702127655</v>
          </cell>
        </row>
        <row r="120">
          <cell r="AX120">
            <v>339.16505589893609</v>
          </cell>
        </row>
        <row r="122">
          <cell r="AX122">
            <v>383.14026255010873</v>
          </cell>
        </row>
        <row r="130">
          <cell r="AX130">
            <v>666.36190122642904</v>
          </cell>
        </row>
        <row r="141">
          <cell r="AX141">
            <v>1349.7932435348537</v>
          </cell>
        </row>
        <row r="170">
          <cell r="AX170">
            <v>2.4846952127659135E-2</v>
          </cell>
        </row>
        <row r="186">
          <cell r="AX186">
            <v>33549.798877643254</v>
          </cell>
        </row>
        <row r="187">
          <cell r="AX187">
            <v>1449.5205475587961</v>
          </cell>
        </row>
        <row r="188">
          <cell r="AX188">
            <v>836.46893747244712</v>
          </cell>
        </row>
        <row r="189">
          <cell r="AX189">
            <v>7761.4908514947474</v>
          </cell>
        </row>
        <row r="190">
          <cell r="AX190">
            <v>551.73496556600821</v>
          </cell>
        </row>
        <row r="191">
          <cell r="AX191">
            <v>142.65281569935348</v>
          </cell>
        </row>
        <row r="192">
          <cell r="AX192">
            <v>5498.7193523039796</v>
          </cell>
        </row>
        <row r="193">
          <cell r="AX193">
            <v>6564.5678869576795</v>
          </cell>
        </row>
        <row r="199">
          <cell r="AX199">
            <v>282.82290188241069</v>
          </cell>
        </row>
        <row r="200">
          <cell r="AX200">
            <v>23.232946855496081</v>
          </cell>
        </row>
        <row r="201">
          <cell r="AX201">
            <v>130.31118582281152</v>
          </cell>
        </row>
        <row r="202">
          <cell r="AX202">
            <v>0.1950452446808511</v>
          </cell>
        </row>
        <row r="203">
          <cell r="AX203">
            <v>441.8985520186169</v>
          </cell>
        </row>
        <row r="204">
          <cell r="AX204">
            <v>243.28822483039579</v>
          </cell>
        </row>
        <row r="229">
          <cell r="AX229">
            <v>0.52449260553791077</v>
          </cell>
        </row>
      </sheetData>
      <sheetData sheetId="3">
        <row r="15">
          <cell r="AH15">
            <v>4518.4322670365473</v>
          </cell>
        </row>
        <row r="69">
          <cell r="AH69">
            <v>1851.7449090115197</v>
          </cell>
        </row>
        <row r="86">
          <cell r="AH86">
            <v>0</v>
          </cell>
        </row>
        <row r="90">
          <cell r="AH90">
            <v>0</v>
          </cell>
        </row>
        <row r="105">
          <cell r="AH105">
            <v>0</v>
          </cell>
        </row>
        <row r="118">
          <cell r="AH118">
            <v>3.1417765957446808E-3</v>
          </cell>
        </row>
        <row r="120">
          <cell r="AH120">
            <v>0</v>
          </cell>
        </row>
        <row r="122">
          <cell r="AH122">
            <v>55.854744090771206</v>
          </cell>
        </row>
        <row r="130">
          <cell r="AH130">
            <v>2298.6051910114757</v>
          </cell>
        </row>
        <row r="141">
          <cell r="AH141">
            <v>2520.9331339252917</v>
          </cell>
        </row>
        <row r="170">
          <cell r="AH170">
            <v>131.37874564646276</v>
          </cell>
        </row>
        <row r="186">
          <cell r="AH186">
            <v>42212.016266559905</v>
          </cell>
        </row>
        <row r="187">
          <cell r="AH187">
            <v>0</v>
          </cell>
        </row>
        <row r="188">
          <cell r="AH188">
            <v>450.74209224669801</v>
          </cell>
        </row>
        <row r="189">
          <cell r="AH189">
            <v>814.0315507927013</v>
          </cell>
        </row>
        <row r="190">
          <cell r="AH190">
            <v>1464.8644211342578</v>
          </cell>
        </row>
        <row r="191">
          <cell r="AH191">
            <v>947.96170428507662</v>
          </cell>
        </row>
        <row r="192">
          <cell r="AH192">
            <v>5852.5585680859685</v>
          </cell>
        </row>
        <row r="193">
          <cell r="AH193">
            <v>4571.3167427158123</v>
          </cell>
        </row>
        <row r="199">
          <cell r="AH199">
            <v>30.474827628546404</v>
          </cell>
        </row>
        <row r="200">
          <cell r="AH200">
            <v>-1.3789893617021282E-5</v>
          </cell>
        </row>
        <row r="201">
          <cell r="AH201">
            <v>0</v>
          </cell>
        </row>
        <row r="202">
          <cell r="AH202">
            <v>0</v>
          </cell>
        </row>
        <row r="203">
          <cell r="AH203">
            <v>-4.9001787234042547E-2</v>
          </cell>
        </row>
        <row r="204">
          <cell r="AH204">
            <v>908.47018065881161</v>
          </cell>
        </row>
        <row r="229">
          <cell r="AH229">
            <v>190.59326875201072</v>
          </cell>
        </row>
        <row r="272">
          <cell r="AH272">
            <v>69107.331473355094</v>
          </cell>
        </row>
      </sheetData>
      <sheetData sheetId="4">
        <row r="14">
          <cell r="D14">
            <v>21606.693046101376</v>
          </cell>
          <cell r="G14">
            <v>23895.443126554484</v>
          </cell>
        </row>
        <row r="16">
          <cell r="D16">
            <v>36163.998071726826</v>
          </cell>
          <cell r="G16">
            <v>40906.810619595373</v>
          </cell>
        </row>
        <row r="17">
          <cell r="D17">
            <v>279.70208512201287</v>
          </cell>
          <cell r="G17">
            <v>276.78155857027031</v>
          </cell>
        </row>
        <row r="18">
          <cell r="D18">
            <v>2.2932756039410007</v>
          </cell>
          <cell r="G18">
            <v>153.630628236169</v>
          </cell>
        </row>
        <row r="19">
          <cell r="D19">
            <v>2.3572852258265069</v>
          </cell>
          <cell r="G19">
            <v>2.0844821282322514</v>
          </cell>
        </row>
        <row r="20">
          <cell r="D20">
            <v>1896.2140059455801</v>
          </cell>
          <cell r="G20">
            <v>1134.9277101273235</v>
          </cell>
        </row>
        <row r="21">
          <cell r="D21">
            <v>6293.9913936330131</v>
          </cell>
          <cell r="G21">
            <v>1571.4916253087551</v>
          </cell>
        </row>
        <row r="22">
          <cell r="D22">
            <v>2183.8769365366206</v>
          </cell>
          <cell r="G22">
            <v>818.15842028353552</v>
          </cell>
        </row>
        <row r="23">
          <cell r="D23">
            <v>678.22501219509036</v>
          </cell>
          <cell r="G23">
            <v>348.07377286911577</v>
          </cell>
        </row>
        <row r="24">
          <cell r="G24">
            <v>69107.401943673263</v>
          </cell>
        </row>
      </sheetData>
      <sheetData sheetId="5"/>
      <sheetData sheetId="6"/>
      <sheetData sheetId="7"/>
      <sheetData sheetId="8"/>
      <sheetData sheetId="9"/>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14">
          <cell r="C14">
            <v>5.2205632952127665</v>
          </cell>
          <cell r="D14">
            <v>0</v>
          </cell>
          <cell r="E14">
            <v>0</v>
          </cell>
          <cell r="F14">
            <v>0</v>
          </cell>
          <cell r="G14">
            <v>0</v>
          </cell>
          <cell r="H14">
            <v>0</v>
          </cell>
          <cell r="I14">
            <v>0</v>
          </cell>
          <cell r="J14">
            <v>0</v>
          </cell>
          <cell r="K14">
            <v>0</v>
          </cell>
          <cell r="L14">
            <v>0</v>
          </cell>
          <cell r="M14">
            <v>0</v>
          </cell>
          <cell r="N14">
            <v>0</v>
          </cell>
          <cell r="O14">
            <v>608.42030058510625</v>
          </cell>
          <cell r="P14">
            <v>276.06264658798881</v>
          </cell>
        </row>
        <row r="18">
          <cell r="C18">
            <v>291.86139315691491</v>
          </cell>
          <cell r="D18">
            <v>2410.9658535917106</v>
          </cell>
          <cell r="E18">
            <v>51.060788473404251</v>
          </cell>
          <cell r="F18">
            <v>2768.7586432329608</v>
          </cell>
          <cell r="G18">
            <v>12.297948396276595</v>
          </cell>
          <cell r="H18">
            <v>100.20845004734045</v>
          </cell>
          <cell r="I18">
            <v>2.6858241675531911</v>
          </cell>
          <cell r="J18">
            <v>90.839878573141092</v>
          </cell>
          <cell r="K18">
            <v>10.145721968085105</v>
          </cell>
          <cell r="L18">
            <v>1412.6221429166601</v>
          </cell>
          <cell r="M18">
            <v>62.705715005319156</v>
          </cell>
          <cell r="N18">
            <v>4457.4570136100028</v>
          </cell>
          <cell r="O18">
            <v>16.726124731382978</v>
          </cell>
          <cell r="P18">
            <v>8958.4230754233085</v>
          </cell>
        </row>
        <row r="22">
          <cell r="E22">
            <v>124.15945125797899</v>
          </cell>
          <cell r="F22">
            <v>219.07295547004657</v>
          </cell>
          <cell r="G22">
            <v>37.669674398936166</v>
          </cell>
          <cell r="H22">
            <v>89.097540444980268</v>
          </cell>
          <cell r="I22">
            <v>18.025390779255325</v>
          </cell>
          <cell r="J22">
            <v>45.446211673363749</v>
          </cell>
          <cell r="K22">
            <v>76.584806289723403</v>
          </cell>
          <cell r="L22">
            <v>3929.9136635342738</v>
          </cell>
          <cell r="M22">
            <v>139.12854238563827</v>
          </cell>
          <cell r="N22">
            <v>2003.5619001590621</v>
          </cell>
          <cell r="O22">
            <v>146.74137484042552</v>
          </cell>
          <cell r="P22">
            <v>2757.8013578066511</v>
          </cell>
        </row>
        <row r="23">
          <cell r="C23">
            <v>883.24836531978769</v>
          </cell>
          <cell r="D23">
            <v>46.427780393244689</v>
          </cell>
        </row>
        <row r="24">
          <cell r="C24">
            <v>192.82247706978723</v>
          </cell>
          <cell r="D24">
            <v>42.177372143058513</v>
          </cell>
        </row>
        <row r="25">
          <cell r="C25">
            <v>207.73646742287235</v>
          </cell>
          <cell r="D25">
            <v>443.80026877433079</v>
          </cell>
        </row>
        <row r="26">
          <cell r="C26">
            <v>787.26235795478715</v>
          </cell>
          <cell r="D26">
            <v>1313.4373099827314</v>
          </cell>
        </row>
        <row r="27">
          <cell r="C27">
            <v>3809.0861001198555</v>
          </cell>
          <cell r="D27">
            <v>2442.8778223921036</v>
          </cell>
        </row>
        <row r="28">
          <cell r="C28">
            <v>10579.793485914022</v>
          </cell>
          <cell r="D28">
            <v>1364.6389892362461</v>
          </cell>
        </row>
        <row r="29">
          <cell r="C29">
            <v>567.55057277848402</v>
          </cell>
          <cell r="D29">
            <v>42.031623198510637</v>
          </cell>
        </row>
        <row r="30">
          <cell r="C30">
            <v>0</v>
          </cell>
          <cell r="D30">
            <v>470</v>
          </cell>
          <cell r="E30">
            <v>0</v>
          </cell>
          <cell r="F30">
            <v>0</v>
          </cell>
          <cell r="G30">
            <v>0</v>
          </cell>
          <cell r="H30">
            <v>0</v>
          </cell>
          <cell r="I30">
            <v>0</v>
          </cell>
          <cell r="J30">
            <v>0</v>
          </cell>
          <cell r="K30">
            <v>0</v>
          </cell>
          <cell r="L30">
            <v>0</v>
          </cell>
          <cell r="M30">
            <v>0</v>
          </cell>
          <cell r="N30">
            <v>0</v>
          </cell>
          <cell r="O30">
            <v>0</v>
          </cell>
          <cell r="P30">
            <v>595.40158537005311</v>
          </cell>
        </row>
        <row r="31">
          <cell r="C31">
            <v>0</v>
          </cell>
          <cell r="D31">
            <v>40.367228785221869</v>
          </cell>
          <cell r="E31">
            <v>0</v>
          </cell>
          <cell r="F31">
            <v>1.7645127351329781</v>
          </cell>
          <cell r="G31">
            <v>0</v>
          </cell>
          <cell r="H31">
            <v>0.39775524369680837</v>
          </cell>
          <cell r="I31">
            <v>0</v>
          </cell>
          <cell r="J31">
            <v>0</v>
          </cell>
          <cell r="K31">
            <v>0</v>
          </cell>
          <cell r="L31">
            <v>0</v>
          </cell>
          <cell r="M31">
            <v>0</v>
          </cell>
          <cell r="N31">
            <v>30.835730411679382</v>
          </cell>
          <cell r="O31">
            <v>0</v>
          </cell>
          <cell r="P31">
            <v>98.117056134384825</v>
          </cell>
        </row>
        <row r="32">
          <cell r="E32"/>
          <cell r="F32"/>
          <cell r="G32"/>
          <cell r="H32"/>
          <cell r="I32"/>
          <cell r="J32"/>
          <cell r="K32"/>
          <cell r="L32"/>
          <cell r="M32"/>
          <cell r="N32"/>
          <cell r="O32">
            <v>0</v>
          </cell>
          <cell r="P32">
            <v>0</v>
          </cell>
        </row>
        <row r="33">
          <cell r="C33">
            <v>7.8206879655531925</v>
          </cell>
          <cell r="D33">
            <v>2825.6692129879575</v>
          </cell>
          <cell r="E33">
            <v>0</v>
          </cell>
          <cell r="F33">
            <v>0</v>
          </cell>
          <cell r="G33">
            <v>0</v>
          </cell>
          <cell r="H33">
            <v>0</v>
          </cell>
          <cell r="I33">
            <v>0</v>
          </cell>
          <cell r="J33">
            <v>0</v>
          </cell>
          <cell r="K33">
            <v>0</v>
          </cell>
          <cell r="L33">
            <v>0</v>
          </cell>
          <cell r="M33">
            <v>0</v>
          </cell>
          <cell r="N33">
            <v>0.44880105835543771</v>
          </cell>
          <cell r="O33">
            <v>0.85112791042553193</v>
          </cell>
          <cell r="P33">
            <v>355.80237859813928</v>
          </cell>
        </row>
        <row r="34">
          <cell r="C34">
            <v>1393.0392750462674</v>
          </cell>
          <cell r="D34">
            <v>1679.1674061905421</v>
          </cell>
          <cell r="E34">
            <v>24.468085106382976</v>
          </cell>
          <cell r="F34">
            <v>2809.1547717194144</v>
          </cell>
          <cell r="G34">
            <v>0</v>
          </cell>
          <cell r="H34">
            <v>0</v>
          </cell>
          <cell r="I34">
            <v>0.26595744680851063</v>
          </cell>
          <cell r="J34">
            <v>0</v>
          </cell>
          <cell r="K34">
            <v>0.53191489361702127</v>
          </cell>
          <cell r="L34">
            <v>14.759718749999999</v>
          </cell>
          <cell r="M34">
            <v>7.7135744680851062</v>
          </cell>
          <cell r="N34">
            <v>14.759718749999999</v>
          </cell>
          <cell r="O34">
            <v>0</v>
          </cell>
          <cell r="P34">
            <v>10</v>
          </cell>
        </row>
        <row r="36">
          <cell r="C36">
            <v>413.31198844764702</v>
          </cell>
          <cell r="D36">
            <v>-62.63547271968892</v>
          </cell>
          <cell r="E36">
            <v>22.598133859924502</v>
          </cell>
          <cell r="F36">
            <v>1738.520077182869</v>
          </cell>
          <cell r="G36">
            <v>0</v>
          </cell>
          <cell r="H36">
            <v>1.2044067384161252</v>
          </cell>
          <cell r="I36">
            <v>0</v>
          </cell>
          <cell r="J36">
            <v>0.6130488565001192</v>
          </cell>
          <cell r="K36">
            <v>0</v>
          </cell>
          <cell r="L36">
            <v>32.461334227668601</v>
          </cell>
          <cell r="M36">
            <v>0</v>
          </cell>
          <cell r="N36">
            <v>7.5263685531546489</v>
          </cell>
          <cell r="O36">
            <v>148.71010638297875</v>
          </cell>
          <cell r="P36">
            <v>745.94555193023746</v>
          </cell>
        </row>
        <row r="37">
          <cell r="C37">
            <v>684.00899462955499</v>
          </cell>
          <cell r="D37">
            <v>823.95356170197056</v>
          </cell>
          <cell r="E37">
            <v>7.0186680851061875E-2</v>
          </cell>
          <cell r="F37">
            <v>402.46447978445474</v>
          </cell>
          <cell r="G37">
            <v>6.7050531914893618E-5</v>
          </cell>
          <cell r="H37">
            <v>8.4464269473372405E-2</v>
          </cell>
          <cell r="I37">
            <v>0</v>
          </cell>
          <cell r="J37">
            <v>3.353258873293654E-3</v>
          </cell>
          <cell r="K37">
            <v>3.1414524414895888E-2</v>
          </cell>
          <cell r="L37">
            <v>7.5199755432048292</v>
          </cell>
          <cell r="M37">
            <v>5.5211369867019244E-2</v>
          </cell>
          <cell r="N37">
            <v>0.27930617456071338</v>
          </cell>
          <cell r="O37">
            <v>4.3841533696808037E-2</v>
          </cell>
          <cell r="P37">
            <v>59.578731613841121</v>
          </cell>
        </row>
        <row r="38">
          <cell r="C38">
            <v>19822.762729120743</v>
          </cell>
          <cell r="D38">
            <v>13882.87895665794</v>
          </cell>
          <cell r="E38">
            <v>222.35664537854177</v>
          </cell>
          <cell r="F38">
            <v>7939.7354401248786</v>
          </cell>
          <cell r="G38">
            <v>49.96768984574468</v>
          </cell>
          <cell r="H38">
            <v>190.99261674390706</v>
          </cell>
          <cell r="I38">
            <v>20.977172393617028</v>
          </cell>
          <cell r="J38">
            <v>136.90249236187825</v>
          </cell>
          <cell r="K38">
            <v>87.293857675840442</v>
          </cell>
          <cell r="L38">
            <v>5397.2768349718071</v>
          </cell>
          <cell r="M38">
            <v>209.60304322890954</v>
          </cell>
          <cell r="N38">
            <v>6514.8688387168149</v>
          </cell>
          <cell r="O38">
            <v>921.49287598401565</v>
          </cell>
          <cell r="P38">
            <v>13857.132383464603</v>
          </cell>
          <cell r="Q38">
            <v>69254.241576669243</v>
          </cell>
        </row>
        <row r="40">
          <cell r="Q40">
            <v>4015.471049843085</v>
          </cell>
        </row>
        <row r="41">
          <cell r="Q41">
            <v>771.68515790290542</v>
          </cell>
        </row>
        <row r="42">
          <cell r="Q42">
            <v>806.68007921896083</v>
          </cell>
        </row>
        <row r="68">
          <cell r="C68">
            <v>208.7573687751792</v>
          </cell>
          <cell r="D68">
            <v>251.71862592577131</v>
          </cell>
        </row>
        <row r="69">
          <cell r="C69">
            <v>3211.7431498936166</v>
          </cell>
          <cell r="D69">
            <v>37.553191492021277</v>
          </cell>
          <cell r="E69">
            <v>0</v>
          </cell>
          <cell r="F69">
            <v>1.0638297872340425</v>
          </cell>
          <cell r="G69">
            <v>0</v>
          </cell>
          <cell r="H69">
            <v>0</v>
          </cell>
          <cell r="I69">
            <v>0</v>
          </cell>
          <cell r="J69">
            <v>0.26595744680851063</v>
          </cell>
          <cell r="K69">
            <v>0</v>
          </cell>
          <cell r="L69">
            <v>1.5957446808510638</v>
          </cell>
          <cell r="M69">
            <v>0</v>
          </cell>
          <cell r="N69">
            <v>1.8617021276595744</v>
          </cell>
          <cell r="O69">
            <v>0</v>
          </cell>
          <cell r="P69">
            <v>18.351063829787236</v>
          </cell>
        </row>
        <row r="72">
          <cell r="C72">
            <v>1059.9976508910374</v>
          </cell>
          <cell r="D72">
            <v>996.14346685866622</v>
          </cell>
          <cell r="E72">
            <v>0</v>
          </cell>
          <cell r="F72">
            <v>561.35487754454289</v>
          </cell>
          <cell r="G72">
            <v>0</v>
          </cell>
          <cell r="H72">
            <v>16.504092285424154</v>
          </cell>
          <cell r="I72">
            <v>0</v>
          </cell>
          <cell r="J72">
            <v>155.33597792705166</v>
          </cell>
          <cell r="K72">
            <v>-4.711702127659575E-5</v>
          </cell>
          <cell r="L72">
            <v>517.85824979964025</v>
          </cell>
          <cell r="M72">
            <v>-7.9614361702127654E-5</v>
          </cell>
          <cell r="N72">
            <v>1011.1143089532852</v>
          </cell>
          <cell r="O72">
            <v>-1.5833845744680837E-2</v>
          </cell>
          <cell r="P72">
            <v>2625.0447502187508</v>
          </cell>
        </row>
        <row r="76">
          <cell r="E76">
            <v>18.791971789893619</v>
          </cell>
          <cell r="F76">
            <v>30.022861521126678</v>
          </cell>
          <cell r="G76">
            <v>6.4307691489361704E-2</v>
          </cell>
          <cell r="H76">
            <v>202.38264872319149</v>
          </cell>
          <cell r="I76">
            <v>6.897480053191489E-2</v>
          </cell>
          <cell r="J76">
            <v>683.22977665837095</v>
          </cell>
          <cell r="K76">
            <v>36.523605505319146</v>
          </cell>
          <cell r="L76">
            <v>1690.496222460956</v>
          </cell>
          <cell r="M76">
            <v>0.66431581382978733</v>
          </cell>
          <cell r="N76">
            <v>958.73744737174468</v>
          </cell>
          <cell r="O76">
            <v>6.555864444148936</v>
          </cell>
          <cell r="P76">
            <v>2542.0305999257575</v>
          </cell>
        </row>
        <row r="77">
          <cell r="C77">
            <v>453.25780274202151</v>
          </cell>
          <cell r="D77">
            <v>1179.027979904122</v>
          </cell>
        </row>
        <row r="78">
          <cell r="C78">
            <v>0</v>
          </cell>
          <cell r="D78">
            <v>0</v>
          </cell>
        </row>
        <row r="79">
          <cell r="C79">
            <v>51.868819643617016</v>
          </cell>
          <cell r="D79">
            <v>343.91636499289893</v>
          </cell>
        </row>
        <row r="80">
          <cell r="C80">
            <v>121.54243883510638</v>
          </cell>
          <cell r="D80">
            <v>1290.5437333661437</v>
          </cell>
        </row>
        <row r="81">
          <cell r="C81">
            <v>4150.8346825691206</v>
          </cell>
          <cell r="D81">
            <v>1717.2119021410801</v>
          </cell>
        </row>
        <row r="82">
          <cell r="C82">
            <v>8557.759121944031</v>
          </cell>
          <cell r="D82">
            <v>371.70320280956531</v>
          </cell>
        </row>
        <row r="83">
          <cell r="C83">
            <v>116.10743096542542</v>
          </cell>
          <cell r="D83">
            <v>102.92553191489363</v>
          </cell>
        </row>
        <row r="84">
          <cell r="E84">
            <v>2.6525199999999998E-3</v>
          </cell>
          <cell r="F84">
            <v>190.84709208438829</v>
          </cell>
          <cell r="G84">
            <v>0</v>
          </cell>
          <cell r="H84">
            <v>1149.5057478889894</v>
          </cell>
          <cell r="I84">
            <v>0</v>
          </cell>
          <cell r="J84">
            <v>131.00485949825784</v>
          </cell>
          <cell r="K84">
            <v>0</v>
          </cell>
          <cell r="L84">
            <v>3348.9615674632273</v>
          </cell>
          <cell r="M84">
            <v>0</v>
          </cell>
          <cell r="N84">
            <v>2140.3021796870044</v>
          </cell>
          <cell r="O84">
            <v>1.7462202127659578</v>
          </cell>
          <cell r="P84">
            <v>5741.2225887348268</v>
          </cell>
        </row>
        <row r="86">
          <cell r="C86">
            <v>1862.0595775560419</v>
          </cell>
          <cell r="D86">
            <v>7480.3709384118038</v>
          </cell>
        </row>
        <row r="89">
          <cell r="C89">
            <v>6.0400801223404263</v>
          </cell>
          <cell r="D89">
            <v>1363.8807222600974</v>
          </cell>
        </row>
        <row r="92">
          <cell r="C92">
            <v>858.50411450489378</v>
          </cell>
          <cell r="D92">
            <v>785.38478941787264</v>
          </cell>
        </row>
        <row r="93">
          <cell r="C93">
            <v>4.6610228750000572E-2</v>
          </cell>
          <cell r="D93">
            <v>59.132612360097006</v>
          </cell>
          <cell r="E93">
            <v>0</v>
          </cell>
          <cell r="F93">
            <v>0.75234920122340421</v>
          </cell>
          <cell r="G93">
            <v>0</v>
          </cell>
          <cell r="H93">
            <v>0</v>
          </cell>
          <cell r="I93">
            <v>0</v>
          </cell>
          <cell r="J93">
            <v>0</v>
          </cell>
          <cell r="K93">
            <v>0</v>
          </cell>
          <cell r="L93">
            <v>0.32588868622340422</v>
          </cell>
          <cell r="M93">
            <v>0</v>
          </cell>
          <cell r="N93">
            <v>44.411313719612117</v>
          </cell>
          <cell r="O93">
            <v>0</v>
          </cell>
          <cell r="P93">
            <v>247.03682433763697</v>
          </cell>
        </row>
        <row r="94">
          <cell r="E94"/>
          <cell r="F94"/>
          <cell r="G94"/>
          <cell r="H94"/>
          <cell r="I94"/>
          <cell r="J94"/>
          <cell r="K94"/>
          <cell r="L94"/>
          <cell r="M94"/>
          <cell r="N94"/>
          <cell r="O94">
            <v>0</v>
          </cell>
          <cell r="P94">
            <v>0</v>
          </cell>
        </row>
        <row r="95">
          <cell r="C95">
            <v>1253.5270213351062</v>
          </cell>
          <cell r="D95">
            <v>1895.2593251624221</v>
          </cell>
          <cell r="E95">
            <v>0</v>
          </cell>
          <cell r="F95">
            <v>0</v>
          </cell>
          <cell r="G95">
            <v>0</v>
          </cell>
          <cell r="H95">
            <v>0</v>
          </cell>
          <cell r="I95">
            <v>0</v>
          </cell>
          <cell r="J95">
            <v>0</v>
          </cell>
          <cell r="K95">
            <v>0</v>
          </cell>
          <cell r="L95">
            <v>0</v>
          </cell>
          <cell r="M95">
            <v>0</v>
          </cell>
          <cell r="N95">
            <v>40.06104331923077</v>
          </cell>
          <cell r="O95">
            <v>0</v>
          </cell>
          <cell r="P95">
            <v>1140.6158561157324</v>
          </cell>
        </row>
        <row r="96">
          <cell r="C96">
            <v>310.10892028868443</v>
          </cell>
          <cell r="D96">
            <v>20.593256948537238</v>
          </cell>
        </row>
        <row r="97">
          <cell r="C97">
            <v>1552.6890129357555</v>
          </cell>
          <cell r="D97">
            <v>1209.7975225710593</v>
          </cell>
          <cell r="E97">
            <v>9.4599361702128076E-4</v>
          </cell>
          <cell r="F97">
            <v>6.8124765638297877E-2</v>
          </cell>
          <cell r="G97">
            <v>7.4273936170212788E-5</v>
          </cell>
          <cell r="H97">
            <v>2.644414893617021E-5</v>
          </cell>
          <cell r="I97">
            <v>1.069414893617022E-5</v>
          </cell>
          <cell r="J97">
            <v>1.1112978723404256E-3</v>
          </cell>
          <cell r="K97">
            <v>7.1878417978723412</v>
          </cell>
          <cell r="L97">
            <v>27.628728319361706</v>
          </cell>
          <cell r="M97">
            <v>4.5214179680851068</v>
          </cell>
          <cell r="N97">
            <v>254.02457917382978</v>
          </cell>
          <cell r="O97">
            <v>2.3376329787234263E-4</v>
          </cell>
          <cell r="P97">
            <v>823.96490476643066</v>
          </cell>
        </row>
        <row r="98">
          <cell r="C98">
            <v>23774.843803230728</v>
          </cell>
          <cell r="D98">
            <v>19105.163166537051</v>
          </cell>
          <cell r="E98">
            <v>18.79557030351064</v>
          </cell>
          <cell r="F98">
            <v>784.10913490415351</v>
          </cell>
          <cell r="G98">
            <v>6.4381965425531915E-2</v>
          </cell>
          <cell r="H98">
            <v>1368.392515341754</v>
          </cell>
          <cell r="I98">
            <v>6.8985494680851064E-2</v>
          </cell>
          <cell r="J98">
            <v>969.83768282836115</v>
          </cell>
          <cell r="K98">
            <v>43.711400186170209</v>
          </cell>
          <cell r="L98">
            <v>5586.8664014102587</v>
          </cell>
          <cell r="M98">
            <v>5.1856541675531922</v>
          </cell>
          <cell r="N98">
            <v>4450.5125743523658</v>
          </cell>
          <cell r="O98">
            <v>8.2864845744680853</v>
          </cell>
          <cell r="P98">
            <v>13138.266587928923</v>
          </cell>
          <cell r="Q98">
            <v>69254.104343225408</v>
          </cell>
        </row>
        <row r="100">
          <cell r="Q100">
            <v>3993.6757604981481</v>
          </cell>
        </row>
        <row r="101">
          <cell r="Q101">
            <v>771.68515789758635</v>
          </cell>
        </row>
        <row r="102">
          <cell r="Q102">
            <v>806.68007921896083</v>
          </cell>
        </row>
      </sheetData>
      <sheetData sheetId="1"/>
      <sheetData sheetId="2">
        <row r="15">
          <cell r="AX15">
            <v>7129.1126602112436</v>
          </cell>
        </row>
        <row r="69">
          <cell r="AX69">
            <v>1151.5936083182587</v>
          </cell>
        </row>
        <row r="86">
          <cell r="AX86">
            <v>0</v>
          </cell>
        </row>
        <row r="90">
          <cell r="AX90">
            <v>74.37871700531916</v>
          </cell>
        </row>
        <row r="105">
          <cell r="AX105">
            <v>4.8072952127659573E-3</v>
          </cell>
        </row>
        <row r="118">
          <cell r="AX118">
            <v>17.873715164893618</v>
          </cell>
        </row>
        <row r="120">
          <cell r="AX120">
            <v>347.59334577127652</v>
          </cell>
        </row>
        <row r="122">
          <cell r="AX122">
            <v>381.91719881553695</v>
          </cell>
        </row>
        <row r="130">
          <cell r="AX130">
            <v>757.59801406298936</v>
          </cell>
        </row>
        <row r="141">
          <cell r="AX141">
            <v>1463.5368127008526</v>
          </cell>
        </row>
        <row r="170">
          <cell r="AX170">
            <v>4.2180465425531624E-2</v>
          </cell>
        </row>
        <row r="186">
          <cell r="AX186">
            <v>33705.617160546833</v>
          </cell>
        </row>
        <row r="187">
          <cell r="AX187">
            <v>1449.9257580569767</v>
          </cell>
        </row>
        <row r="188">
          <cell r="AX188">
            <v>765.0367608802519</v>
          </cell>
        </row>
        <row r="189">
          <cell r="AX189">
            <v>8162.0920855034174</v>
          </cell>
        </row>
        <row r="190">
          <cell r="AX190">
            <v>240.96024292917429</v>
          </cell>
        </row>
        <row r="191">
          <cell r="AX191">
            <v>157.87960082976585</v>
          </cell>
        </row>
        <row r="192">
          <cell r="AX192">
            <v>5484.570689172846</v>
          </cell>
        </row>
        <row r="193">
          <cell r="AX193">
            <v>6724.5186898645288</v>
          </cell>
        </row>
        <row r="199">
          <cell r="AX199">
            <v>281.43716769554464</v>
          </cell>
        </row>
        <row r="200">
          <cell r="AX200">
            <v>21.024788461027999</v>
          </cell>
        </row>
        <row r="201">
          <cell r="AX201">
            <v>127.16843207743263</v>
          </cell>
        </row>
        <row r="202">
          <cell r="AX202">
            <v>0.1950452446808511</v>
          </cell>
        </row>
        <row r="203">
          <cell r="AX203">
            <v>423.85660151595738</v>
          </cell>
        </row>
        <row r="204">
          <cell r="AX204">
            <v>241.8868646790288</v>
          </cell>
        </row>
        <row r="229">
          <cell r="AX229">
            <v>0.52310209814429365</v>
          </cell>
        </row>
      </sheetData>
      <sheetData sheetId="3">
        <row r="15">
          <cell r="AH15">
            <v>4727.8900188903208</v>
          </cell>
        </row>
        <row r="69">
          <cell r="AH69">
            <v>1860.5003268298092</v>
          </cell>
        </row>
        <row r="86">
          <cell r="AH86">
            <v>0</v>
          </cell>
        </row>
        <row r="90">
          <cell r="AH90">
            <v>0</v>
          </cell>
        </row>
        <row r="105">
          <cell r="AH105">
            <v>0</v>
          </cell>
        </row>
        <row r="118">
          <cell r="AH118">
            <v>3.1638404255319151E-3</v>
          </cell>
        </row>
        <row r="120">
          <cell r="AH120">
            <v>0</v>
          </cell>
        </row>
        <row r="122">
          <cell r="AH122">
            <v>155.52257829236274</v>
          </cell>
        </row>
        <row r="130">
          <cell r="AH130">
            <v>2293.0995579712453</v>
          </cell>
        </row>
        <row r="141">
          <cell r="AH141">
            <v>2252.1855591565322</v>
          </cell>
        </row>
        <row r="170">
          <cell r="AH170">
            <v>109.79542834795214</v>
          </cell>
        </row>
        <row r="186">
          <cell r="AH186">
            <v>42880.011491359066</v>
          </cell>
        </row>
        <row r="187">
          <cell r="AH187">
            <v>0</v>
          </cell>
        </row>
        <row r="188">
          <cell r="AH188">
            <v>452.19722684015551</v>
          </cell>
        </row>
        <row r="189">
          <cell r="AH189">
            <v>802.90234335295395</v>
          </cell>
        </row>
        <row r="190">
          <cell r="AH190">
            <v>1368.4568973471796</v>
          </cell>
        </row>
        <row r="191">
          <cell r="AH191">
            <v>969.90666832304214</v>
          </cell>
        </row>
        <row r="192">
          <cell r="AH192">
            <v>5630.6514553613933</v>
          </cell>
        </row>
        <row r="193">
          <cell r="AH193">
            <v>4455.7050370893867</v>
          </cell>
        </row>
        <row r="199">
          <cell r="AH199">
            <v>31.413652168387515</v>
          </cell>
        </row>
        <row r="200">
          <cell r="AH200">
            <v>5.2640957446808506E-5</v>
          </cell>
        </row>
        <row r="201">
          <cell r="AH201">
            <v>7.6592952127661085E-3</v>
          </cell>
        </row>
        <row r="202">
          <cell r="AH202">
            <v>0</v>
          </cell>
        </row>
        <row r="203">
          <cell r="AH203">
            <v>-4.899924202127659E-2</v>
          </cell>
        </row>
        <row r="204">
          <cell r="AH204">
            <v>897.18380759417028</v>
          </cell>
        </row>
        <row r="229">
          <cell r="AH229">
            <v>103.01194146953216</v>
          </cell>
        </row>
        <row r="272">
          <cell r="AH272">
            <v>69254.683835376403</v>
          </cell>
        </row>
      </sheetData>
      <sheetData sheetId="4">
        <row r="14">
          <cell r="D14">
            <v>21334.432546870201</v>
          </cell>
          <cell r="G14">
            <v>23850.953074456957</v>
          </cell>
        </row>
        <row r="16">
          <cell r="D16">
            <v>37252.057989305853</v>
          </cell>
          <cell r="G16">
            <v>41048.809385200526</v>
          </cell>
        </row>
        <row r="17">
          <cell r="D17">
            <v>250.60842974084943</v>
          </cell>
          <cell r="G17">
            <v>394.64974256933601</v>
          </cell>
        </row>
        <row r="18">
          <cell r="D18">
            <v>2.7974082672956762</v>
          </cell>
          <cell r="G18">
            <v>132.05352517024349</v>
          </cell>
        </row>
        <row r="19">
          <cell r="D19">
            <v>2.9191185000332447</v>
          </cell>
          <cell r="G19">
            <v>1.813264345977345</v>
          </cell>
        </row>
        <row r="20">
          <cell r="D20">
            <v>1272.422377831962</v>
          </cell>
          <cell r="G20">
            <v>1011.6394362461658</v>
          </cell>
        </row>
        <row r="21">
          <cell r="D21">
            <v>6272.0502613825984</v>
          </cell>
          <cell r="G21">
            <v>1615.8477572562167</v>
          </cell>
        </row>
        <row r="22">
          <cell r="D22">
            <v>2240.2583207881139</v>
          </cell>
          <cell r="G22">
            <v>753.53184778561933</v>
          </cell>
        </row>
        <row r="23">
          <cell r="D23">
            <v>626.67472602963267</v>
          </cell>
          <cell r="G23">
            <v>444.83754487606529</v>
          </cell>
        </row>
        <row r="24">
          <cell r="G24">
            <v>69254.135577907087</v>
          </cell>
        </row>
      </sheetData>
      <sheetData sheetId="5"/>
      <sheetData sheetId="6"/>
      <sheetData sheetId="7"/>
      <sheetData sheetId="8"/>
      <sheetData sheetId="9"/>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14">
          <cell r="C14">
            <v>2.8240554335106376</v>
          </cell>
          <cell r="D14">
            <v>0</v>
          </cell>
          <cell r="E14">
            <v>0</v>
          </cell>
          <cell r="F14">
            <v>0</v>
          </cell>
          <cell r="G14">
            <v>0</v>
          </cell>
          <cell r="H14">
            <v>0</v>
          </cell>
          <cell r="I14">
            <v>0</v>
          </cell>
          <cell r="J14">
            <v>0</v>
          </cell>
          <cell r="K14">
            <v>0</v>
          </cell>
          <cell r="L14">
            <v>0</v>
          </cell>
          <cell r="M14">
            <v>0</v>
          </cell>
          <cell r="N14">
            <v>0</v>
          </cell>
          <cell r="O14">
            <v>608.72450701861703</v>
          </cell>
          <cell r="P14">
            <v>276.05425530051605</v>
          </cell>
        </row>
        <row r="18">
          <cell r="C18">
            <v>478.63365645478723</v>
          </cell>
          <cell r="D18">
            <v>2334.9489270258682</v>
          </cell>
          <cell r="E18">
            <v>53.357926624999998</v>
          </cell>
          <cell r="F18">
            <v>3385.7833804676366</v>
          </cell>
          <cell r="G18">
            <v>26.941127015957449</v>
          </cell>
          <cell r="H18">
            <v>119.09259234787234</v>
          </cell>
          <cell r="I18">
            <v>1.4068459255319152</v>
          </cell>
          <cell r="J18">
            <v>77.968576260520237</v>
          </cell>
          <cell r="K18">
            <v>10.304135670212768</v>
          </cell>
          <cell r="L18">
            <v>80.160159365343929</v>
          </cell>
          <cell r="M18">
            <v>61.622101922872339</v>
          </cell>
          <cell r="N18">
            <v>4230.8993544646628</v>
          </cell>
          <cell r="O18">
            <v>16.81616565691489</v>
          </cell>
          <cell r="P18">
            <v>8802.6413429770764</v>
          </cell>
        </row>
        <row r="22">
          <cell r="E22">
            <v>124.59138020744673</v>
          </cell>
          <cell r="F22">
            <v>232.13049673206211</v>
          </cell>
          <cell r="G22">
            <v>56.409329265957439</v>
          </cell>
          <cell r="H22">
            <v>39.309863501427735</v>
          </cell>
          <cell r="I22">
            <v>17.809257529255319</v>
          </cell>
          <cell r="J22">
            <v>65.077849253888374</v>
          </cell>
          <cell r="K22">
            <v>77.36366591140424</v>
          </cell>
          <cell r="L22">
            <v>4833.2948712962052</v>
          </cell>
          <cell r="M22">
            <v>124.85084254787233</v>
          </cell>
          <cell r="N22">
            <v>2036.2042979417533</v>
          </cell>
          <cell r="O22">
            <v>154.15141908244692</v>
          </cell>
          <cell r="P22">
            <v>3240.5166404646284</v>
          </cell>
        </row>
        <row r="23">
          <cell r="C23">
            <v>868.38413246617097</v>
          </cell>
          <cell r="D23">
            <v>45.195808546941485</v>
          </cell>
        </row>
        <row r="24">
          <cell r="C24">
            <v>139.53372006882978</v>
          </cell>
          <cell r="D24">
            <v>42.26543531071809</v>
          </cell>
        </row>
        <row r="25">
          <cell r="C25">
            <v>209.02420239627662</v>
          </cell>
          <cell r="D25">
            <v>348.53065882194488</v>
          </cell>
        </row>
        <row r="26">
          <cell r="C26">
            <v>543.11458403723395</v>
          </cell>
          <cell r="D26">
            <v>1683.2156993858484</v>
          </cell>
        </row>
        <row r="27">
          <cell r="C27">
            <v>3785.9526065297441</v>
          </cell>
          <cell r="D27">
            <v>2659.976509501977</v>
          </cell>
        </row>
        <row r="28">
          <cell r="C28">
            <v>10686.804204164015</v>
          </cell>
          <cell r="D28">
            <v>1403.4340584534925</v>
          </cell>
        </row>
        <row r="29">
          <cell r="C29">
            <v>531.92412763476079</v>
          </cell>
          <cell r="D29">
            <v>208.04077996712766</v>
          </cell>
        </row>
        <row r="30">
          <cell r="C30">
            <v>0</v>
          </cell>
          <cell r="D30">
            <v>473</v>
          </cell>
          <cell r="E30">
            <v>0</v>
          </cell>
          <cell r="F30">
            <v>0</v>
          </cell>
          <cell r="G30">
            <v>0</v>
          </cell>
          <cell r="H30">
            <v>0</v>
          </cell>
          <cell r="I30">
            <v>0</v>
          </cell>
          <cell r="J30">
            <v>0</v>
          </cell>
          <cell r="K30">
            <v>0</v>
          </cell>
          <cell r="L30">
            <v>0</v>
          </cell>
          <cell r="M30">
            <v>0</v>
          </cell>
          <cell r="N30">
            <v>0</v>
          </cell>
          <cell r="O30">
            <v>0</v>
          </cell>
          <cell r="P30">
            <v>599.91869488289899</v>
          </cell>
        </row>
        <row r="31">
          <cell r="C31">
            <v>0</v>
          </cell>
          <cell r="D31">
            <v>39.911148070565524</v>
          </cell>
          <cell r="E31">
            <v>0</v>
          </cell>
          <cell r="F31">
            <v>2.0229820501329776</v>
          </cell>
          <cell r="G31">
            <v>0</v>
          </cell>
          <cell r="H31">
            <v>0.38806659436170216</v>
          </cell>
          <cell r="I31">
            <v>0</v>
          </cell>
          <cell r="J31">
            <v>0</v>
          </cell>
          <cell r="K31">
            <v>0</v>
          </cell>
          <cell r="L31">
            <v>0</v>
          </cell>
          <cell r="M31">
            <v>0</v>
          </cell>
          <cell r="N31">
            <v>30.642442755347222</v>
          </cell>
          <cell r="O31">
            <v>0</v>
          </cell>
          <cell r="P31">
            <v>73.479903213556753</v>
          </cell>
        </row>
        <row r="32">
          <cell r="E32"/>
          <cell r="F32"/>
          <cell r="G32"/>
          <cell r="H32"/>
          <cell r="I32"/>
          <cell r="J32"/>
          <cell r="K32"/>
          <cell r="L32"/>
          <cell r="M32"/>
          <cell r="N32"/>
          <cell r="O32">
            <v>0</v>
          </cell>
          <cell r="P32">
            <v>0</v>
          </cell>
        </row>
        <row r="33">
          <cell r="C33">
            <v>11.003069504170213</v>
          </cell>
          <cell r="D33">
            <v>2855.8327666802129</v>
          </cell>
          <cell r="E33">
            <v>0</v>
          </cell>
          <cell r="F33">
            <v>0</v>
          </cell>
          <cell r="G33">
            <v>0</v>
          </cell>
          <cell r="H33">
            <v>0</v>
          </cell>
          <cell r="I33">
            <v>0</v>
          </cell>
          <cell r="J33">
            <v>0</v>
          </cell>
          <cell r="K33">
            <v>0</v>
          </cell>
          <cell r="L33">
            <v>0</v>
          </cell>
          <cell r="M33">
            <v>0</v>
          </cell>
          <cell r="N33">
            <v>0.22768275066312996</v>
          </cell>
          <cell r="O33">
            <v>1.9149576976595744</v>
          </cell>
          <cell r="P33">
            <v>343.47478688559283</v>
          </cell>
        </row>
        <row r="34">
          <cell r="C34">
            <v>1390.8774540841662</v>
          </cell>
          <cell r="D34">
            <v>1678.4175598778418</v>
          </cell>
          <cell r="E34">
            <v>24.468085106382976</v>
          </cell>
          <cell r="F34">
            <v>2809.1547717194144</v>
          </cell>
          <cell r="G34">
            <v>0</v>
          </cell>
          <cell r="H34">
            <v>0</v>
          </cell>
          <cell r="I34">
            <v>0.26595744680851063</v>
          </cell>
          <cell r="J34">
            <v>0</v>
          </cell>
          <cell r="K34">
            <v>0.53191489361702127</v>
          </cell>
          <cell r="L34">
            <v>14.759718749999999</v>
          </cell>
          <cell r="M34">
            <v>7.7137154255319151</v>
          </cell>
          <cell r="N34">
            <v>14.759718749999999</v>
          </cell>
          <cell r="O34">
            <v>0</v>
          </cell>
          <cell r="P34">
            <v>10</v>
          </cell>
        </row>
        <row r="36">
          <cell r="C36">
            <v>568.90384274536643</v>
          </cell>
          <cell r="D36">
            <v>-25.006629282014075</v>
          </cell>
          <cell r="E36">
            <v>33.647643868810526</v>
          </cell>
          <cell r="F36">
            <v>1817.2773155403381</v>
          </cell>
          <cell r="G36">
            <v>0</v>
          </cell>
          <cell r="H36">
            <v>1.2088164313884433</v>
          </cell>
          <cell r="I36">
            <v>0</v>
          </cell>
          <cell r="J36">
            <v>0.61529341155612249</v>
          </cell>
          <cell r="K36">
            <v>0</v>
          </cell>
          <cell r="L36">
            <v>32.50322512312426</v>
          </cell>
          <cell r="M36">
            <v>0</v>
          </cell>
          <cell r="N36">
            <v>7.6352959886018921</v>
          </cell>
          <cell r="O36">
            <v>148.71010638297872</v>
          </cell>
          <cell r="P36">
            <v>749.1240602814687</v>
          </cell>
        </row>
        <row r="37">
          <cell r="C37">
            <v>784.2423837301784</v>
          </cell>
          <cell r="D37">
            <v>812.33703941236922</v>
          </cell>
          <cell r="E37">
            <v>7.1583861702125814E-2</v>
          </cell>
          <cell r="F37">
            <v>402.46447533595006</v>
          </cell>
          <cell r="G37">
            <v>6.7050531914893618E-5</v>
          </cell>
          <cell r="H37">
            <v>8.4481559366989423E-2</v>
          </cell>
          <cell r="I37">
            <v>0</v>
          </cell>
          <cell r="J37">
            <v>3.4266090442667384E-3</v>
          </cell>
          <cell r="K37">
            <v>2.3955479202130217E-2</v>
          </cell>
          <cell r="L37">
            <v>7.5501969598980461</v>
          </cell>
          <cell r="M37">
            <v>3.807599486701925E-2</v>
          </cell>
          <cell r="N37">
            <v>0.33531241131267525</v>
          </cell>
          <cell r="O37">
            <v>3.8142727845742491E-2</v>
          </cell>
          <cell r="P37">
            <v>56.751662943683797</v>
          </cell>
        </row>
        <row r="38">
          <cell r="C38">
            <v>20001.222039249213</v>
          </cell>
          <cell r="D38">
            <v>14560.099761772894</v>
          </cell>
          <cell r="E38">
            <v>236.13661966934234</v>
          </cell>
          <cell r="F38">
            <v>8648.8334218455329</v>
          </cell>
          <cell r="G38">
            <v>83.350523332446798</v>
          </cell>
          <cell r="H38">
            <v>160.08382043441722</v>
          </cell>
          <cell r="I38">
            <v>19.482060901595744</v>
          </cell>
          <cell r="J38">
            <v>143.66514553500897</v>
          </cell>
          <cell r="K38">
            <v>88.22367195443617</v>
          </cell>
          <cell r="L38">
            <v>4968.2681714945711</v>
          </cell>
          <cell r="M38">
            <v>194.22473589114361</v>
          </cell>
          <cell r="N38">
            <v>6320.7041050623411</v>
          </cell>
          <cell r="O38">
            <v>930.35529856646303</v>
          </cell>
          <cell r="P38">
            <v>14151.96134694942</v>
          </cell>
          <cell r="Q38">
            <v>70506.610722658821</v>
          </cell>
        </row>
        <row r="40">
          <cell r="Q40">
            <v>3770.8735049893612</v>
          </cell>
        </row>
        <row r="41">
          <cell r="Q41">
            <v>795.2490086969633</v>
          </cell>
        </row>
        <row r="42">
          <cell r="Q42">
            <v>809.71192037800085</v>
          </cell>
        </row>
        <row r="68">
          <cell r="C68">
            <v>292.98957465205569</v>
          </cell>
          <cell r="D68">
            <v>164.77558589389304</v>
          </cell>
        </row>
        <row r="69">
          <cell r="C69">
            <v>2862.3254126196812</v>
          </cell>
          <cell r="D69">
            <v>29.574468087765958</v>
          </cell>
          <cell r="E69">
            <v>0</v>
          </cell>
          <cell r="F69">
            <v>1.0638297872340425</v>
          </cell>
          <cell r="G69">
            <v>0</v>
          </cell>
          <cell r="H69">
            <v>0.53191489361702127</v>
          </cell>
          <cell r="I69">
            <v>0</v>
          </cell>
          <cell r="J69">
            <v>0</v>
          </cell>
          <cell r="K69">
            <v>0</v>
          </cell>
          <cell r="L69">
            <v>1.8617021276595744</v>
          </cell>
          <cell r="M69">
            <v>0</v>
          </cell>
          <cell r="N69">
            <v>1.3297872340425532</v>
          </cell>
          <cell r="O69">
            <v>0</v>
          </cell>
          <cell r="P69">
            <v>7.7127659574468082</v>
          </cell>
        </row>
        <row r="72">
          <cell r="C72">
            <v>1236.1483990817769</v>
          </cell>
          <cell r="D72">
            <v>1101.8039711570705</v>
          </cell>
          <cell r="E72">
            <v>0</v>
          </cell>
          <cell r="F72">
            <v>563.62480410035573</v>
          </cell>
          <cell r="G72">
            <v>-1.3297872340425533E-5</v>
          </cell>
          <cell r="H72">
            <v>46.319387691565346</v>
          </cell>
          <cell r="I72">
            <v>0</v>
          </cell>
          <cell r="J72">
            <v>4.5712447957826745</v>
          </cell>
          <cell r="K72">
            <v>-3.1914893617021275E-5</v>
          </cell>
          <cell r="L72">
            <v>718.18077828764729</v>
          </cell>
          <cell r="M72">
            <v>-6.1170212765957453E-5</v>
          </cell>
          <cell r="N72">
            <v>1023.4133029508736</v>
          </cell>
          <cell r="O72">
            <v>3.3292154255319152E-2</v>
          </cell>
          <cell r="P72">
            <v>3493.6075774298365</v>
          </cell>
        </row>
        <row r="76">
          <cell r="E76">
            <v>18.889373728723406</v>
          </cell>
          <cell r="F76">
            <v>31.337192412301494</v>
          </cell>
          <cell r="G76">
            <v>5.9673202127659579E-2</v>
          </cell>
          <cell r="H76">
            <v>201.12007481571806</v>
          </cell>
          <cell r="I76">
            <v>7.0451148936170216E-2</v>
          </cell>
          <cell r="J76">
            <v>771.2416042150071</v>
          </cell>
          <cell r="K76">
            <v>36.484309178191488</v>
          </cell>
          <cell r="L76">
            <v>1775.0048865348183</v>
          </cell>
          <cell r="M76">
            <v>0.66555053723404256</v>
          </cell>
          <cell r="N76">
            <v>960.6938714824787</v>
          </cell>
          <cell r="O76">
            <v>7.2995071037234052</v>
          </cell>
          <cell r="P76">
            <v>2496.8314777868113</v>
          </cell>
        </row>
        <row r="77">
          <cell r="C77">
            <v>448.88271500265972</v>
          </cell>
          <cell r="D77">
            <v>1171.850900619947</v>
          </cell>
        </row>
        <row r="78">
          <cell r="C78">
            <v>0</v>
          </cell>
          <cell r="D78">
            <v>0</v>
          </cell>
        </row>
        <row r="79">
          <cell r="C79">
            <v>53.598164973404259</v>
          </cell>
          <cell r="D79">
            <v>344.01004120699469</v>
          </cell>
        </row>
        <row r="80">
          <cell r="C80">
            <v>119.56583399734043</v>
          </cell>
          <cell r="D80">
            <v>1422.1161717359041</v>
          </cell>
        </row>
        <row r="81">
          <cell r="C81">
            <v>4122.0894279503382</v>
          </cell>
          <cell r="D81">
            <v>1738.2448367166028</v>
          </cell>
        </row>
        <row r="82">
          <cell r="C82">
            <v>8589.477431727275</v>
          </cell>
          <cell r="D82">
            <v>374.31494668772331</v>
          </cell>
        </row>
        <row r="83">
          <cell r="C83">
            <v>125.88813348670183</v>
          </cell>
          <cell r="D83">
            <v>103.45744680851064</v>
          </cell>
        </row>
        <row r="84">
          <cell r="E84">
            <v>2.6525199999999998E-3</v>
          </cell>
          <cell r="F84">
            <v>190.54321610159576</v>
          </cell>
          <cell r="G84">
            <v>0</v>
          </cell>
          <cell r="H84">
            <v>1169.2831147668614</v>
          </cell>
          <cell r="I84">
            <v>0</v>
          </cell>
          <cell r="J84">
            <v>129.84848552365366</v>
          </cell>
          <cell r="K84">
            <v>0</v>
          </cell>
          <cell r="L84">
            <v>3356.9465129485566</v>
          </cell>
          <cell r="M84">
            <v>0</v>
          </cell>
          <cell r="N84">
            <v>2156.3951022647898</v>
          </cell>
          <cell r="O84">
            <v>0</v>
          </cell>
          <cell r="P84">
            <v>5698.2188829870529</v>
          </cell>
        </row>
        <row r="86">
          <cell r="C86">
            <v>1943.0412111647947</v>
          </cell>
          <cell r="D86">
            <v>7462.6039869260339</v>
          </cell>
        </row>
        <row r="89">
          <cell r="C89">
            <v>6.0701206755319141</v>
          </cell>
          <cell r="D89">
            <v>1340.5621982064226</v>
          </cell>
        </row>
        <row r="92">
          <cell r="C92">
            <v>901.37645474159558</v>
          </cell>
          <cell r="D92">
            <v>828.3905217943028</v>
          </cell>
        </row>
        <row r="93">
          <cell r="C93">
            <v>0.15249039630319081</v>
          </cell>
          <cell r="D93">
            <v>71.066466434313696</v>
          </cell>
          <cell r="E93">
            <v>0</v>
          </cell>
          <cell r="F93">
            <v>1.0211289448404262</v>
          </cell>
          <cell r="G93">
            <v>0</v>
          </cell>
          <cell r="H93">
            <v>0</v>
          </cell>
          <cell r="I93">
            <v>0</v>
          </cell>
          <cell r="J93">
            <v>0</v>
          </cell>
          <cell r="K93">
            <v>0</v>
          </cell>
          <cell r="L93">
            <v>0.74351308324468079</v>
          </cell>
          <cell r="M93">
            <v>0</v>
          </cell>
          <cell r="N93">
            <v>48.73484514663825</v>
          </cell>
          <cell r="O93">
            <v>0</v>
          </cell>
          <cell r="P93">
            <v>251.487224700664</v>
          </cell>
        </row>
        <row r="94">
          <cell r="E94"/>
          <cell r="F94"/>
          <cell r="G94"/>
          <cell r="H94"/>
          <cell r="I94"/>
          <cell r="J94"/>
          <cell r="K94"/>
          <cell r="L94"/>
          <cell r="M94"/>
          <cell r="N94"/>
          <cell r="O94">
            <v>0</v>
          </cell>
          <cell r="P94">
            <v>0</v>
          </cell>
        </row>
        <row r="95">
          <cell r="C95">
            <v>1253.5270213351062</v>
          </cell>
          <cell r="D95">
            <v>1942.628007909907</v>
          </cell>
          <cell r="E95">
            <v>0</v>
          </cell>
          <cell r="F95">
            <v>0</v>
          </cell>
          <cell r="G95">
            <v>0</v>
          </cell>
          <cell r="H95">
            <v>0</v>
          </cell>
          <cell r="I95">
            <v>0</v>
          </cell>
          <cell r="J95">
            <v>0</v>
          </cell>
          <cell r="K95">
            <v>0</v>
          </cell>
          <cell r="L95">
            <v>0</v>
          </cell>
          <cell r="M95">
            <v>0</v>
          </cell>
          <cell r="N95">
            <v>21.917545145888596</v>
          </cell>
          <cell r="O95">
            <v>0</v>
          </cell>
          <cell r="P95">
            <v>1365.4009255542453</v>
          </cell>
        </row>
        <row r="96">
          <cell r="C96">
            <v>307.09335330242419</v>
          </cell>
          <cell r="D96">
            <v>20.588259140026601</v>
          </cell>
        </row>
        <row r="97">
          <cell r="C97">
            <v>1332.8882959750563</v>
          </cell>
          <cell r="D97">
            <v>1016.3650402967526</v>
          </cell>
          <cell r="E97">
            <v>9.9896968085107056E-4</v>
          </cell>
          <cell r="F97">
            <v>0.10616521925531915</v>
          </cell>
          <cell r="G97">
            <v>7.7428191489361725E-5</v>
          </cell>
          <cell r="H97">
            <v>2.6593085106382978E-5</v>
          </cell>
          <cell r="I97">
            <v>5.0029255319148939E-5</v>
          </cell>
          <cell r="J97">
            <v>1.0848404255319149E-5</v>
          </cell>
          <cell r="K97">
            <v>7.1879296648936171</v>
          </cell>
          <cell r="L97">
            <v>63.619537003723373</v>
          </cell>
          <cell r="M97">
            <v>4.5214163218085108</v>
          </cell>
          <cell r="N97">
            <v>225.17639238159575</v>
          </cell>
          <cell r="O97">
            <v>2.2397606382978691E-4</v>
          </cell>
          <cell r="P97">
            <v>925.85705644835605</v>
          </cell>
        </row>
        <row r="98">
          <cell r="C98">
            <v>23595.114041082048</v>
          </cell>
          <cell r="D98">
            <v>19132.352849622173</v>
          </cell>
          <cell r="E98">
            <v>18.893025218404258</v>
          </cell>
          <cell r="F98">
            <v>787.69633656558267</v>
          </cell>
          <cell r="G98">
            <v>5.9737332446808518E-2</v>
          </cell>
          <cell r="H98">
            <v>1417.2545187608468</v>
          </cell>
          <cell r="I98">
            <v>7.0501178191489364E-2</v>
          </cell>
          <cell r="J98">
            <v>905.6613453828478</v>
          </cell>
          <cell r="K98">
            <v>43.672206928191486</v>
          </cell>
          <cell r="L98">
            <v>5916.3569299856499</v>
          </cell>
          <cell r="M98">
            <v>5.1869056888297873</v>
          </cell>
          <cell r="N98">
            <v>4437.660846606308</v>
          </cell>
          <cell r="O98">
            <v>7.3330232340425541</v>
          </cell>
          <cell r="P98">
            <v>14239.115910864415</v>
          </cell>
          <cell r="Q98">
            <v>70506.428178449991</v>
          </cell>
        </row>
        <row r="100">
          <cell r="Q100">
            <v>3750.4922080523152</v>
          </cell>
        </row>
        <row r="101">
          <cell r="Q101">
            <v>795.1636345802176</v>
          </cell>
        </row>
        <row r="102">
          <cell r="Q102">
            <v>809.71192037800085</v>
          </cell>
        </row>
      </sheetData>
      <sheetData sheetId="1"/>
      <sheetData sheetId="2">
        <row r="15">
          <cell r="AX15">
            <v>7616.7554398392167</v>
          </cell>
        </row>
        <row r="69">
          <cell r="AX69">
            <v>1173.4058574156247</v>
          </cell>
        </row>
        <row r="86">
          <cell r="AX86">
            <v>0</v>
          </cell>
        </row>
        <row r="90">
          <cell r="AX90">
            <v>70.210521375000013</v>
          </cell>
        </row>
        <row r="105">
          <cell r="AX105">
            <v>4.8072952127659573E-3</v>
          </cell>
        </row>
        <row r="118">
          <cell r="AX118">
            <v>16.976041590425535</v>
          </cell>
        </row>
        <row r="120">
          <cell r="AX120">
            <v>367.64191743882975</v>
          </cell>
        </row>
        <row r="122">
          <cell r="AX122">
            <v>357.40857755166769</v>
          </cell>
        </row>
        <row r="130">
          <cell r="AX130">
            <v>777.18197966433786</v>
          </cell>
        </row>
        <row r="141">
          <cell r="AX141">
            <v>1482.6905643472799</v>
          </cell>
        </row>
        <row r="170">
          <cell r="AX170">
            <v>4.1433282313829617E-2</v>
          </cell>
        </row>
        <row r="186">
          <cell r="AX186">
            <v>34561.338031723557</v>
          </cell>
        </row>
        <row r="187">
          <cell r="AX187">
            <v>1454.6157460472568</v>
          </cell>
        </row>
        <row r="188">
          <cell r="AX188">
            <v>613.71570155792756</v>
          </cell>
        </row>
        <row r="189">
          <cell r="AX189">
            <v>8884.9700415148836</v>
          </cell>
        </row>
        <row r="190">
          <cell r="AX190">
            <v>243.434343766864</v>
          </cell>
        </row>
        <row r="191">
          <cell r="AX191">
            <v>163.14714357188325</v>
          </cell>
        </row>
        <row r="192">
          <cell r="AX192">
            <v>5056.4613656843139</v>
          </cell>
        </row>
        <row r="193">
          <cell r="AX193">
            <v>6514.928840812976</v>
          </cell>
        </row>
        <row r="199">
          <cell r="AX199">
            <v>303.4531626047015</v>
          </cell>
        </row>
        <row r="200">
          <cell r="AX200">
            <v>20.914666418288625</v>
          </cell>
        </row>
        <row r="201">
          <cell r="AX201">
            <v>130.12320275082413</v>
          </cell>
        </row>
        <row r="202">
          <cell r="AX202">
            <v>0.23719267287234042</v>
          </cell>
        </row>
        <row r="203">
          <cell r="AX203">
            <v>370.12542131648934</v>
          </cell>
        </row>
        <row r="204">
          <cell r="AX204">
            <v>177.55369413921039</v>
          </cell>
        </row>
        <row r="229">
          <cell r="AX229">
            <v>0.52767402101663496</v>
          </cell>
        </row>
      </sheetData>
      <sheetData sheetId="3">
        <row r="15">
          <cell r="AH15">
            <v>5100.1983937719287</v>
          </cell>
        </row>
        <row r="69">
          <cell r="AH69">
            <v>2151.2522767545197</v>
          </cell>
        </row>
        <row r="86">
          <cell r="AH86">
            <v>0</v>
          </cell>
        </row>
        <row r="90">
          <cell r="AH90">
            <v>0</v>
          </cell>
        </row>
        <row r="105">
          <cell r="AH105">
            <v>0</v>
          </cell>
        </row>
        <row r="118">
          <cell r="AH118">
            <v>3.1859042553191489E-3</v>
          </cell>
        </row>
        <row r="120">
          <cell r="AH120">
            <v>0</v>
          </cell>
        </row>
        <row r="122">
          <cell r="AH122">
            <v>133.02989788937722</v>
          </cell>
        </row>
        <row r="130">
          <cell r="AH130">
            <v>2815.2996659128121</v>
          </cell>
        </row>
        <row r="141">
          <cell r="AH141">
            <v>2085.4064243822563</v>
          </cell>
        </row>
        <row r="170">
          <cell r="AH170">
            <v>92.819588434867029</v>
          </cell>
        </row>
        <row r="186">
          <cell r="AH186">
            <v>42727.46679919368</v>
          </cell>
        </row>
        <row r="187">
          <cell r="AH187">
            <v>0</v>
          </cell>
        </row>
        <row r="188">
          <cell r="AH188">
            <v>454.07873597055431</v>
          </cell>
        </row>
        <row r="189">
          <cell r="AH189">
            <v>806.586999929277</v>
          </cell>
        </row>
        <row r="190">
          <cell r="AH190">
            <v>1417.3142561432935</v>
          </cell>
        </row>
        <row r="191">
          <cell r="AH191">
            <v>905.74327699103935</v>
          </cell>
        </row>
        <row r="192">
          <cell r="AH192">
            <v>5960.0533061540555</v>
          </cell>
        </row>
        <row r="193">
          <cell r="AH193">
            <v>4442.8747925596472</v>
          </cell>
        </row>
        <row r="199">
          <cell r="AH199">
            <v>31.379537655089642</v>
          </cell>
        </row>
        <row r="200">
          <cell r="AH200">
            <v>3.4582446808510636E-5</v>
          </cell>
        </row>
        <row r="201">
          <cell r="AH201">
            <v>0</v>
          </cell>
        </row>
        <row r="202">
          <cell r="AH202">
            <v>0</v>
          </cell>
        </row>
        <row r="203">
          <cell r="AH203">
            <v>4.7606382978723407E-6</v>
          </cell>
        </row>
        <row r="204">
          <cell r="AH204">
            <v>888.31415525387638</v>
          </cell>
        </row>
        <row r="229">
          <cell r="AH229">
            <v>221.0034231308463</v>
          </cell>
        </row>
        <row r="272">
          <cell r="AH272">
            <v>70506.620278258837</v>
          </cell>
        </row>
      </sheetData>
      <sheetData sheetId="4">
        <row r="14">
          <cell r="D14">
            <v>21552.98765692451</v>
          </cell>
          <cell r="G14">
            <v>23670.328578162349</v>
          </cell>
        </row>
        <row r="16">
          <cell r="D16">
            <v>38582.971878683493</v>
          </cell>
          <cell r="G16">
            <v>42814.300380337729</v>
          </cell>
        </row>
        <row r="17">
          <cell r="D17">
            <v>241.76826784394115</v>
          </cell>
          <cell r="G17">
            <v>247.75421519391563</v>
          </cell>
        </row>
        <row r="18">
          <cell r="D18">
            <v>2.5737245551881389</v>
          </cell>
          <cell r="G18">
            <v>171.11116502954704</v>
          </cell>
        </row>
        <row r="19">
          <cell r="D19">
            <v>2.2885728781176811</v>
          </cell>
          <cell r="G19">
            <v>2.4565512253851178</v>
          </cell>
        </row>
        <row r="20">
          <cell r="D20">
            <v>1426.4194558250169</v>
          </cell>
          <cell r="G20">
            <v>991.43259009108124</v>
          </cell>
        </row>
        <row r="21">
          <cell r="D21">
            <v>5681.8621854184848</v>
          </cell>
          <cell r="G21">
            <v>1507.6655394107825</v>
          </cell>
        </row>
        <row r="22">
          <cell r="D22">
            <v>2384.9152504849999</v>
          </cell>
          <cell r="G22">
            <v>676.21259583261076</v>
          </cell>
        </row>
        <row r="23">
          <cell r="D23">
            <v>630.82784406240023</v>
          </cell>
          <cell r="G23">
            <v>425.37282788144279</v>
          </cell>
        </row>
        <row r="24">
          <cell r="G24">
            <v>70506.634443164847</v>
          </cell>
        </row>
      </sheetData>
      <sheetData sheetId="5"/>
      <sheetData sheetId="6"/>
      <sheetData sheetId="7"/>
      <sheetData sheetId="8"/>
      <sheetData sheetId="9"/>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14">
          <cell r="C14">
            <v>2.2200572579787234</v>
          </cell>
          <cell r="D14">
            <v>0</v>
          </cell>
          <cell r="E14">
            <v>0</v>
          </cell>
          <cell r="F14">
            <v>0</v>
          </cell>
          <cell r="G14">
            <v>0</v>
          </cell>
          <cell r="H14">
            <v>0</v>
          </cell>
          <cell r="I14">
            <v>0</v>
          </cell>
          <cell r="J14">
            <v>0</v>
          </cell>
          <cell r="K14">
            <v>0</v>
          </cell>
          <cell r="L14">
            <v>0</v>
          </cell>
          <cell r="M14">
            <v>0</v>
          </cell>
          <cell r="N14">
            <v>0</v>
          </cell>
          <cell r="O14">
            <v>609.03901061968088</v>
          </cell>
          <cell r="P14">
            <v>277.46645404664918</v>
          </cell>
        </row>
        <row r="18">
          <cell r="C18">
            <v>283.60685718617026</v>
          </cell>
          <cell r="D18">
            <v>2409.7360552932341</v>
          </cell>
          <cell r="E18">
            <v>68.652071204787219</v>
          </cell>
          <cell r="F18">
            <v>2631.0842435502032</v>
          </cell>
          <cell r="G18">
            <v>25.238353327127658</v>
          </cell>
          <cell r="H18">
            <v>119.23282542765958</v>
          </cell>
          <cell r="I18">
            <v>1.6075552260638297</v>
          </cell>
          <cell r="J18">
            <v>76.268633512224824</v>
          </cell>
          <cell r="K18">
            <v>12.816016909574468</v>
          </cell>
          <cell r="L18">
            <v>84.278408579577615</v>
          </cell>
          <cell r="M18">
            <v>62.15231083510637</v>
          </cell>
          <cell r="N18">
            <v>4147.4560266734024</v>
          </cell>
          <cell r="O18">
            <v>16.337010845744679</v>
          </cell>
          <cell r="P18">
            <v>8561.9057206886446</v>
          </cell>
        </row>
        <row r="22">
          <cell r="E22">
            <v>123.07982928457461</v>
          </cell>
          <cell r="F22">
            <v>249.0472663121397</v>
          </cell>
          <cell r="G22">
            <v>56.126875223404248</v>
          </cell>
          <cell r="H22">
            <v>17.865850076011277</v>
          </cell>
          <cell r="I22">
            <v>17.833725321808512</v>
          </cell>
          <cell r="J22">
            <v>232.02003033685594</v>
          </cell>
          <cell r="K22">
            <v>78.239812788978838</v>
          </cell>
          <cell r="L22">
            <v>4992.7914524760672</v>
          </cell>
          <cell r="M22">
            <v>124.2947505930851</v>
          </cell>
          <cell r="N22">
            <v>1796.3660515595841</v>
          </cell>
          <cell r="O22">
            <v>185.32611842819145</v>
          </cell>
          <cell r="P22">
            <v>3486.8379751360389</v>
          </cell>
        </row>
        <row r="23">
          <cell r="C23">
            <v>867.45735852734038</v>
          </cell>
          <cell r="D23">
            <v>45.368218531382979</v>
          </cell>
        </row>
        <row r="24">
          <cell r="C24">
            <v>158.18199799702128</v>
          </cell>
          <cell r="D24">
            <v>42.343412946835109</v>
          </cell>
        </row>
        <row r="25">
          <cell r="C25">
            <v>244.67457855053195</v>
          </cell>
          <cell r="D25">
            <v>371.39059238630256</v>
          </cell>
        </row>
        <row r="26">
          <cell r="C26">
            <v>491.14541814095736</v>
          </cell>
          <cell r="D26">
            <v>1733.6733002804121</v>
          </cell>
        </row>
        <row r="27">
          <cell r="C27">
            <v>3725.7123446040655</v>
          </cell>
          <cell r="D27">
            <v>2932.9983281532859</v>
          </cell>
        </row>
        <row r="28">
          <cell r="C28">
            <v>10647.647352138432</v>
          </cell>
          <cell r="D28">
            <v>1400.6581963185688</v>
          </cell>
        </row>
        <row r="29">
          <cell r="C29">
            <v>527.05982753593082</v>
          </cell>
          <cell r="D29">
            <v>135.64879190063829</v>
          </cell>
        </row>
        <row r="30">
          <cell r="C30">
            <v>0</v>
          </cell>
          <cell r="D30">
            <v>458</v>
          </cell>
          <cell r="E30">
            <v>0</v>
          </cell>
          <cell r="F30">
            <v>0</v>
          </cell>
          <cell r="G30">
            <v>0</v>
          </cell>
          <cell r="H30">
            <v>0</v>
          </cell>
          <cell r="I30">
            <v>0</v>
          </cell>
          <cell r="J30">
            <v>0</v>
          </cell>
          <cell r="K30">
            <v>0</v>
          </cell>
          <cell r="L30">
            <v>0</v>
          </cell>
          <cell r="M30">
            <v>0</v>
          </cell>
          <cell r="N30">
            <v>0</v>
          </cell>
          <cell r="O30">
            <v>0</v>
          </cell>
          <cell r="P30">
            <v>604.24471804539894</v>
          </cell>
        </row>
        <row r="31">
          <cell r="C31">
            <v>0</v>
          </cell>
          <cell r="D31">
            <v>42.986044620666867</v>
          </cell>
          <cell r="E31">
            <v>0</v>
          </cell>
          <cell r="F31">
            <v>2.4660627505053196</v>
          </cell>
          <cell r="G31">
            <v>0</v>
          </cell>
          <cell r="H31">
            <v>0.40510661335106379</v>
          </cell>
          <cell r="I31">
            <v>0</v>
          </cell>
          <cell r="J31">
            <v>0</v>
          </cell>
          <cell r="K31">
            <v>0</v>
          </cell>
          <cell r="L31">
            <v>1.8653679255319151E-2</v>
          </cell>
          <cell r="M31">
            <v>0</v>
          </cell>
          <cell r="N31">
            <v>22.920828181290513</v>
          </cell>
          <cell r="O31">
            <v>0</v>
          </cell>
          <cell r="P31">
            <v>61.646073993461982</v>
          </cell>
        </row>
        <row r="32">
          <cell r="E32"/>
          <cell r="F32"/>
          <cell r="G32"/>
          <cell r="H32"/>
          <cell r="I32"/>
          <cell r="J32"/>
          <cell r="K32"/>
          <cell r="L32"/>
          <cell r="M32"/>
          <cell r="N32"/>
          <cell r="O32">
            <v>0</v>
          </cell>
          <cell r="P32">
            <v>0</v>
          </cell>
        </row>
        <row r="33">
          <cell r="C33">
            <v>9.276629366319149</v>
          </cell>
          <cell r="D33">
            <v>2865.2180100698938</v>
          </cell>
          <cell r="E33">
            <v>0</v>
          </cell>
          <cell r="F33">
            <v>0</v>
          </cell>
          <cell r="G33">
            <v>0</v>
          </cell>
          <cell r="H33">
            <v>0</v>
          </cell>
          <cell r="I33">
            <v>0</v>
          </cell>
          <cell r="J33">
            <v>0</v>
          </cell>
          <cell r="K33">
            <v>0</v>
          </cell>
          <cell r="L33">
            <v>0</v>
          </cell>
          <cell r="M33">
            <v>0</v>
          </cell>
          <cell r="N33">
            <v>2.7670122015915115E-2</v>
          </cell>
          <cell r="O33">
            <v>1.1170853572340425</v>
          </cell>
          <cell r="P33">
            <v>341.09703569417968</v>
          </cell>
        </row>
        <row r="34">
          <cell r="C34">
            <v>1390.0800391642099</v>
          </cell>
          <cell r="D34">
            <v>1679.173540695615</v>
          </cell>
          <cell r="E34">
            <v>24.468085106382976</v>
          </cell>
          <cell r="F34">
            <v>2809.1547717194144</v>
          </cell>
          <cell r="G34">
            <v>0</v>
          </cell>
          <cell r="H34">
            <v>0</v>
          </cell>
          <cell r="I34">
            <v>0.26595744680851063</v>
          </cell>
          <cell r="J34">
            <v>0</v>
          </cell>
          <cell r="K34">
            <v>0.53191489361702127</v>
          </cell>
          <cell r="L34">
            <v>14.759718749999999</v>
          </cell>
          <cell r="M34">
            <v>7.7138803191489353</v>
          </cell>
          <cell r="N34">
            <v>14.759718749999999</v>
          </cell>
          <cell r="O34">
            <v>0</v>
          </cell>
          <cell r="P34">
            <v>10</v>
          </cell>
        </row>
        <row r="36">
          <cell r="C36">
            <v>592.59812534737443</v>
          </cell>
          <cell r="D36">
            <v>-38.979966661343667</v>
          </cell>
          <cell r="E36">
            <v>37.019399007039901</v>
          </cell>
          <cell r="F36">
            <v>1839.2597718598956</v>
          </cell>
          <cell r="G36">
            <v>0</v>
          </cell>
          <cell r="H36">
            <v>1.0872293196797709</v>
          </cell>
          <cell r="I36">
            <v>0</v>
          </cell>
          <cell r="J36">
            <v>1.3179048120165677</v>
          </cell>
          <cell r="K36">
            <v>0</v>
          </cell>
          <cell r="L36">
            <v>32.949321764615945</v>
          </cell>
          <cell r="M36">
            <v>0</v>
          </cell>
          <cell r="N36">
            <v>7.4839613712653126</v>
          </cell>
          <cell r="O36">
            <v>148.71282480160414</v>
          </cell>
          <cell r="P36">
            <v>760.68057522651179</v>
          </cell>
        </row>
        <row r="37">
          <cell r="C37">
            <v>843.76550469079666</v>
          </cell>
          <cell r="D37">
            <v>872.93608446878477</v>
          </cell>
          <cell r="E37">
            <v>5.2575189627658753E-2</v>
          </cell>
          <cell r="F37">
            <v>402.40550540455234</v>
          </cell>
          <cell r="G37">
            <v>3.0938031914893617E-4</v>
          </cell>
          <cell r="H37">
            <v>8.0503905899158151E-2</v>
          </cell>
          <cell r="I37">
            <v>0</v>
          </cell>
          <cell r="J37">
            <v>2.3334192569414124E-3</v>
          </cell>
          <cell r="K37">
            <v>2.5981260851063736E-2</v>
          </cell>
          <cell r="L37">
            <v>7.5113291184103277</v>
          </cell>
          <cell r="M37">
            <v>3.8045680904253948E-2</v>
          </cell>
          <cell r="N37">
            <v>0.41227284057586899</v>
          </cell>
          <cell r="O37">
            <v>3.9091753138294362E-2</v>
          </cell>
          <cell r="P37">
            <v>49.802458567870019</v>
          </cell>
        </row>
        <row r="38">
          <cell r="C38">
            <v>19783.426090507128</v>
          </cell>
          <cell r="D38">
            <v>14951.150609004277</v>
          </cell>
          <cell r="E38">
            <v>253.27195979241236</v>
          </cell>
          <cell r="F38">
            <v>7933.41762159671</v>
          </cell>
          <cell r="G38">
            <v>81.365537930851062</v>
          </cell>
          <cell r="H38">
            <v>138.67151534260083</v>
          </cell>
          <cell r="I38">
            <v>19.707237994680852</v>
          </cell>
          <cell r="J38">
            <v>309.60890208035431</v>
          </cell>
          <cell r="K38">
            <v>91.613725853021407</v>
          </cell>
          <cell r="L38">
            <v>5132.3088843679261</v>
          </cell>
          <cell r="M38">
            <v>194.19898742824464</v>
          </cell>
          <cell r="N38">
            <v>5989.4265294981333</v>
          </cell>
          <cell r="O38">
            <v>960.57114180559347</v>
          </cell>
          <cell r="P38">
            <v>14153.681011398756</v>
          </cell>
          <cell r="Q38">
            <v>69992.419754600691</v>
          </cell>
        </row>
        <row r="40">
          <cell r="Q40">
            <v>3573.1099883271277</v>
          </cell>
        </row>
        <row r="41">
          <cell r="Q41">
            <v>812.29758295630802</v>
          </cell>
        </row>
        <row r="42">
          <cell r="Q42">
            <v>805.82907310401629</v>
          </cell>
        </row>
        <row r="68">
          <cell r="C68">
            <v>552.78334722866123</v>
          </cell>
          <cell r="D68">
            <v>175.66238308595914</v>
          </cell>
        </row>
        <row r="69">
          <cell r="C69">
            <v>2792.173123101064</v>
          </cell>
          <cell r="D69">
            <v>20.000000002659576</v>
          </cell>
          <cell r="E69">
            <v>0</v>
          </cell>
          <cell r="F69">
            <v>0.7978723404255319</v>
          </cell>
          <cell r="G69">
            <v>0</v>
          </cell>
          <cell r="H69">
            <v>1.0638297872340425</v>
          </cell>
          <cell r="I69">
            <v>0</v>
          </cell>
          <cell r="J69">
            <v>0</v>
          </cell>
          <cell r="K69">
            <v>0</v>
          </cell>
          <cell r="L69">
            <v>1.8617021276595744</v>
          </cell>
          <cell r="M69">
            <v>0</v>
          </cell>
          <cell r="N69">
            <v>2.3936170212765959</v>
          </cell>
          <cell r="O69">
            <v>0</v>
          </cell>
          <cell r="P69">
            <v>15.691489361702128</v>
          </cell>
        </row>
        <row r="72">
          <cell r="C72">
            <v>990.92438377439692</v>
          </cell>
          <cell r="D72">
            <v>1149.441899122867</v>
          </cell>
          <cell r="E72">
            <v>0</v>
          </cell>
          <cell r="F72">
            <v>584.6922946136483</v>
          </cell>
          <cell r="G72">
            <v>-1.2819148936170214E-5</v>
          </cell>
          <cell r="H72">
            <v>10.942670716682787</v>
          </cell>
          <cell r="I72">
            <v>0</v>
          </cell>
          <cell r="J72">
            <v>11.286791722929332</v>
          </cell>
          <cell r="K72">
            <v>-3.0914893617021278E-5</v>
          </cell>
          <cell r="L72">
            <v>607.23303882434004</v>
          </cell>
          <cell r="M72">
            <v>-6.0444148936170213E-5</v>
          </cell>
          <cell r="N72">
            <v>1012.5470901590577</v>
          </cell>
          <cell r="O72">
            <v>1.3840324468085105E-2</v>
          </cell>
          <cell r="P72">
            <v>3479.1324061875439</v>
          </cell>
        </row>
        <row r="76">
          <cell r="E76">
            <v>18.311070726063829</v>
          </cell>
          <cell r="F76">
            <v>31.558827360034424</v>
          </cell>
          <cell r="G76">
            <v>6.5596534574468096E-2</v>
          </cell>
          <cell r="H76">
            <v>201.33610184718086</v>
          </cell>
          <cell r="I76">
            <v>7.120641223404256E-2</v>
          </cell>
          <cell r="J76">
            <v>915.51394639021441</v>
          </cell>
          <cell r="K76">
            <v>36.105914643617027</v>
          </cell>
          <cell r="L76">
            <v>1723.5909011727201</v>
          </cell>
          <cell r="M76">
            <v>5.4549790664893614</v>
          </cell>
          <cell r="N76">
            <v>954.11917678946804</v>
          </cell>
          <cell r="O76">
            <v>7.2089281994680849</v>
          </cell>
          <cell r="P76">
            <v>2464.4167369764587</v>
          </cell>
        </row>
        <row r="77">
          <cell r="C77">
            <v>452.51178732978701</v>
          </cell>
          <cell r="D77">
            <v>1173.542937464654</v>
          </cell>
        </row>
        <row r="78">
          <cell r="C78">
            <v>0</v>
          </cell>
          <cell r="D78">
            <v>0</v>
          </cell>
        </row>
        <row r="79">
          <cell r="C79">
            <v>77.776286257978697</v>
          </cell>
          <cell r="D79">
            <v>339.48984383015954</v>
          </cell>
        </row>
        <row r="80">
          <cell r="C80">
            <v>118.55738088031916</v>
          </cell>
          <cell r="D80">
            <v>1237.1272906391757</v>
          </cell>
        </row>
        <row r="81">
          <cell r="C81">
            <v>4117.4897576396161</v>
          </cell>
          <cell r="D81">
            <v>1978.96271639163</v>
          </cell>
        </row>
        <row r="82">
          <cell r="C82">
            <v>8636.7824898162598</v>
          </cell>
          <cell r="D82">
            <v>376.18605755936017</v>
          </cell>
        </row>
        <row r="83">
          <cell r="C83">
            <v>125.89333885904254</v>
          </cell>
          <cell r="D83">
            <v>103.98936170212767</v>
          </cell>
        </row>
        <row r="84">
          <cell r="E84">
            <v>2.6525199999999998E-3</v>
          </cell>
          <cell r="F84">
            <v>187.60851110159578</v>
          </cell>
          <cell r="G84">
            <v>0</v>
          </cell>
          <cell r="H84">
            <v>1001.3949433269944</v>
          </cell>
          <cell r="I84">
            <v>0</v>
          </cell>
          <cell r="J84">
            <v>129.70372635607384</v>
          </cell>
          <cell r="K84">
            <v>0</v>
          </cell>
          <cell r="L84">
            <v>3111.1664159193883</v>
          </cell>
          <cell r="M84">
            <v>-1.1873311170212765E-2</v>
          </cell>
          <cell r="N84">
            <v>2159.6965860595542</v>
          </cell>
          <cell r="O84">
            <v>0</v>
          </cell>
          <cell r="P84">
            <v>5766.2939538476512</v>
          </cell>
        </row>
        <row r="86">
          <cell r="C86">
            <v>1798.8025249831469</v>
          </cell>
          <cell r="D86">
            <v>7476.4255296984647</v>
          </cell>
        </row>
        <row r="89">
          <cell r="C89">
            <v>5.8309141063829779</v>
          </cell>
          <cell r="D89">
            <v>1336.335344156055</v>
          </cell>
        </row>
        <row r="92">
          <cell r="C92">
            <v>903.13708550223384</v>
          </cell>
          <cell r="D92">
            <v>828.18836200772739</v>
          </cell>
        </row>
        <row r="93">
          <cell r="C93">
            <v>-0.49536702659574494</v>
          </cell>
          <cell r="D93">
            <v>14.151996523770601</v>
          </cell>
          <cell r="E93">
            <v>0</v>
          </cell>
          <cell r="F93">
            <v>0.82238767968085114</v>
          </cell>
          <cell r="G93">
            <v>0</v>
          </cell>
          <cell r="H93">
            <v>0</v>
          </cell>
          <cell r="I93">
            <v>0</v>
          </cell>
          <cell r="J93">
            <v>0</v>
          </cell>
          <cell r="K93">
            <v>0</v>
          </cell>
          <cell r="L93">
            <v>0.5780063433244681</v>
          </cell>
          <cell r="M93">
            <v>0</v>
          </cell>
          <cell r="N93">
            <v>54.110156330732295</v>
          </cell>
          <cell r="O93">
            <v>0</v>
          </cell>
          <cell r="P93">
            <v>196.45965219437605</v>
          </cell>
        </row>
        <row r="94">
          <cell r="E94"/>
          <cell r="F94"/>
          <cell r="G94"/>
          <cell r="H94"/>
          <cell r="I94"/>
          <cell r="J94"/>
          <cell r="K94"/>
          <cell r="L94"/>
          <cell r="M94"/>
          <cell r="N94"/>
          <cell r="O94">
            <v>0</v>
          </cell>
          <cell r="P94">
            <v>0</v>
          </cell>
        </row>
        <row r="95">
          <cell r="C95">
            <v>1253.4277413351062</v>
          </cell>
          <cell r="D95">
            <v>1861.2492406811707</v>
          </cell>
          <cell r="E95">
            <v>0</v>
          </cell>
          <cell r="F95">
            <v>0</v>
          </cell>
          <cell r="G95">
            <v>0</v>
          </cell>
          <cell r="H95">
            <v>0</v>
          </cell>
          <cell r="I95">
            <v>0</v>
          </cell>
          <cell r="J95">
            <v>0</v>
          </cell>
          <cell r="K95">
            <v>0</v>
          </cell>
          <cell r="L95">
            <v>0</v>
          </cell>
          <cell r="M95">
            <v>0</v>
          </cell>
          <cell r="N95">
            <v>16.474342440318303</v>
          </cell>
          <cell r="O95">
            <v>0</v>
          </cell>
          <cell r="P95">
            <v>1417.4969961187564</v>
          </cell>
        </row>
        <row r="96">
          <cell r="C96">
            <v>312.60203001812181</v>
          </cell>
          <cell r="D96">
            <v>20.583094065558512</v>
          </cell>
        </row>
        <row r="97">
          <cell r="C97">
            <v>1522.3180567407419</v>
          </cell>
          <cell r="D97">
            <v>1092.3453638904014</v>
          </cell>
          <cell r="E97">
            <v>1.0142728723404278E-3</v>
          </cell>
          <cell r="F97">
            <v>0.10322016957446808</v>
          </cell>
          <cell r="G97">
            <v>7.7933510638297896E-5</v>
          </cell>
          <cell r="H97">
            <v>5.4904996808510641E-3</v>
          </cell>
          <cell r="I97">
            <v>5.6912234042553187E-5</v>
          </cell>
          <cell r="J97">
            <v>1.085106382978723E-5</v>
          </cell>
          <cell r="K97">
            <v>7.1879522898936186</v>
          </cell>
          <cell r="L97">
            <v>63.584984026063815</v>
          </cell>
          <cell r="M97">
            <v>4.5214394202127659</v>
          </cell>
          <cell r="N97">
            <v>225.10616634819146</v>
          </cell>
          <cell r="O97">
            <v>2.1402393617021528E-4</v>
          </cell>
          <cell r="P97">
            <v>720.34946681975725</v>
          </cell>
        </row>
        <row r="98">
          <cell r="C98">
            <v>23660.514880546263</v>
          </cell>
          <cell r="D98">
            <v>19183.681420821747</v>
          </cell>
          <cell r="E98">
            <v>18.31473751893617</v>
          </cell>
          <cell r="F98">
            <v>805.58311326495948</v>
          </cell>
          <cell r="G98">
            <v>6.5661648936170228E-2</v>
          </cell>
          <cell r="H98">
            <v>1214.7430361777731</v>
          </cell>
          <cell r="I98">
            <v>7.1263324468085115E-2</v>
          </cell>
          <cell r="J98">
            <v>1056.5044753202812</v>
          </cell>
          <cell r="K98">
            <v>43.293836018617029</v>
          </cell>
          <cell r="L98">
            <v>5508.0150484134965</v>
          </cell>
          <cell r="M98">
            <v>9.9644847313829779</v>
          </cell>
          <cell r="N98">
            <v>4424.447135148599</v>
          </cell>
          <cell r="O98">
            <v>7.2229825478723404</v>
          </cell>
          <cell r="P98">
            <v>14059.840701506248</v>
          </cell>
          <cell r="Q98">
            <v>69992.262776989577</v>
          </cell>
        </row>
        <row r="100">
          <cell r="Q100">
            <v>3554.204217842414</v>
          </cell>
        </row>
        <row r="101">
          <cell r="Q101">
            <v>812.47816628637088</v>
          </cell>
        </row>
        <row r="102">
          <cell r="Q102">
            <v>805.82907310401617</v>
          </cell>
        </row>
      </sheetData>
      <sheetData sheetId="1"/>
      <sheetData sheetId="2">
        <row r="15">
          <cell r="AX15">
            <v>7533.1737386671384</v>
          </cell>
        </row>
        <row r="69">
          <cell r="AX69">
            <v>1195.4375913215936</v>
          </cell>
        </row>
        <row r="86">
          <cell r="AX86">
            <v>0</v>
          </cell>
        </row>
        <row r="90">
          <cell r="AX90">
            <v>74.859115513297866</v>
          </cell>
        </row>
        <row r="105">
          <cell r="AX105">
            <v>4.8072952127659573E-3</v>
          </cell>
        </row>
        <row r="118">
          <cell r="AX118">
            <v>13.541540848404255</v>
          </cell>
        </row>
        <row r="120">
          <cell r="AX120">
            <v>414.08499954521278</v>
          </cell>
        </row>
        <row r="122">
          <cell r="AX122">
            <v>339.57560992625849</v>
          </cell>
        </row>
        <row r="130">
          <cell r="AX130">
            <v>731.8033813149824</v>
          </cell>
        </row>
        <row r="141">
          <cell r="AX141">
            <v>1499.7645917037773</v>
          </cell>
        </row>
        <row r="170">
          <cell r="AX170">
            <v>4.9200785372340211E-2</v>
          </cell>
        </row>
        <row r="186">
          <cell r="AX186">
            <v>34734.581588362373</v>
          </cell>
        </row>
        <row r="187">
          <cell r="AX187">
            <v>1451.4383650509949</v>
          </cell>
        </row>
        <row r="188">
          <cell r="AX188">
            <v>646.24632383821745</v>
          </cell>
        </row>
        <row r="189">
          <cell r="AX189">
            <v>8186.6895813891297</v>
          </cell>
        </row>
        <row r="190">
          <cell r="AX190">
            <v>220.03705327345193</v>
          </cell>
        </row>
        <row r="191">
          <cell r="AX191">
            <v>329.31607721031378</v>
          </cell>
        </row>
        <row r="192">
          <cell r="AX192">
            <v>5223.8921324562543</v>
          </cell>
        </row>
        <row r="193">
          <cell r="AX193">
            <v>6183.6210149291092</v>
          </cell>
        </row>
        <row r="199">
          <cell r="AX199">
            <v>281.8694662792293</v>
          </cell>
        </row>
        <row r="200">
          <cell r="AX200">
            <v>19.866341677118424</v>
          </cell>
        </row>
        <row r="201">
          <cell r="AX201">
            <v>129.62251889656312</v>
          </cell>
        </row>
        <row r="202">
          <cell r="AX202">
            <v>0.23719267287234042</v>
          </cell>
        </row>
        <row r="203">
          <cell r="AX203">
            <v>427.10929303191483</v>
          </cell>
        </row>
        <row r="204">
          <cell r="AX204">
            <v>203.62599702456373</v>
          </cell>
        </row>
        <row r="229">
          <cell r="AX229">
            <v>0.5282048796476233</v>
          </cell>
        </row>
      </sheetData>
      <sheetData sheetId="3">
        <row r="15">
          <cell r="AH15">
            <v>4858.8484705027804</v>
          </cell>
        </row>
        <row r="69">
          <cell r="AH69">
            <v>2049.5633887641088</v>
          </cell>
        </row>
        <row r="86">
          <cell r="AH86">
            <v>0</v>
          </cell>
        </row>
        <row r="90">
          <cell r="AH90">
            <v>0</v>
          </cell>
        </row>
        <row r="105">
          <cell r="AH105">
            <v>0</v>
          </cell>
        </row>
        <row r="118">
          <cell r="AH118">
            <v>3.2079680851063827E-3</v>
          </cell>
        </row>
        <row r="120">
          <cell r="AH120">
            <v>0</v>
          </cell>
        </row>
        <row r="122">
          <cell r="AH122">
            <v>123.27290272462469</v>
          </cell>
        </row>
        <row r="130">
          <cell r="AH130">
            <v>3111.0635611377002</v>
          </cell>
        </row>
        <row r="141">
          <cell r="AH141">
            <v>2134.5169326342257</v>
          </cell>
        </row>
        <row r="170">
          <cell r="AH170">
            <v>72.857766498191495</v>
          </cell>
        </row>
        <row r="186">
          <cell r="AH186">
            <v>42844.200707609067</v>
          </cell>
        </row>
        <row r="187">
          <cell r="AH187">
            <v>0</v>
          </cell>
        </row>
        <row r="188">
          <cell r="AH188">
            <v>455.27021257595322</v>
          </cell>
        </row>
        <row r="189">
          <cell r="AH189">
            <v>823.89548892918549</v>
          </cell>
        </row>
        <row r="190">
          <cell r="AH190">
            <v>1214.8086975467093</v>
          </cell>
        </row>
        <row r="191">
          <cell r="AH191">
            <v>1056.5872319947493</v>
          </cell>
        </row>
        <row r="192">
          <cell r="AH192">
            <v>5551.3313465891988</v>
          </cell>
        </row>
        <row r="193">
          <cell r="AH193">
            <v>4434.3900283221828</v>
          </cell>
        </row>
        <row r="199">
          <cell r="AH199">
            <v>31.4442321785464</v>
          </cell>
        </row>
        <row r="200">
          <cell r="AH200">
            <v>2.1125000000000002E-5</v>
          </cell>
        </row>
        <row r="201">
          <cell r="AH201">
            <v>0</v>
          </cell>
        </row>
        <row r="202">
          <cell r="AH202">
            <v>0</v>
          </cell>
        </row>
        <row r="203">
          <cell r="AH203">
            <v>2.6595744680851061E-6</v>
          </cell>
        </row>
        <row r="204">
          <cell r="AH204">
            <v>840.88401812548238</v>
          </cell>
        </row>
        <row r="229">
          <cell r="AH229">
            <v>126.28816594843616</v>
          </cell>
        </row>
        <row r="272">
          <cell r="AH272">
            <v>69992.395569104905</v>
          </cell>
        </row>
      </sheetData>
      <sheetData sheetId="4">
        <row r="14">
          <cell r="D14">
            <v>21384.133212702021</v>
          </cell>
          <cell r="G14">
            <v>23739.444641290222</v>
          </cell>
        </row>
        <row r="16">
          <cell r="D16">
            <v>37938.374366495133</v>
          </cell>
          <cell r="G16">
            <v>42049.203737385971</v>
          </cell>
        </row>
        <row r="17">
          <cell r="D17">
            <v>246.49746440202034</v>
          </cell>
          <cell r="G17">
            <v>453.14865907305909</v>
          </cell>
        </row>
        <row r="18">
          <cell r="D18">
            <v>2.5954629628765931</v>
          </cell>
          <cell r="G18">
            <v>77.975945846392491</v>
          </cell>
        </row>
        <row r="19">
          <cell r="D19">
            <v>2.7963006862705302</v>
          </cell>
          <cell r="G19">
            <v>2.9037648086881784</v>
          </cell>
        </row>
        <row r="20">
          <cell r="D20">
            <v>1534.5951497834412</v>
          </cell>
          <cell r="G20">
            <v>1180.6595899528768</v>
          </cell>
        </row>
        <row r="21">
          <cell r="D21">
            <v>5920.3182004344344</v>
          </cell>
          <cell r="G21">
            <v>1481.1339478612226</v>
          </cell>
        </row>
        <row r="22">
          <cell r="D22">
            <v>2342.0289654467224</v>
          </cell>
          <cell r="G22">
            <v>589.59347983668192</v>
          </cell>
        </row>
        <row r="23">
          <cell r="D23">
            <v>621.08099680673752</v>
          </cell>
          <cell r="G23">
            <v>418.31815274198851</v>
          </cell>
        </row>
        <row r="24">
          <cell r="G24">
            <v>69992.381918797109</v>
          </cell>
        </row>
      </sheetData>
      <sheetData sheetId="5"/>
      <sheetData sheetId="6"/>
      <sheetData sheetId="7"/>
      <sheetData sheetId="8">
        <row r="16">
          <cell r="B16">
            <v>171.80851063829786</v>
          </cell>
          <cell r="C16">
            <v>214.45985002404254</v>
          </cell>
          <cell r="D16">
            <v>0</v>
          </cell>
          <cell r="E16">
            <v>205.6716552929787</v>
          </cell>
          <cell r="F16">
            <v>591.94001595531904</v>
          </cell>
          <cell r="G16">
            <v>12335.241116867035</v>
          </cell>
          <cell r="H16">
            <v>7289.2488240553457</v>
          </cell>
          <cell r="I16">
            <v>52.969948138684877</v>
          </cell>
          <cell r="J16">
            <v>8941.5758882905866</v>
          </cell>
          <cell r="K16">
            <v>28619.035777351655</v>
          </cell>
          <cell r="L16">
            <v>11889.383921512393</v>
          </cell>
          <cell r="M16">
            <v>11191.894668353038</v>
          </cell>
          <cell r="N16">
            <v>36.069399780251246</v>
          </cell>
          <cell r="O16">
            <v>18178.807253647301</v>
          </cell>
          <cell r="P16">
            <v>41296.155243292975</v>
          </cell>
          <cell r="Q16">
            <v>70507.131036599938</v>
          </cell>
        </row>
        <row r="17">
          <cell r="B17">
            <v>0</v>
          </cell>
          <cell r="C17">
            <v>0</v>
          </cell>
          <cell r="D17">
            <v>0</v>
          </cell>
          <cell r="E17">
            <v>0</v>
          </cell>
          <cell r="F17">
            <v>0</v>
          </cell>
          <cell r="G17">
            <v>146.54255319148936</v>
          </cell>
          <cell r="H17">
            <v>57.978723404255319</v>
          </cell>
          <cell r="I17">
            <v>0</v>
          </cell>
          <cell r="J17">
            <v>556.11702127659578</v>
          </cell>
          <cell r="K17">
            <v>760.63829787234044</v>
          </cell>
          <cell r="L17">
            <v>1730.6601061187853</v>
          </cell>
          <cell r="M17">
            <v>282.0410444320392</v>
          </cell>
          <cell r="N17">
            <v>0</v>
          </cell>
          <cell r="O17">
            <v>567.37379869525171</v>
          </cell>
          <cell r="P17">
            <v>2580.0749492460764</v>
          </cell>
          <cell r="Q17">
            <v>3340.7132471184168</v>
          </cell>
        </row>
        <row r="18">
          <cell r="B18">
            <v>0</v>
          </cell>
          <cell r="C18">
            <v>0</v>
          </cell>
          <cell r="D18">
            <v>0</v>
          </cell>
          <cell r="E18">
            <v>0</v>
          </cell>
          <cell r="F18">
            <v>0</v>
          </cell>
          <cell r="G18">
            <v>76.329787234042556</v>
          </cell>
          <cell r="H18">
            <v>1868.2495443430851</v>
          </cell>
          <cell r="I18">
            <v>0</v>
          </cell>
          <cell r="J18">
            <v>271.92601051861703</v>
          </cell>
          <cell r="K18">
            <v>2216.5053420957447</v>
          </cell>
          <cell r="L18">
            <v>1484.3026994490431</v>
          </cell>
          <cell r="M18">
            <v>6993.8055832752079</v>
          </cell>
          <cell r="N18">
            <v>-1.1873311170212765E-2</v>
          </cell>
          <cell r="O18">
            <v>8552.1281666490722</v>
          </cell>
          <cell r="P18">
            <v>17030.224576062152</v>
          </cell>
          <cell r="Q18">
            <v>19246.729918157896</v>
          </cell>
        </row>
        <row r="19">
          <cell r="B19">
            <v>171.80851063829786</v>
          </cell>
          <cell r="C19">
            <v>100.63006279</v>
          </cell>
          <cell r="D19">
            <v>0</v>
          </cell>
          <cell r="E19">
            <v>159.12910210148937</v>
          </cell>
          <cell r="F19">
            <v>431.56767552978721</v>
          </cell>
          <cell r="G19">
            <v>5798.6030811214014</v>
          </cell>
          <cell r="H19">
            <v>2923.2866977145768</v>
          </cell>
          <cell r="I19">
            <v>13.533530746258529</v>
          </cell>
          <cell r="J19">
            <v>5496.4187722613051</v>
          </cell>
          <cell r="K19">
            <v>14231.842081843544</v>
          </cell>
          <cell r="L19">
            <v>3376.3053772719463</v>
          </cell>
          <cell r="M19">
            <v>1286.8607337948613</v>
          </cell>
          <cell r="N19">
            <v>8.8637447510818905</v>
          </cell>
          <cell r="O19">
            <v>335.77122562824138</v>
          </cell>
          <cell r="P19">
            <v>5007.8010814461304</v>
          </cell>
          <cell r="Q19">
            <v>19671.210838819461</v>
          </cell>
        </row>
        <row r="20">
          <cell r="B20">
            <v>0</v>
          </cell>
          <cell r="C20">
            <v>0</v>
          </cell>
          <cell r="D20">
            <v>0</v>
          </cell>
          <cell r="E20">
            <v>9.0425531914893611</v>
          </cell>
          <cell r="F20">
            <v>9.0425531914893611</v>
          </cell>
          <cell r="G20">
            <v>4516.9549947994601</v>
          </cell>
          <cell r="H20">
            <v>874.70172730608624</v>
          </cell>
          <cell r="I20">
            <v>38.752151944148935</v>
          </cell>
          <cell r="J20">
            <v>324.11379220516903</v>
          </cell>
          <cell r="K20">
            <v>5754.5226662548648</v>
          </cell>
          <cell r="L20">
            <v>872.3404235531915</v>
          </cell>
          <cell r="M20">
            <v>266.24149884817689</v>
          </cell>
          <cell r="N20">
            <v>15.159574468085108</v>
          </cell>
          <cell r="O20">
            <v>9.2058436541181408</v>
          </cell>
          <cell r="P20">
            <v>1162.9473405235717</v>
          </cell>
          <cell r="Q20">
            <v>6926.5125599699259</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row>
        <row r="22">
          <cell r="B22">
            <v>0</v>
          </cell>
          <cell r="C22">
            <v>113.82978723404254</v>
          </cell>
          <cell r="D22">
            <v>0</v>
          </cell>
          <cell r="E22">
            <v>2.6595744680851063</v>
          </cell>
          <cell r="F22">
            <v>116.48936170212765</v>
          </cell>
          <cell r="G22">
            <v>991.33666744414631</v>
          </cell>
          <cell r="H22">
            <v>660.00593772872287</v>
          </cell>
          <cell r="I22">
            <v>0.24196823404255319</v>
          </cell>
          <cell r="J22">
            <v>46.55514587234056</v>
          </cell>
          <cell r="K22">
            <v>1698.1397192792524</v>
          </cell>
          <cell r="L22">
            <v>402.12765957446805</v>
          </cell>
          <cell r="M22">
            <v>101.59574468085107</v>
          </cell>
          <cell r="N22">
            <v>0</v>
          </cell>
          <cell r="O22">
            <v>0.53191489361702127</v>
          </cell>
          <cell r="P22">
            <v>504.25531914893611</v>
          </cell>
          <cell r="Q22">
            <v>2318.884400130316</v>
          </cell>
        </row>
        <row r="23">
          <cell r="B23">
            <v>0</v>
          </cell>
          <cell r="C23">
            <v>0</v>
          </cell>
          <cell r="D23">
            <v>0</v>
          </cell>
          <cell r="E23">
            <v>2.3936170212765959</v>
          </cell>
          <cell r="F23">
            <v>2.3936170212765959</v>
          </cell>
          <cell r="G23">
            <v>180.50870480851066</v>
          </cell>
          <cell r="H23">
            <v>0</v>
          </cell>
          <cell r="I23">
            <v>0</v>
          </cell>
          <cell r="J23">
            <v>4.7366481448066944</v>
          </cell>
          <cell r="K23">
            <v>185.24535295331737</v>
          </cell>
          <cell r="L23">
            <v>102.92553191489363</v>
          </cell>
          <cell r="M23">
            <v>0</v>
          </cell>
          <cell r="N23">
            <v>0</v>
          </cell>
          <cell r="O23">
            <v>0.99612587519330564</v>
          </cell>
          <cell r="P23">
            <v>103.92165779008693</v>
          </cell>
          <cell r="Q23">
            <v>291.56062776468087</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row>
        <row r="25">
          <cell r="B25">
            <v>0</v>
          </cell>
          <cell r="C25">
            <v>0</v>
          </cell>
          <cell r="D25">
            <v>0</v>
          </cell>
          <cell r="E25">
            <v>16.223404255319149</v>
          </cell>
          <cell r="F25">
            <v>16.223404255319149</v>
          </cell>
          <cell r="G25">
            <v>0</v>
          </cell>
          <cell r="H25">
            <v>0</v>
          </cell>
          <cell r="I25">
            <v>0</v>
          </cell>
          <cell r="J25">
            <v>0</v>
          </cell>
          <cell r="K25">
            <v>0</v>
          </cell>
          <cell r="L25">
            <v>19.421915640000002</v>
          </cell>
          <cell r="M25">
            <v>0</v>
          </cell>
          <cell r="N25">
            <v>0</v>
          </cell>
          <cell r="O25">
            <v>0</v>
          </cell>
          <cell r="P25">
            <v>19.421915640000002</v>
          </cell>
          <cell r="Q25">
            <v>35.645319895319147</v>
          </cell>
        </row>
        <row r="26">
          <cell r="B26">
            <v>0</v>
          </cell>
          <cell r="C26">
            <v>0</v>
          </cell>
          <cell r="D26">
            <v>0</v>
          </cell>
          <cell r="E26">
            <v>0</v>
          </cell>
          <cell r="F26">
            <v>0</v>
          </cell>
          <cell r="G26">
            <v>0</v>
          </cell>
          <cell r="H26">
            <v>99.850064362890208</v>
          </cell>
          <cell r="I26">
            <v>2.1916185590484258E-3</v>
          </cell>
          <cell r="J26">
            <v>1190.7818059140477</v>
          </cell>
          <cell r="K26">
            <v>1290.6340618954969</v>
          </cell>
          <cell r="L26">
            <v>330.67959844946802</v>
          </cell>
          <cell r="M26">
            <v>78.991224481645645</v>
          </cell>
          <cell r="N26">
            <v>4.6090144095157392E-4</v>
          </cell>
          <cell r="O26">
            <v>452.05861015342037</v>
          </cell>
          <cell r="P26">
            <v>861.72989398597497</v>
          </cell>
          <cell r="Q26">
            <v>2152.3639558814721</v>
          </cell>
        </row>
        <row r="27">
          <cell r="B27">
            <v>0</v>
          </cell>
          <cell r="C27">
            <v>0</v>
          </cell>
          <cell r="D27">
            <v>0</v>
          </cell>
          <cell r="E27">
            <v>0</v>
          </cell>
          <cell r="F27">
            <v>0</v>
          </cell>
          <cell r="G27">
            <v>0</v>
          </cell>
          <cell r="H27">
            <v>0</v>
          </cell>
          <cell r="I27">
            <v>0</v>
          </cell>
          <cell r="J27">
            <v>0</v>
          </cell>
          <cell r="K27">
            <v>0</v>
          </cell>
          <cell r="L27">
            <v>0</v>
          </cell>
          <cell r="M27">
            <v>0</v>
          </cell>
          <cell r="N27">
            <v>0</v>
          </cell>
          <cell r="O27">
            <v>405.7</v>
          </cell>
          <cell r="P27">
            <v>405.7</v>
          </cell>
          <cell r="Q27">
            <v>405.7</v>
          </cell>
        </row>
        <row r="28">
          <cell r="B28">
            <v>0</v>
          </cell>
          <cell r="C28">
            <v>0</v>
          </cell>
          <cell r="D28">
            <v>0</v>
          </cell>
          <cell r="E28">
            <v>0</v>
          </cell>
          <cell r="F28">
            <v>0</v>
          </cell>
          <cell r="G28">
            <v>0</v>
          </cell>
          <cell r="H28">
            <v>0</v>
          </cell>
          <cell r="I28">
            <v>0</v>
          </cell>
          <cell r="J28">
            <v>0</v>
          </cell>
          <cell r="K28">
            <v>0</v>
          </cell>
          <cell r="L28">
            <v>0</v>
          </cell>
          <cell r="M28">
            <v>2.9</v>
          </cell>
          <cell r="N28">
            <v>0</v>
          </cell>
          <cell r="O28">
            <v>0</v>
          </cell>
          <cell r="P28">
            <v>2.9</v>
          </cell>
          <cell r="Q28">
            <v>2.9</v>
          </cell>
        </row>
        <row r="29">
          <cell r="B29">
            <v>0</v>
          </cell>
          <cell r="C29">
            <v>0</v>
          </cell>
          <cell r="D29">
            <v>0</v>
          </cell>
          <cell r="E29">
            <v>0</v>
          </cell>
          <cell r="F29">
            <v>0</v>
          </cell>
          <cell r="G29">
            <v>0</v>
          </cell>
          <cell r="H29">
            <v>0</v>
          </cell>
          <cell r="I29">
            <v>0</v>
          </cell>
          <cell r="J29">
            <v>0</v>
          </cell>
          <cell r="K29">
            <v>0</v>
          </cell>
          <cell r="L29">
            <v>0.82768938297872341</v>
          </cell>
          <cell r="M29">
            <v>0</v>
          </cell>
          <cell r="N29">
            <v>0</v>
          </cell>
          <cell r="O29">
            <v>0</v>
          </cell>
          <cell r="P29">
            <v>0.82768938297872341</v>
          </cell>
          <cell r="Q29">
            <v>0.82768938297872341</v>
          </cell>
        </row>
        <row r="30">
          <cell r="B30">
            <v>0</v>
          </cell>
          <cell r="C30">
            <v>0</v>
          </cell>
          <cell r="D30">
            <v>0</v>
          </cell>
          <cell r="E30">
            <v>16.223404255319149</v>
          </cell>
          <cell r="F30">
            <v>16.223404255319149</v>
          </cell>
          <cell r="G30">
            <v>-8.1542553324255843E-6</v>
          </cell>
          <cell r="H30">
            <v>645.53570059668925</v>
          </cell>
          <cell r="I30">
            <v>0</v>
          </cell>
          <cell r="J30">
            <v>3.386246162152553E-3</v>
          </cell>
          <cell r="K30">
            <v>645.53907868859608</v>
          </cell>
          <cell r="L30">
            <v>1578.108592398936</v>
          </cell>
          <cell r="M30">
            <v>379.00878196107737</v>
          </cell>
          <cell r="N30">
            <v>0</v>
          </cell>
          <cell r="O30">
            <v>1517.6514004206144</v>
          </cell>
          <cell r="P30">
            <v>3474.7687747806276</v>
          </cell>
          <cell r="Q30">
            <v>4136.5312577245431</v>
          </cell>
        </row>
        <row r="31">
          <cell r="L31">
            <v>296.36847565212713</v>
          </cell>
          <cell r="M31">
            <v>72.444796193218082</v>
          </cell>
          <cell r="N31">
            <v>0</v>
          </cell>
          <cell r="O31">
            <v>0</v>
          </cell>
          <cell r="P31">
            <v>368.81327184534518</v>
          </cell>
          <cell r="Q31">
            <v>368.81327184534518</v>
          </cell>
        </row>
        <row r="32">
          <cell r="L32">
            <v>161.51674297105686</v>
          </cell>
          <cell r="M32">
            <v>657.67034769284885</v>
          </cell>
          <cell r="N32">
            <v>0</v>
          </cell>
          <cell r="O32">
            <v>3767.2067437449582</v>
          </cell>
          <cell r="P32">
            <v>4586.3938344088638</v>
          </cell>
          <cell r="Q32">
            <v>4586.3938344088638</v>
          </cell>
        </row>
        <row r="33">
          <cell r="B33">
            <v>0</v>
          </cell>
          <cell r="C33">
            <v>0</v>
          </cell>
          <cell r="D33">
            <v>0</v>
          </cell>
          <cell r="E33">
            <v>0</v>
          </cell>
          <cell r="F33">
            <v>0</v>
          </cell>
          <cell r="G33">
            <v>624.96533642223881</v>
          </cell>
          <cell r="H33">
            <v>159.64042859904001</v>
          </cell>
          <cell r="I33">
            <v>0.44010559567581375</v>
          </cell>
          <cell r="J33">
            <v>1050.9233058515424</v>
          </cell>
          <cell r="K33">
            <v>1835.9691764684972</v>
          </cell>
          <cell r="L33">
            <v>1533.7991091354991</v>
          </cell>
          <cell r="M33">
            <v>1070.3349129931091</v>
          </cell>
          <cell r="N33">
            <v>12.057492970813508</v>
          </cell>
          <cell r="O33">
            <v>2570.1834239328141</v>
          </cell>
          <cell r="P33">
            <v>5186.3749390322355</v>
          </cell>
          <cell r="Q33">
            <v>7022.3441155007331</v>
          </cell>
        </row>
      </sheetData>
      <sheetData sheetId="9"/>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otal POS"/>
      <sheetName val="POS by sector"/>
      <sheetName val="POS by country"/>
    </sheetNames>
    <sheetDataSet>
      <sheetData sheetId="0">
        <row r="10">
          <cell r="C10">
            <v>12622895</v>
          </cell>
          <cell r="D10">
            <v>2975097</v>
          </cell>
          <cell r="E10">
            <v>4319457</v>
          </cell>
          <cell r="F10">
            <v>1668224</v>
          </cell>
        </row>
        <row r="11">
          <cell r="C11">
            <v>1255526</v>
          </cell>
          <cell r="D11">
            <v>310439</v>
          </cell>
          <cell r="E11">
            <v>1046117</v>
          </cell>
          <cell r="F11">
            <v>494615</v>
          </cell>
        </row>
        <row r="12">
          <cell r="C12">
            <v>160344916.70900136</v>
          </cell>
          <cell r="D12">
            <v>42068082.965000004</v>
          </cell>
          <cell r="E12">
            <v>180291855.55999997</v>
          </cell>
          <cell r="F12">
            <v>39641673.439899996</v>
          </cell>
        </row>
        <row r="13">
          <cell r="C13">
            <v>22247892.194001354</v>
          </cell>
          <cell r="D13">
            <v>3199215.0610000002</v>
          </cell>
          <cell r="E13">
            <v>100654802.24599999</v>
          </cell>
          <cell r="F13">
            <v>6636469.1799999997</v>
          </cell>
        </row>
        <row r="14">
          <cell r="C14">
            <v>60489</v>
          </cell>
        </row>
        <row r="16">
          <cell r="C16">
            <v>10334279</v>
          </cell>
          <cell r="D16">
            <v>2393642</v>
          </cell>
          <cell r="E16">
            <v>3097438</v>
          </cell>
          <cell r="F16">
            <v>1062750</v>
          </cell>
        </row>
        <row r="17">
          <cell r="C17">
            <v>107331639.542</v>
          </cell>
          <cell r="D17">
            <v>32256665.211000003</v>
          </cell>
          <cell r="E17">
            <v>59868352.483000003</v>
          </cell>
          <cell r="F17">
            <v>23861238.020999998</v>
          </cell>
        </row>
      </sheetData>
      <sheetData sheetId="1"/>
      <sheetData sheetId="2">
        <row r="26">
          <cell r="H26">
            <v>3353</v>
          </cell>
          <cell r="I26">
            <v>85015.024000000005</v>
          </cell>
        </row>
        <row r="27">
          <cell r="H27">
            <v>3503</v>
          </cell>
          <cell r="I27">
            <v>86091.973000000042</v>
          </cell>
        </row>
        <row r="63">
          <cell r="H63">
            <v>53138</v>
          </cell>
          <cell r="I63">
            <v>1759919.0258199996</v>
          </cell>
        </row>
        <row r="136">
          <cell r="H136">
            <v>1135709</v>
          </cell>
          <cell r="I136">
            <v>15622653.052639998</v>
          </cell>
        </row>
        <row r="184">
          <cell r="H184">
            <v>239844</v>
          </cell>
          <cell r="I184">
            <v>5840648.1289999988</v>
          </cell>
        </row>
        <row r="185">
          <cell r="H185">
            <v>50950</v>
          </cell>
          <cell r="I185">
            <v>765520.87199999997</v>
          </cell>
        </row>
        <row r="186">
          <cell r="H186">
            <v>362403</v>
          </cell>
          <cell r="I186">
            <v>4215813.6129999999</v>
          </cell>
        </row>
        <row r="187">
          <cell r="H187">
            <v>2513135</v>
          </cell>
          <cell r="I187">
            <v>45291156.691439994</v>
          </cell>
        </row>
        <row r="188">
          <cell r="H188">
            <v>164033</v>
          </cell>
          <cell r="I188">
            <v>4054998.699</v>
          </cell>
        </row>
        <row r="205">
          <cell r="H205">
            <v>18148</v>
          </cell>
          <cell r="I205">
            <v>354656.88300000003</v>
          </cell>
        </row>
        <row r="266">
          <cell r="H266">
            <v>4643321</v>
          </cell>
          <cell r="I266">
            <v>81709756.404899999</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1"/>
      <sheetName val="2"/>
      <sheetName val="3A"/>
      <sheetName val="3B"/>
      <sheetName val="4"/>
      <sheetName val="5"/>
      <sheetName val="6A"/>
      <sheetName val="6B"/>
      <sheetName val="7"/>
      <sheetName val="8"/>
    </sheetNames>
    <sheetDataSet>
      <sheetData sheetId="0">
        <row r="14">
          <cell r="C14">
            <v>24.578514128999998</v>
          </cell>
          <cell r="D14">
            <v>0</v>
          </cell>
        </row>
        <row r="18">
          <cell r="C18">
            <v>262.134878595023</v>
          </cell>
          <cell r="D18">
            <v>1165.6832356504938</v>
          </cell>
        </row>
        <row r="23">
          <cell r="C23">
            <v>1314.8861717838417</v>
          </cell>
          <cell r="D23">
            <v>224.88079295876003</v>
          </cell>
        </row>
        <row r="24">
          <cell r="C24">
            <v>312.18836884040098</v>
          </cell>
          <cell r="D24">
            <v>90.971758604821005</v>
          </cell>
        </row>
        <row r="25">
          <cell r="C25">
            <v>185.12674354613003</v>
          </cell>
          <cell r="D25">
            <v>215.77470819606958</v>
          </cell>
        </row>
        <row r="26">
          <cell r="C26">
            <v>374.6284888568739</v>
          </cell>
          <cell r="D26">
            <v>255.77401742054229</v>
          </cell>
        </row>
        <row r="27">
          <cell r="C27">
            <v>2775.9482053280553</v>
          </cell>
          <cell r="D27">
            <v>1341.3027228617379</v>
          </cell>
        </row>
        <row r="28">
          <cell r="C28">
            <v>7625.3309633369081</v>
          </cell>
          <cell r="D28">
            <v>1223.0344259212518</v>
          </cell>
        </row>
        <row r="29">
          <cell r="C29">
            <v>253.57918694402997</v>
          </cell>
          <cell r="D29">
            <v>11.155960676619999</v>
          </cell>
        </row>
        <row r="30">
          <cell r="C30">
            <v>0</v>
          </cell>
          <cell r="D30">
            <v>0</v>
          </cell>
        </row>
        <row r="31">
          <cell r="C31">
            <v>1.1000000000000001</v>
          </cell>
          <cell r="D31">
            <v>19.121278992881784</v>
          </cell>
        </row>
        <row r="33">
          <cell r="C33">
            <v>383.45520902628903</v>
          </cell>
          <cell r="D33">
            <v>58.23608943137333</v>
          </cell>
        </row>
        <row r="34">
          <cell r="C34">
            <v>2691.2825545722285</v>
          </cell>
          <cell r="D34">
            <v>195.01862910199998</v>
          </cell>
        </row>
        <row r="36">
          <cell r="C36">
            <v>1150.6421264282149</v>
          </cell>
          <cell r="D36">
            <v>-16.067311064936746</v>
          </cell>
        </row>
        <row r="37">
          <cell r="C37">
            <v>422.11969388499818</v>
          </cell>
          <cell r="D37">
            <v>423.63240738897122</v>
          </cell>
        </row>
        <row r="38">
          <cell r="C38">
            <v>17777.001105271993</v>
          </cell>
          <cell r="D38">
            <v>5208.5187161405856</v>
          </cell>
          <cell r="E38">
            <v>103.20633212866785</v>
          </cell>
          <cell r="F38">
            <v>5086.5181284883902</v>
          </cell>
          <cell r="G38">
            <v>2.873243597608</v>
          </cell>
          <cell r="H38">
            <v>182.283985757658</v>
          </cell>
          <cell r="I38">
            <v>17.159702516358003</v>
          </cell>
          <cell r="J38">
            <v>287.43507843603567</v>
          </cell>
          <cell r="K38">
            <v>49.914480935688033</v>
          </cell>
          <cell r="L38">
            <v>223.09253000535006</v>
          </cell>
          <cell r="M38">
            <v>1297.6208402458963</v>
          </cell>
          <cell r="N38">
            <v>4032.2936685173636</v>
          </cell>
          <cell r="O38">
            <v>676.98325694522794</v>
          </cell>
          <cell r="P38">
            <v>9115.8477273377666</v>
          </cell>
          <cell r="Q38">
            <v>44060.748796324588</v>
          </cell>
        </row>
        <row r="40">
          <cell r="Q40">
            <v>8458.4059642204211</v>
          </cell>
        </row>
        <row r="68">
          <cell r="C68">
            <v>109.329958650668</v>
          </cell>
          <cell r="D68">
            <v>111.4717349791219</v>
          </cell>
        </row>
        <row r="69">
          <cell r="C69">
            <v>4297.8151148118859</v>
          </cell>
          <cell r="D69">
            <v>5.5200000009999997</v>
          </cell>
        </row>
        <row r="72">
          <cell r="C72">
            <v>381.04000208259004</v>
          </cell>
          <cell r="D72">
            <v>438.0289226968863</v>
          </cell>
        </row>
        <row r="76">
          <cell r="C76">
            <v>9193.4217033104651</v>
          </cell>
          <cell r="D76">
            <v>3553.4247694440496</v>
          </cell>
        </row>
        <row r="77">
          <cell r="C77">
            <v>307.39608676399996</v>
          </cell>
          <cell r="D77">
            <v>1119.89995578397</v>
          </cell>
        </row>
        <row r="78">
          <cell r="C78">
            <v>0</v>
          </cell>
          <cell r="D78">
            <v>0</v>
          </cell>
        </row>
        <row r="79">
          <cell r="C79">
            <v>131.57374222199999</v>
          </cell>
          <cell r="D79">
            <v>108.49890886163999</v>
          </cell>
        </row>
        <row r="80">
          <cell r="C80">
            <v>66.993437889390009</v>
          </cell>
          <cell r="D80">
            <v>1036.0985800203198</v>
          </cell>
        </row>
        <row r="81">
          <cell r="C81">
            <v>2562.4230513555735</v>
          </cell>
          <cell r="D81">
            <v>1054.7256745455018</v>
          </cell>
        </row>
        <row r="82">
          <cell r="C82">
            <v>6083.3584648835022</v>
          </cell>
          <cell r="D82">
            <v>196.38112371345593</v>
          </cell>
        </row>
        <row r="83">
          <cell r="C83">
            <v>41.67692019599999</v>
          </cell>
          <cell r="D83">
            <v>37.8205265191623</v>
          </cell>
        </row>
        <row r="84">
          <cell r="E84">
            <v>0</v>
          </cell>
          <cell r="F84">
            <v>796.4397438657827</v>
          </cell>
          <cell r="G84">
            <v>0</v>
          </cell>
          <cell r="H84">
            <v>404.43487148351352</v>
          </cell>
          <cell r="I84">
            <v>0</v>
          </cell>
          <cell r="J84">
            <v>257.12592943956571</v>
          </cell>
          <cell r="K84">
            <v>0</v>
          </cell>
          <cell r="L84">
            <v>1985.2789149715336</v>
          </cell>
          <cell r="M84">
            <v>0</v>
          </cell>
          <cell r="N84">
            <v>1154.1511325553197</v>
          </cell>
          <cell r="O84">
            <v>1.0505158000000001</v>
          </cell>
          <cell r="P84">
            <v>2367.027174022377</v>
          </cell>
        </row>
        <row r="86">
          <cell r="C86">
            <v>3899.0010246205825</v>
          </cell>
          <cell r="D86">
            <v>3111.2280615903946</v>
          </cell>
        </row>
        <row r="89">
          <cell r="C89">
            <v>5.25999999928E-7</v>
          </cell>
          <cell r="D89">
            <v>159.13021824946031</v>
          </cell>
        </row>
        <row r="92">
          <cell r="C92">
            <v>457.87089571800016</v>
          </cell>
          <cell r="D92">
            <v>134.32324557875091</v>
          </cell>
        </row>
        <row r="93">
          <cell r="C93">
            <v>0.99316517099999968</v>
          </cell>
          <cell r="D93">
            <v>20.597990217351271</v>
          </cell>
        </row>
        <row r="95">
          <cell r="C95">
            <v>395.19998006334794</v>
          </cell>
          <cell r="D95">
            <v>675.76129991261382</v>
          </cell>
        </row>
        <row r="96">
          <cell r="C96">
            <v>199.78355740552084</v>
          </cell>
          <cell r="D96">
            <v>8.1299455732800006</v>
          </cell>
        </row>
        <row r="97">
          <cell r="C97">
            <v>599.21964142585352</v>
          </cell>
          <cell r="D97">
            <v>349.9709590476578</v>
          </cell>
        </row>
        <row r="98">
          <cell r="C98">
            <v>19533.675043785915</v>
          </cell>
          <cell r="D98">
            <v>8567.5871472905674</v>
          </cell>
          <cell r="E98">
            <v>54.587426451766</v>
          </cell>
          <cell r="F98">
            <v>2315.7904915632471</v>
          </cell>
          <cell r="G98">
            <v>2.5979792999999998E-2</v>
          </cell>
          <cell r="H98">
            <v>532.21211383347429</v>
          </cell>
          <cell r="I98">
            <v>1.6042525000000002E-2</v>
          </cell>
          <cell r="J98">
            <v>967.43767275017342</v>
          </cell>
          <cell r="K98">
            <v>15.049972549000001</v>
          </cell>
          <cell r="L98">
            <v>2517.5850276837173</v>
          </cell>
          <cell r="M98">
            <v>35.650775807000002</v>
          </cell>
          <cell r="N98">
            <v>2453.4435526046714</v>
          </cell>
          <cell r="O98">
            <v>37.249919810000002</v>
          </cell>
          <cell r="P98">
            <v>7030.4384715449787</v>
          </cell>
          <cell r="Q98">
            <v>44060.749637992507</v>
          </cell>
        </row>
        <row r="100">
          <cell r="Q100">
            <v>8453.385067510575</v>
          </cell>
        </row>
      </sheetData>
      <sheetData sheetId="1">
        <row r="15">
          <cell r="C15">
            <v>942.10002648404793</v>
          </cell>
          <cell r="D15">
            <v>312.18836884040098</v>
          </cell>
          <cell r="F15">
            <v>374.50144716987404</v>
          </cell>
          <cell r="I15">
            <v>12427.905469208958</v>
          </cell>
          <cell r="K15">
            <v>290.11841800666406</v>
          </cell>
        </row>
        <row r="16">
          <cell r="E16">
            <v>75.381448851068996</v>
          </cell>
          <cell r="G16">
            <v>1302.0604203825403</v>
          </cell>
          <cell r="H16">
            <v>961.86072257639137</v>
          </cell>
        </row>
        <row r="17">
          <cell r="E17">
            <v>0.88830148841400003</v>
          </cell>
          <cell r="G17">
            <v>96.180243713642028</v>
          </cell>
          <cell r="H17">
            <v>3201.3232388342558</v>
          </cell>
        </row>
        <row r="18">
          <cell r="E18">
            <v>108.86971310364697</v>
          </cell>
          <cell r="G18">
            <v>1350.2794793679905</v>
          </cell>
          <cell r="H18">
            <v>3702.2720583966843</v>
          </cell>
        </row>
        <row r="19">
          <cell r="E19">
            <v>0</v>
          </cell>
          <cell r="G19">
            <v>0</v>
          </cell>
          <cell r="H19">
            <v>0</v>
          </cell>
        </row>
        <row r="20">
          <cell r="I20">
            <v>0</v>
          </cell>
        </row>
        <row r="21">
          <cell r="I21">
            <v>413.82301090079341</v>
          </cell>
        </row>
        <row r="23">
          <cell r="C23">
            <v>224.88079295876</v>
          </cell>
          <cell r="D23">
            <v>90.971758604821005</v>
          </cell>
          <cell r="F23">
            <v>254.11601742054228</v>
          </cell>
          <cell r="I23">
            <v>3349.3126184919561</v>
          </cell>
          <cell r="K23">
            <v>4494.1339409597613</v>
          </cell>
        </row>
        <row r="24">
          <cell r="E24">
            <v>57.459796586003748</v>
          </cell>
          <cell r="G24">
            <v>342.210207096006</v>
          </cell>
          <cell r="H24">
            <v>131.04448948474638</v>
          </cell>
        </row>
        <row r="25">
          <cell r="E25">
            <v>1.9611228949199999</v>
          </cell>
          <cell r="G25">
            <v>32.688305245239825</v>
          </cell>
          <cell r="H25">
            <v>115.65305973377585</v>
          </cell>
        </row>
        <row r="26">
          <cell r="E26">
            <v>144.96119342614583</v>
          </cell>
          <cell r="G26">
            <v>966.50984628948197</v>
          </cell>
          <cell r="H26">
            <v>986.85602875151312</v>
          </cell>
        </row>
        <row r="27">
          <cell r="E27">
            <v>0</v>
          </cell>
          <cell r="G27">
            <v>0</v>
          </cell>
          <cell r="H27">
            <v>0</v>
          </cell>
        </row>
        <row r="28">
          <cell r="I28">
            <v>11.359892289000001</v>
          </cell>
        </row>
        <row r="29">
          <cell r="I29">
            <v>2.258</v>
          </cell>
        </row>
      </sheetData>
      <sheetData sheetId="2">
        <row r="15">
          <cell r="AX15">
            <v>4679.3691734179229</v>
          </cell>
        </row>
        <row r="69">
          <cell r="AX69">
            <v>421.5205679848969</v>
          </cell>
        </row>
        <row r="86">
          <cell r="AX86">
            <v>0</v>
          </cell>
        </row>
        <row r="90">
          <cell r="AX90">
            <v>21.532456773000003</v>
          </cell>
        </row>
        <row r="105">
          <cell r="AX105">
            <v>124.675516373086</v>
          </cell>
        </row>
        <row r="118">
          <cell r="AX118">
            <v>1.1194031250000001</v>
          </cell>
        </row>
        <row r="120">
          <cell r="AX120">
            <v>86.563851053999997</v>
          </cell>
        </row>
        <row r="122">
          <cell r="AX122">
            <v>2.1325141048779996</v>
          </cell>
        </row>
        <row r="130">
          <cell r="AX130">
            <v>280.61732899692748</v>
          </cell>
        </row>
        <row r="141">
          <cell r="AX141">
            <v>427.58389451550829</v>
          </cell>
        </row>
        <row r="170">
          <cell r="AX170">
            <v>1.794829336000002E-2</v>
          </cell>
        </row>
        <row r="186">
          <cell r="D186">
            <v>975.39085498700751</v>
          </cell>
          <cell r="E186">
            <v>10.365215198903838</v>
          </cell>
          <cell r="F186">
            <v>0</v>
          </cell>
          <cell r="G186">
            <v>0.1384660664596</v>
          </cell>
          <cell r="H186">
            <v>5.1716664373209403E-2</v>
          </cell>
          <cell r="I186">
            <v>422.40538713902299</v>
          </cell>
          <cell r="J186">
            <v>65.325056786786874</v>
          </cell>
          <cell r="K186">
            <v>3104.3341153237598</v>
          </cell>
          <cell r="L186">
            <v>86.136741526618437</v>
          </cell>
          <cell r="M186">
            <v>21.020411130210256</v>
          </cell>
          <cell r="N186">
            <v>95.769258172608517</v>
          </cell>
          <cell r="O186">
            <v>0.92830152717511571</v>
          </cell>
          <cell r="P186">
            <v>11801.026160668396</v>
          </cell>
          <cell r="Q186">
            <v>85.590591843598119</v>
          </cell>
          <cell r="S186">
            <v>135.0115216475204</v>
          </cell>
          <cell r="T186">
            <v>5.72807852000045E-3</v>
          </cell>
          <cell r="U186">
            <v>1.1392190000000001E-3</v>
          </cell>
          <cell r="V186">
            <v>6.7297230942199997</v>
          </cell>
          <cell r="W186">
            <v>7.7059996999998101E-4</v>
          </cell>
          <cell r="X186">
            <v>779.14505389728902</v>
          </cell>
          <cell r="Y186">
            <v>21.40111554852</v>
          </cell>
          <cell r="Z186">
            <v>422.84037785786552</v>
          </cell>
          <cell r="AA186">
            <v>13.138825126449689</v>
          </cell>
          <cell r="AB186">
            <v>3.1475561499537626E-2</v>
          </cell>
          <cell r="AC186">
            <v>3.1608609054204106</v>
          </cell>
          <cell r="AD186">
            <v>-0.22256956979659168</v>
          </cell>
          <cell r="AE186">
            <v>905.54508598079155</v>
          </cell>
          <cell r="AF186">
            <v>9.3946072687350011</v>
          </cell>
          <cell r="AI186">
            <v>23.30750499915424</v>
          </cell>
          <cell r="AJ186">
            <v>0</v>
          </cell>
          <cell r="AK186">
            <v>0</v>
          </cell>
          <cell r="AL186">
            <v>0</v>
          </cell>
          <cell r="AM186">
            <v>0</v>
          </cell>
          <cell r="AN186">
            <v>208.18311148484213</v>
          </cell>
          <cell r="AO186">
            <v>0</v>
          </cell>
          <cell r="AP186">
            <v>120.6219537520693</v>
          </cell>
          <cell r="AQ186">
            <v>2.4607754796850304E-2</v>
          </cell>
          <cell r="AR186">
            <v>0</v>
          </cell>
          <cell r="AS186">
            <v>-5.5807077544283768E-5</v>
          </cell>
          <cell r="AT186">
            <v>0</v>
          </cell>
          <cell r="AU186">
            <v>3668.7319502155906</v>
          </cell>
          <cell r="AV186">
            <v>-2.6926618795989673E-3</v>
          </cell>
          <cell r="AX186">
            <v>22985.532371988418</v>
          </cell>
        </row>
        <row r="187">
          <cell r="AX187">
            <v>511.4272901361706</v>
          </cell>
        </row>
        <row r="188">
          <cell r="AX188">
            <v>603.70230523694192</v>
          </cell>
        </row>
        <row r="189">
          <cell r="AX189">
            <v>5189.6982017765158</v>
          </cell>
        </row>
        <row r="190">
          <cell r="AX190">
            <v>185.13720653226599</v>
          </cell>
        </row>
        <row r="191">
          <cell r="AX191">
            <v>304.55078050439363</v>
          </cell>
        </row>
        <row r="192">
          <cell r="AX192">
            <v>273.00148527093813</v>
          </cell>
        </row>
        <row r="193">
          <cell r="AX193">
            <v>5329.9569905028329</v>
          </cell>
        </row>
        <row r="199">
          <cell r="AX199">
            <v>403.34163467908712</v>
          </cell>
        </row>
        <row r="200">
          <cell r="AX200">
            <v>20.394817267933441</v>
          </cell>
        </row>
        <row r="201">
          <cell r="AX201">
            <v>55.345570223713132</v>
          </cell>
        </row>
        <row r="202">
          <cell r="AX202">
            <v>0.48518091900000004</v>
          </cell>
        </row>
        <row r="203">
          <cell r="AX203">
            <v>130.69074028900002</v>
          </cell>
        </row>
        <row r="204">
          <cell r="AX204">
            <v>1148.2440620014354</v>
          </cell>
        </row>
        <row r="229">
          <cell r="AX229">
            <v>674.58034208095955</v>
          </cell>
        </row>
        <row r="272">
          <cell r="D272">
            <v>7575.5408584079278</v>
          </cell>
          <cell r="E272">
            <v>264.09074934261383</v>
          </cell>
          <cell r="F272">
            <v>11.967075139898357</v>
          </cell>
          <cell r="G272">
            <v>108.70795239318419</v>
          </cell>
          <cell r="H272">
            <v>5.6213145842690777E-2</v>
          </cell>
          <cell r="I272">
            <v>1822.7617018922376</v>
          </cell>
          <cell r="J272">
            <v>1780.1221344969074</v>
          </cell>
          <cell r="K272">
            <v>5548.1953765643912</v>
          </cell>
          <cell r="L272">
            <v>1108.5679596444211</v>
          </cell>
          <cell r="M272">
            <v>21.021565681527083</v>
          </cell>
          <cell r="N272">
            <v>309.46510693861234</v>
          </cell>
          <cell r="O272">
            <v>1.5145885152976102</v>
          </cell>
          <cell r="P272">
            <v>12090.400487505061</v>
          </cell>
          <cell r="Q272">
            <v>782.987670199175</v>
          </cell>
          <cell r="S272">
            <v>3320.7181270188062</v>
          </cell>
          <cell r="T272">
            <v>94.010395473418228</v>
          </cell>
          <cell r="U272">
            <v>1.1392190000000001E-3</v>
          </cell>
          <cell r="V272">
            <v>44.887058115812152</v>
          </cell>
          <cell r="W272">
            <v>7.7059996999998101E-4</v>
          </cell>
          <cell r="X272">
            <v>805.17663027028902</v>
          </cell>
          <cell r="Y272">
            <v>31.865959748520002</v>
          </cell>
          <cell r="Z272">
            <v>691.58934196267194</v>
          </cell>
          <cell r="AA272">
            <v>13.48250714225753</v>
          </cell>
          <cell r="AB272">
            <v>-1.4851004261964622</v>
          </cell>
          <cell r="AC272">
            <v>4.2645279039793111</v>
          </cell>
          <cell r="AD272">
            <v>-0.24888616860638396</v>
          </cell>
          <cell r="AE272">
            <v>907.71052599379163</v>
          </cell>
          <cell r="AF272">
            <v>17.959846682042091</v>
          </cell>
          <cell r="AI272">
            <v>2144.8332290781605</v>
          </cell>
          <cell r="AJ272">
            <v>-0.68299555913398013</v>
          </cell>
          <cell r="AK272">
            <v>1.1399306309816847E-4</v>
          </cell>
          <cell r="AL272">
            <v>-0.3835349870083552</v>
          </cell>
          <cell r="AM272">
            <v>-1.1939355799739319E-4</v>
          </cell>
          <cell r="AN272">
            <v>458.97758555774215</v>
          </cell>
          <cell r="AO272">
            <v>101.66246179429523</v>
          </cell>
          <cell r="AP272">
            <v>148.14378991563134</v>
          </cell>
          <cell r="AQ272">
            <v>2.611819320819988</v>
          </cell>
          <cell r="AR272">
            <v>0</v>
          </cell>
          <cell r="AS272">
            <v>0.19440347385681533</v>
          </cell>
          <cell r="AT272">
            <v>0</v>
          </cell>
          <cell r="AU272">
            <v>3839.7873417412575</v>
          </cell>
          <cell r="AV272">
            <v>10.340302648584171</v>
          </cell>
        </row>
      </sheetData>
      <sheetData sheetId="3">
        <row r="15">
          <cell r="AH15">
            <v>2645.2665138188231</v>
          </cell>
        </row>
        <row r="69">
          <cell r="AH69">
            <v>900.28512321358653</v>
          </cell>
        </row>
        <row r="86">
          <cell r="AH86">
            <v>0</v>
          </cell>
        </row>
        <row r="90">
          <cell r="AH90">
            <v>0</v>
          </cell>
        </row>
        <row r="105">
          <cell r="AH105">
            <v>0</v>
          </cell>
        </row>
        <row r="118">
          <cell r="AH118">
            <v>1.1481239999999999E-3</v>
          </cell>
        </row>
        <row r="120">
          <cell r="AH120">
            <v>0</v>
          </cell>
        </row>
        <row r="122">
          <cell r="AH122">
            <v>0</v>
          </cell>
        </row>
        <row r="130">
          <cell r="AH130">
            <v>1185.6968395203301</v>
          </cell>
        </row>
        <row r="141">
          <cell r="AH141">
            <v>553.47516672671145</v>
          </cell>
        </row>
        <row r="170">
          <cell r="AH170">
            <v>73.967635276799996</v>
          </cell>
        </row>
        <row r="186">
          <cell r="D186">
            <v>243.30428556115001</v>
          </cell>
          <cell r="E186">
            <v>41.479413500000007</v>
          </cell>
          <cell r="F186">
            <v>28.050612334999997</v>
          </cell>
          <cell r="G186">
            <v>2.3594941729999999</v>
          </cell>
          <cell r="H186">
            <v>0</v>
          </cell>
          <cell r="I186">
            <v>810.97090871969999</v>
          </cell>
          <cell r="J186">
            <v>9.6538583500000001</v>
          </cell>
          <cell r="K186">
            <v>3502.8772982110577</v>
          </cell>
          <cell r="L186">
            <v>3.5571956529319833</v>
          </cell>
          <cell r="M186">
            <v>1.7121270399289998</v>
          </cell>
          <cell r="N186">
            <v>2.1539885841479935</v>
          </cell>
          <cell r="O186">
            <v>29.869008549217444</v>
          </cell>
          <cell r="P186">
            <v>9381.4018566796767</v>
          </cell>
          <cell r="Q186">
            <v>8.6388980202408163</v>
          </cell>
          <cell r="S186">
            <v>1875.1036192399681</v>
          </cell>
          <cell r="T186">
            <v>7.3405137392359876</v>
          </cell>
          <cell r="U186">
            <v>4.846374301086836E-5</v>
          </cell>
          <cell r="V186">
            <v>14.807270783549001</v>
          </cell>
          <cell r="W186">
            <v>4.1375036484323807E-2</v>
          </cell>
          <cell r="X186">
            <v>5606.1940385115686</v>
          </cell>
          <cell r="Y186">
            <v>9.1110353773455781</v>
          </cell>
          <cell r="Z186">
            <v>2424.0037103658128</v>
          </cell>
          <cell r="AA186">
            <v>248.84838574066558</v>
          </cell>
          <cell r="AB186">
            <v>-1.5702870265352984</v>
          </cell>
          <cell r="AC186">
            <v>28.285515576572525</v>
          </cell>
          <cell r="AD186">
            <v>-0.14236069260566167</v>
          </cell>
          <cell r="AE186">
            <v>3707.524847246249</v>
          </cell>
          <cell r="AF186">
            <v>115.7284823037694</v>
          </cell>
          <cell r="AH186">
            <v>28101.305140041877</v>
          </cell>
        </row>
        <row r="187">
          <cell r="AH187">
            <v>0</v>
          </cell>
        </row>
        <row r="188">
          <cell r="AH188">
            <v>147.20756446090908</v>
          </cell>
        </row>
        <row r="189">
          <cell r="AH189">
            <v>2370.4080537866989</v>
          </cell>
        </row>
        <row r="190">
          <cell r="AH190">
            <v>532.27574650103543</v>
          </cell>
        </row>
        <row r="191">
          <cell r="AH191">
            <v>967.48071958471746</v>
          </cell>
        </row>
        <row r="192">
          <cell r="AH192">
            <v>2532.6239365824176</v>
          </cell>
        </row>
        <row r="193">
          <cell r="AH193">
            <v>2489.0799426204203</v>
          </cell>
        </row>
        <row r="199">
          <cell r="AH199">
            <v>77.993835349140724</v>
          </cell>
        </row>
        <row r="200">
          <cell r="AH200">
            <v>1.5176102766999997</v>
          </cell>
        </row>
        <row r="201">
          <cell r="AH201">
            <v>0</v>
          </cell>
        </row>
        <row r="202">
          <cell r="AH202">
            <v>0.05</v>
          </cell>
        </row>
        <row r="203">
          <cell r="AH203">
            <v>3.8096435980000001</v>
          </cell>
        </row>
        <row r="204">
          <cell r="AH204">
            <v>1073.8035611554969</v>
          </cell>
        </row>
        <row r="229">
          <cell r="AH229">
            <v>257.92772584731591</v>
          </cell>
        </row>
        <row r="272">
          <cell r="D272">
            <v>1483.9500148756599</v>
          </cell>
          <cell r="E272">
            <v>121.87487476733384</v>
          </cell>
          <cell r="F272">
            <v>58.557518027999997</v>
          </cell>
          <cell r="G272">
            <v>9.5589555362808643</v>
          </cell>
          <cell r="H272">
            <v>0.97648299300000008</v>
          </cell>
          <cell r="I272">
            <v>823.72974406669994</v>
          </cell>
          <cell r="J272">
            <v>71.87585378899999</v>
          </cell>
          <cell r="K272">
            <v>6369.6485428001715</v>
          </cell>
          <cell r="L272">
            <v>388.69932852130626</v>
          </cell>
          <cell r="M272">
            <v>1.7121270399289998</v>
          </cell>
          <cell r="N272">
            <v>345.10773208690489</v>
          </cell>
          <cell r="O272">
            <v>57.857007049514174</v>
          </cell>
          <cell r="P272">
            <v>9506.5678954514424</v>
          </cell>
          <cell r="Q272">
            <v>1319.5307840171808</v>
          </cell>
          <cell r="S272">
            <v>4440.4592400707388</v>
          </cell>
          <cell r="T272">
            <v>217.28460102216962</v>
          </cell>
          <cell r="U272">
            <v>3.2549855799864797</v>
          </cell>
          <cell r="V272">
            <v>24.548340444698376</v>
          </cell>
          <cell r="W272">
            <v>0.24445275394622304</v>
          </cell>
          <cell r="X272">
            <v>5628.7272537405679</v>
          </cell>
          <cell r="Y272">
            <v>1030.3845692954212</v>
          </cell>
          <cell r="Z272">
            <v>7833.5311250317691</v>
          </cell>
          <cell r="AA272">
            <v>401.87830677148713</v>
          </cell>
          <cell r="AB272">
            <v>-1.4524133449832983</v>
          </cell>
          <cell r="AC272">
            <v>93.719218725589215</v>
          </cell>
          <cell r="AD272">
            <v>-32.32691156607077</v>
          </cell>
          <cell r="AE272">
            <v>3717.2540782431097</v>
          </cell>
          <cell r="AF272">
            <v>143.63778366586476</v>
          </cell>
          <cell r="AH272">
            <v>44060.791491456715</v>
          </cell>
        </row>
      </sheetData>
      <sheetData sheetId="4">
        <row r="14">
          <cell r="D14">
            <v>19924.808753679004</v>
          </cell>
          <cell r="G14">
            <v>19676.261761436246</v>
          </cell>
        </row>
        <row r="16">
          <cell r="D16">
            <v>19429.037186917063</v>
          </cell>
          <cell r="G16">
            <v>20127.640526423031</v>
          </cell>
        </row>
        <row r="17">
          <cell r="D17">
            <v>467.13560303210988</v>
          </cell>
          <cell r="G17">
            <v>472.92361293983265</v>
          </cell>
        </row>
        <row r="18">
          <cell r="D18">
            <v>31.505442930239429</v>
          </cell>
          <cell r="G18">
            <v>62.07240699010238</v>
          </cell>
        </row>
        <row r="19">
          <cell r="D19">
            <v>1.3221482356703405</v>
          </cell>
          <cell r="G19">
            <v>26.751258538321856</v>
          </cell>
        </row>
        <row r="20">
          <cell r="D20">
            <v>1482.1207044115488</v>
          </cell>
          <cell r="G20">
            <v>1129.8011555914672</v>
          </cell>
        </row>
        <row r="21">
          <cell r="D21">
            <v>568.26782731630976</v>
          </cell>
          <cell r="G21">
            <v>161.24938128296066</v>
          </cell>
        </row>
        <row r="22">
          <cell r="D22">
            <v>1860.1767777831587</v>
          </cell>
          <cell r="G22">
            <v>2230.016950817193</v>
          </cell>
        </row>
        <row r="23">
          <cell r="D23">
            <v>296.53003540620148</v>
          </cell>
          <cell r="G23">
            <v>174.09161124728317</v>
          </cell>
        </row>
        <row r="24">
          <cell r="G24">
            <v>44060.808665266435</v>
          </cell>
        </row>
      </sheetData>
      <sheetData sheetId="5">
        <row r="11">
          <cell r="D11">
            <v>5194.9394012753892</v>
          </cell>
        </row>
        <row r="56">
          <cell r="D56">
            <v>6124.5510274715189</v>
          </cell>
        </row>
        <row r="57">
          <cell r="D57">
            <v>3135.080963337296</v>
          </cell>
        </row>
        <row r="58">
          <cell r="D58">
            <v>95.718940315254002</v>
          </cell>
        </row>
        <row r="59">
          <cell r="D59">
            <v>185.34023841480445</v>
          </cell>
        </row>
        <row r="60">
          <cell r="D60">
            <v>1786.3176772417112</v>
          </cell>
        </row>
        <row r="61">
          <cell r="D61">
            <v>125.33329381862335</v>
          </cell>
        </row>
        <row r="62">
          <cell r="D62">
            <v>796.75991434383059</v>
          </cell>
        </row>
        <row r="63">
          <cell r="D63">
            <v>1427.2951288437189</v>
          </cell>
        </row>
        <row r="66">
          <cell r="D66">
            <v>12746.785557590629</v>
          </cell>
        </row>
      </sheetData>
      <sheetData sheetId="6"/>
      <sheetData sheetId="7"/>
      <sheetData sheetId="8"/>
      <sheetData sheetId="9"/>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otal POS"/>
      <sheetName val="POS by sector"/>
      <sheetName val="POS by country"/>
    </sheetNames>
    <sheetDataSet>
      <sheetData sheetId="0">
        <row r="10">
          <cell r="C10">
            <v>12959814</v>
          </cell>
          <cell r="D10">
            <v>2934643</v>
          </cell>
          <cell r="E10">
            <v>4199791</v>
          </cell>
          <cell r="F10">
            <v>1618071</v>
          </cell>
        </row>
        <row r="11">
          <cell r="C11">
            <v>1274991</v>
          </cell>
          <cell r="D11">
            <v>314849</v>
          </cell>
          <cell r="E11">
            <v>1105029</v>
          </cell>
          <cell r="F11">
            <v>488210</v>
          </cell>
        </row>
        <row r="12">
          <cell r="C12">
            <v>164057065.44900173</v>
          </cell>
          <cell r="D12">
            <v>40801475.316</v>
          </cell>
          <cell r="E12">
            <v>198426167.99999997</v>
          </cell>
          <cell r="F12">
            <v>36803925.236000001</v>
          </cell>
        </row>
        <row r="13">
          <cell r="C13">
            <v>24047915.148001738</v>
          </cell>
          <cell r="D13">
            <v>3507597.111</v>
          </cell>
          <cell r="E13">
            <v>123724642.62499999</v>
          </cell>
          <cell r="F13">
            <v>7012985.6960000005</v>
          </cell>
        </row>
        <row r="14">
          <cell r="C14">
            <v>60823</v>
          </cell>
        </row>
        <row r="16">
          <cell r="C16">
            <v>10572323</v>
          </cell>
          <cell r="D16">
            <v>2365279</v>
          </cell>
          <cell r="E16">
            <v>2950492</v>
          </cell>
          <cell r="F16">
            <v>1025829</v>
          </cell>
        </row>
        <row r="17">
          <cell r="C17">
            <v>105916313.185</v>
          </cell>
          <cell r="D17">
            <v>31387332.820999999</v>
          </cell>
          <cell r="E17">
            <v>56499894.754000001</v>
          </cell>
          <cell r="F17">
            <v>22330619.377</v>
          </cell>
        </row>
      </sheetData>
      <sheetData sheetId="1"/>
      <sheetData sheetId="2">
        <row r="26">
          <cell r="H26">
            <v>3574</v>
          </cell>
          <cell r="I26">
            <v>111432.727</v>
          </cell>
        </row>
        <row r="27">
          <cell r="H27">
            <v>3037</v>
          </cell>
          <cell r="I27">
            <v>59476.891999999993</v>
          </cell>
        </row>
        <row r="63">
          <cell r="H63">
            <v>49563</v>
          </cell>
          <cell r="I63">
            <v>1416154.3969999999</v>
          </cell>
        </row>
        <row r="136">
          <cell r="H136">
            <v>1084280</v>
          </cell>
          <cell r="I136">
            <v>14071934.754000001</v>
          </cell>
        </row>
        <row r="184">
          <cell r="H184">
            <v>228734</v>
          </cell>
          <cell r="I184">
            <v>5841615.8880000003</v>
          </cell>
        </row>
        <row r="185">
          <cell r="H185">
            <v>54970</v>
          </cell>
          <cell r="I185">
            <v>766137.55099999998</v>
          </cell>
        </row>
        <row r="186">
          <cell r="H186">
            <v>391070</v>
          </cell>
          <cell r="I186">
            <v>4875959.4349999996</v>
          </cell>
        </row>
        <row r="187">
          <cell r="H187">
            <v>2448157</v>
          </cell>
          <cell r="I187">
            <v>42642260.629999995</v>
          </cell>
        </row>
        <row r="188">
          <cell r="H188">
            <v>175775</v>
          </cell>
          <cell r="I188">
            <v>4374037.3270000005</v>
          </cell>
        </row>
        <row r="205">
          <cell r="H205">
            <v>18054</v>
          </cell>
          <cell r="I205">
            <v>344716.245</v>
          </cell>
        </row>
        <row r="266">
          <cell r="H266">
            <v>4552714</v>
          </cell>
          <cell r="I266">
            <v>77605400.552000001</v>
          </cell>
        </row>
      </sheetData>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otal POS"/>
      <sheetName val="POS by sector"/>
      <sheetName val="POS by country"/>
    </sheetNames>
    <sheetDataSet>
      <sheetData sheetId="0">
        <row r="10">
          <cell r="C10">
            <v>13400570</v>
          </cell>
          <cell r="D10">
            <v>3214981</v>
          </cell>
          <cell r="E10">
            <v>4332352</v>
          </cell>
          <cell r="F10">
            <v>1941281</v>
          </cell>
        </row>
        <row r="11">
          <cell r="C11">
            <v>1299123</v>
          </cell>
          <cell r="D11">
            <v>352198</v>
          </cell>
          <cell r="E11">
            <v>1065979</v>
          </cell>
          <cell r="F11">
            <v>574531</v>
          </cell>
        </row>
        <row r="12">
          <cell r="C12">
            <v>164588044.63500139</v>
          </cell>
          <cell r="D12">
            <v>46842955.067000002</v>
          </cell>
          <cell r="E12">
            <v>179462523.81</v>
          </cell>
          <cell r="F12">
            <v>45644489.994000003</v>
          </cell>
        </row>
        <row r="13">
          <cell r="C13">
            <v>24003810.755001385</v>
          </cell>
          <cell r="D13">
            <v>3642379.3000000003</v>
          </cell>
          <cell r="E13">
            <v>109700148.09100001</v>
          </cell>
          <cell r="F13">
            <v>7812607.0810000002</v>
          </cell>
        </row>
        <row r="14">
          <cell r="C14">
            <v>61278</v>
          </cell>
        </row>
        <row r="16">
          <cell r="C16">
            <v>10945788</v>
          </cell>
          <cell r="D16">
            <v>2581130</v>
          </cell>
          <cell r="E16">
            <v>3111768</v>
          </cell>
          <cell r="F16">
            <v>1247615</v>
          </cell>
        </row>
        <row r="17">
          <cell r="C17">
            <v>107953017.58600001</v>
          </cell>
          <cell r="D17">
            <v>36208808.538000003</v>
          </cell>
          <cell r="E17">
            <v>58628488.767999999</v>
          </cell>
          <cell r="F17">
            <v>27641555.805999998</v>
          </cell>
        </row>
      </sheetData>
      <sheetData sheetId="1"/>
      <sheetData sheetId="2">
        <row r="26">
          <cell r="H26">
            <v>4307</v>
          </cell>
          <cell r="I26">
            <v>87467.34199999999</v>
          </cell>
        </row>
        <row r="27">
          <cell r="H27">
            <v>3787</v>
          </cell>
          <cell r="I27">
            <v>73067.975000000006</v>
          </cell>
        </row>
        <row r="63">
          <cell r="H63">
            <v>60284</v>
          </cell>
          <cell r="I63">
            <v>1998123.145</v>
          </cell>
        </row>
        <row r="136">
          <cell r="H136">
            <v>1138951</v>
          </cell>
          <cell r="I136">
            <v>17099466.908</v>
          </cell>
        </row>
        <row r="184">
          <cell r="H184">
            <v>303273</v>
          </cell>
          <cell r="I184">
            <v>7255306.7520000003</v>
          </cell>
        </row>
        <row r="185">
          <cell r="H185">
            <v>67547</v>
          </cell>
          <cell r="I185">
            <v>1100927.6329999999</v>
          </cell>
        </row>
        <row r="186">
          <cell r="H186">
            <v>528688</v>
          </cell>
          <cell r="I186">
            <v>8583536.1140000001</v>
          </cell>
        </row>
        <row r="187">
          <cell r="H187">
            <v>2709799</v>
          </cell>
          <cell r="I187">
            <v>46827567.741999999</v>
          </cell>
        </row>
        <row r="188">
          <cell r="H188">
            <v>203052</v>
          </cell>
          <cell r="I188">
            <v>4242347.7419999996</v>
          </cell>
        </row>
        <row r="205">
          <cell r="H205">
            <v>18058</v>
          </cell>
          <cell r="I205">
            <v>334612.55200000003</v>
          </cell>
        </row>
        <row r="266">
          <cell r="H266">
            <v>5156262</v>
          </cell>
          <cell r="I266">
            <v>92487445.060000002</v>
          </cell>
        </row>
      </sheetData>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otal POS"/>
      <sheetName val="POS by sector"/>
      <sheetName val="POS by country"/>
    </sheetNames>
    <sheetDataSet>
      <sheetData sheetId="0">
        <row r="10">
          <cell r="C10">
            <v>14159832</v>
          </cell>
          <cell r="D10">
            <v>2579737</v>
          </cell>
          <cell r="E10">
            <v>4530548</v>
          </cell>
          <cell r="F10">
            <v>1722610</v>
          </cell>
        </row>
        <row r="11">
          <cell r="C11">
            <v>1342881</v>
          </cell>
          <cell r="D11">
            <v>299118</v>
          </cell>
          <cell r="E11">
            <v>1060526</v>
          </cell>
          <cell r="F11">
            <v>597395</v>
          </cell>
        </row>
        <row r="12">
          <cell r="C12">
            <v>167524633.09500128</v>
          </cell>
          <cell r="D12">
            <v>38424803.906000003</v>
          </cell>
          <cell r="E12">
            <v>178516018.53500003</v>
          </cell>
          <cell r="F12">
            <v>41494109.857000001</v>
          </cell>
        </row>
        <row r="13">
          <cell r="C13">
            <v>25612547.916001298</v>
          </cell>
          <cell r="D13">
            <v>3846343.6020000004</v>
          </cell>
          <cell r="E13">
            <v>107335173.779</v>
          </cell>
          <cell r="F13">
            <v>8760014.5199999996</v>
          </cell>
        </row>
        <row r="14">
          <cell r="C14">
            <v>61712</v>
          </cell>
        </row>
        <row r="16">
          <cell r="C16">
            <v>11642561</v>
          </cell>
          <cell r="D16">
            <v>2066760</v>
          </cell>
          <cell r="E16">
            <v>3313888</v>
          </cell>
          <cell r="F16">
            <v>1016922</v>
          </cell>
        </row>
        <row r="17">
          <cell r="C17">
            <v>109527911.859</v>
          </cell>
          <cell r="D17">
            <v>28665337.340999998</v>
          </cell>
          <cell r="E17">
            <v>61148371.972999997</v>
          </cell>
          <cell r="F17">
            <v>24029898.608999997</v>
          </cell>
        </row>
      </sheetData>
      <sheetData sheetId="1"/>
      <sheetData sheetId="2">
        <row r="26">
          <cell r="H26">
            <v>4456</v>
          </cell>
          <cell r="I26">
            <v>146403.54399999999</v>
          </cell>
        </row>
        <row r="27">
          <cell r="H27">
            <v>4754</v>
          </cell>
          <cell r="I27">
            <v>98671.781999999977</v>
          </cell>
        </row>
        <row r="63">
          <cell r="H63">
            <v>60497</v>
          </cell>
          <cell r="I63">
            <v>1934361.5750000002</v>
          </cell>
        </row>
        <row r="136">
          <cell r="H136">
            <v>1005170</v>
          </cell>
          <cell r="I136">
            <v>14685542.685000002</v>
          </cell>
        </row>
        <row r="184">
          <cell r="H184">
            <v>260082</v>
          </cell>
          <cell r="I184">
            <v>6514653.449</v>
          </cell>
        </row>
        <row r="185">
          <cell r="H185">
            <v>53236</v>
          </cell>
          <cell r="I185">
            <v>876883.61900000006</v>
          </cell>
        </row>
        <row r="186">
          <cell r="H186">
            <v>332303</v>
          </cell>
          <cell r="I186">
            <v>4090062.5539999995</v>
          </cell>
        </row>
        <row r="187">
          <cell r="H187">
            <v>2211657</v>
          </cell>
          <cell r="I187">
            <v>41920521.270999998</v>
          </cell>
        </row>
        <row r="188">
          <cell r="H188">
            <v>228675</v>
          </cell>
          <cell r="I188">
            <v>5321862.0829999996</v>
          </cell>
        </row>
        <row r="205">
          <cell r="H205">
            <v>21706</v>
          </cell>
          <cell r="I205">
            <v>429308.223</v>
          </cell>
        </row>
        <row r="266">
          <cell r="H266">
            <v>4302347</v>
          </cell>
          <cell r="I266">
            <v>79918913.763000011</v>
          </cell>
        </row>
      </sheetData>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otal POS"/>
      <sheetName val="POS by sector"/>
      <sheetName val="POS by country"/>
    </sheetNames>
    <sheetDataSet>
      <sheetData sheetId="0">
        <row r="10">
          <cell r="C10">
            <v>14961179</v>
          </cell>
          <cell r="D10">
            <v>2831791</v>
          </cell>
          <cell r="E10">
            <v>4771376</v>
          </cell>
          <cell r="F10">
            <v>1883619</v>
          </cell>
        </row>
        <row r="11">
          <cell r="C11">
            <v>1397033</v>
          </cell>
          <cell r="D11">
            <v>317595</v>
          </cell>
          <cell r="E11">
            <v>1114491</v>
          </cell>
          <cell r="F11">
            <v>626604</v>
          </cell>
        </row>
        <row r="12">
          <cell r="C12">
            <v>171273867.31600127</v>
          </cell>
          <cell r="D12">
            <v>41318391.627000004</v>
          </cell>
          <cell r="E12">
            <v>198981749.12</v>
          </cell>
          <cell r="F12">
            <v>44669594.647000007</v>
          </cell>
        </row>
        <row r="13">
          <cell r="C13">
            <v>24684251.05900126</v>
          </cell>
          <cell r="D13">
            <v>3988294.3949999996</v>
          </cell>
          <cell r="E13">
            <v>124681674.35300002</v>
          </cell>
          <cell r="F13">
            <v>9014450.5120000001</v>
          </cell>
        </row>
        <row r="14">
          <cell r="C14">
            <v>62200</v>
          </cell>
        </row>
        <row r="16">
          <cell r="C16">
            <v>12347894</v>
          </cell>
          <cell r="D16">
            <v>2274286</v>
          </cell>
          <cell r="E16">
            <v>3496753</v>
          </cell>
          <cell r="F16">
            <v>1139331</v>
          </cell>
        </row>
        <row r="17">
          <cell r="C17">
            <v>113104705.45899999</v>
          </cell>
          <cell r="D17">
            <v>30972713.315000001</v>
          </cell>
          <cell r="E17">
            <v>64742310.080000006</v>
          </cell>
          <cell r="F17">
            <v>26483914.934000004</v>
          </cell>
        </row>
      </sheetData>
      <sheetData sheetId="1"/>
      <sheetData sheetId="2">
        <row r="26">
          <cell r="H26">
            <v>5880</v>
          </cell>
          <cell r="I26">
            <v>209158.23</v>
          </cell>
        </row>
        <row r="27">
          <cell r="H27">
            <v>6961</v>
          </cell>
          <cell r="I27">
            <v>157250.97199999998</v>
          </cell>
        </row>
        <row r="63">
          <cell r="H63">
            <v>74775</v>
          </cell>
          <cell r="I63">
            <v>2254968.2039999999</v>
          </cell>
        </row>
        <row r="136">
          <cell r="H136">
            <v>1042982</v>
          </cell>
          <cell r="I136">
            <v>14475746.208000001</v>
          </cell>
        </row>
        <row r="184">
          <cell r="H184">
            <v>184588</v>
          </cell>
          <cell r="I184">
            <v>4990096.68</v>
          </cell>
        </row>
        <row r="185">
          <cell r="H185">
            <v>61675</v>
          </cell>
          <cell r="I185">
            <v>947108.96099999989</v>
          </cell>
        </row>
        <row r="186">
          <cell r="H186">
            <v>373316</v>
          </cell>
          <cell r="I186">
            <v>4960087.7369999997</v>
          </cell>
        </row>
        <row r="187">
          <cell r="H187">
            <v>2526241</v>
          </cell>
          <cell r="I187">
            <v>46626444.491300002</v>
          </cell>
        </row>
        <row r="188">
          <cell r="H188">
            <v>260491</v>
          </cell>
          <cell r="I188">
            <v>6078894.0659999996</v>
          </cell>
        </row>
        <row r="205">
          <cell r="H205">
            <v>24750</v>
          </cell>
          <cell r="I205">
            <v>576486.65800000005</v>
          </cell>
        </row>
        <row r="266">
          <cell r="H266">
            <v>4715410</v>
          </cell>
          <cell r="I266">
            <v>85987986.272</v>
          </cell>
        </row>
      </sheetData>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otal POS"/>
      <sheetName val="POS by sector"/>
      <sheetName val="POS by country"/>
    </sheetNames>
    <sheetDataSet>
      <sheetData sheetId="0">
        <row r="10">
          <cell r="C10">
            <v>14978036</v>
          </cell>
          <cell r="D10">
            <v>3351912</v>
          </cell>
          <cell r="E10">
            <v>4821072</v>
          </cell>
          <cell r="F10">
            <v>2194215</v>
          </cell>
        </row>
        <row r="11">
          <cell r="C11">
            <v>1376371</v>
          </cell>
          <cell r="D11">
            <v>354229</v>
          </cell>
          <cell r="E11">
            <v>1105784</v>
          </cell>
          <cell r="F11">
            <v>659103</v>
          </cell>
        </row>
        <row r="12">
          <cell r="C12">
            <v>176180057.05900055</v>
          </cell>
          <cell r="D12">
            <v>56595244.515000001</v>
          </cell>
          <cell r="E12">
            <v>198563795.15400001</v>
          </cell>
          <cell r="F12">
            <v>64476146.755999982</v>
          </cell>
        </row>
        <row r="13">
          <cell r="C13">
            <v>23482885.627001278</v>
          </cell>
          <cell r="D13">
            <v>3829095.3329999996</v>
          </cell>
          <cell r="E13">
            <v>108659524.76300001</v>
          </cell>
          <cell r="F13">
            <v>8738580.7599999998</v>
          </cell>
        </row>
        <row r="14">
          <cell r="C14">
            <v>62987</v>
          </cell>
        </row>
        <row r="16">
          <cell r="C16">
            <v>12253438</v>
          </cell>
          <cell r="D16">
            <v>2683019</v>
          </cell>
          <cell r="E16">
            <v>3554672</v>
          </cell>
          <cell r="F16">
            <v>1397097</v>
          </cell>
        </row>
        <row r="17">
          <cell r="C17">
            <v>115559805.296</v>
          </cell>
          <cell r="D17">
            <v>42103246.479999997</v>
          </cell>
          <cell r="E17">
            <v>78018537.025000006</v>
          </cell>
          <cell r="F17">
            <v>40023486.973999999</v>
          </cell>
        </row>
      </sheetData>
      <sheetData sheetId="1"/>
      <sheetData sheetId="2">
        <row r="26">
          <cell r="H26">
            <v>8548</v>
          </cell>
          <cell r="I26">
            <v>263327.212</v>
          </cell>
        </row>
        <row r="27">
          <cell r="H27">
            <v>10223</v>
          </cell>
          <cell r="I27">
            <v>230722.22399999999</v>
          </cell>
        </row>
        <row r="63">
          <cell r="H63">
            <v>86498</v>
          </cell>
          <cell r="I63">
            <v>3031943.2460000012</v>
          </cell>
        </row>
        <row r="136">
          <cell r="H136">
            <v>932282</v>
          </cell>
          <cell r="I136">
            <v>13533175.043999996</v>
          </cell>
        </row>
        <row r="184">
          <cell r="H184">
            <v>204724</v>
          </cell>
          <cell r="I184">
            <v>6321566.6629999997</v>
          </cell>
        </row>
        <row r="185">
          <cell r="H185">
            <v>78547</v>
          </cell>
          <cell r="I185">
            <v>1319488.622</v>
          </cell>
        </row>
        <row r="186">
          <cell r="H186">
            <v>361146</v>
          </cell>
          <cell r="I186">
            <v>6768807.6349999998</v>
          </cell>
        </row>
        <row r="187">
          <cell r="H187">
            <v>3361839</v>
          </cell>
          <cell r="I187">
            <v>74537317.548449993</v>
          </cell>
        </row>
        <row r="188">
          <cell r="H188">
            <v>275426</v>
          </cell>
          <cell r="I188">
            <v>7398651.7259999998</v>
          </cell>
        </row>
        <row r="205">
          <cell r="H205">
            <v>30265</v>
          </cell>
          <cell r="I205">
            <v>774686.38100000005</v>
          </cell>
        </row>
        <row r="266">
          <cell r="H266">
            <v>5546127</v>
          </cell>
          <cell r="I266">
            <v>121071390.65100001</v>
          </cell>
        </row>
      </sheetData>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otal POS"/>
      <sheetName val="POS by sector"/>
      <sheetName val="POS by country"/>
    </sheetNames>
    <sheetDataSet>
      <sheetData sheetId="0">
        <row r="10">
          <cell r="C10">
            <v>15246460</v>
          </cell>
          <cell r="D10">
            <v>3203981</v>
          </cell>
          <cell r="E10">
            <v>5221965</v>
          </cell>
          <cell r="F10">
            <v>2172810</v>
          </cell>
        </row>
        <row r="11">
          <cell r="C11">
            <v>1410290</v>
          </cell>
          <cell r="D11">
            <v>332403</v>
          </cell>
          <cell r="E11">
            <v>1215223</v>
          </cell>
          <cell r="F11">
            <v>665272</v>
          </cell>
        </row>
        <row r="12">
          <cell r="C12">
            <v>173820997.77900159</v>
          </cell>
          <cell r="D12">
            <v>46422077.681000002</v>
          </cell>
          <cell r="E12">
            <v>193635734.91099998</v>
          </cell>
          <cell r="F12">
            <v>50942084.137000009</v>
          </cell>
        </row>
        <row r="13">
          <cell r="C13">
            <v>23072391.162001614</v>
          </cell>
          <cell r="D13">
            <v>3850955.5830000001</v>
          </cell>
          <cell r="E13">
            <v>114130807.484</v>
          </cell>
          <cell r="F13">
            <v>8825384.1770000011</v>
          </cell>
        </row>
        <row r="14">
          <cell r="C14">
            <v>64834</v>
          </cell>
        </row>
        <row r="16">
          <cell r="C16">
            <v>12640155</v>
          </cell>
          <cell r="D16">
            <v>2568483</v>
          </cell>
          <cell r="E16">
            <v>3829672</v>
          </cell>
          <cell r="F16">
            <v>1378491</v>
          </cell>
        </row>
        <row r="17">
          <cell r="C17">
            <v>118592464.47799999</v>
          </cell>
          <cell r="D17">
            <v>35098019.182999998</v>
          </cell>
          <cell r="E17">
            <v>69661752.856000006</v>
          </cell>
          <cell r="F17">
            <v>31164517.873000007</v>
          </cell>
        </row>
      </sheetData>
      <sheetData sheetId="1">
        <row r="10">
          <cell r="C10">
            <v>17869</v>
          </cell>
          <cell r="D10">
            <v>1719658.79</v>
          </cell>
          <cell r="E10">
            <v>4185</v>
          </cell>
          <cell r="F10">
            <v>678057.16599999997</v>
          </cell>
          <cell r="G10">
            <v>12220</v>
          </cell>
          <cell r="H10">
            <v>3393221.8830000004</v>
          </cell>
          <cell r="I10">
            <v>3432</v>
          </cell>
          <cell r="J10">
            <v>988904.76599999995</v>
          </cell>
        </row>
        <row r="11">
          <cell r="C11">
            <v>23322</v>
          </cell>
          <cell r="D11">
            <v>805801.38300000003</v>
          </cell>
          <cell r="E11">
            <v>74379</v>
          </cell>
          <cell r="F11">
            <v>3577019.0130000003</v>
          </cell>
          <cell r="G11">
            <v>14535</v>
          </cell>
          <cell r="H11">
            <v>1772306.3890000002</v>
          </cell>
          <cell r="I11">
            <v>90269</v>
          </cell>
          <cell r="J11">
            <v>9440737.029000001</v>
          </cell>
        </row>
        <row r="12">
          <cell r="C12">
            <v>4909763</v>
          </cell>
          <cell r="D12">
            <v>22691686.443999998</v>
          </cell>
          <cell r="E12">
            <v>1180262</v>
          </cell>
          <cell r="F12">
            <v>10981980.366</v>
          </cell>
          <cell r="G12">
            <v>1614067</v>
          </cell>
          <cell r="H12">
            <v>10997158.595000001</v>
          </cell>
          <cell r="I12">
            <v>912892</v>
          </cell>
          <cell r="J12">
            <v>9917298.0869999994</v>
          </cell>
        </row>
        <row r="13">
          <cell r="C13">
            <v>726102</v>
          </cell>
          <cell r="D13">
            <v>9596241.4049999993</v>
          </cell>
          <cell r="E13">
            <v>70015</v>
          </cell>
          <cell r="F13">
            <v>1398104.4040000001</v>
          </cell>
          <cell r="G13">
            <v>252910</v>
          </cell>
          <cell r="H13">
            <v>5728724.4279999994</v>
          </cell>
          <cell r="I13">
            <v>35276</v>
          </cell>
          <cell r="J13">
            <v>1054699.727</v>
          </cell>
        </row>
        <row r="14">
          <cell r="C14">
            <v>250297</v>
          </cell>
          <cell r="D14">
            <v>9478517.7009999994</v>
          </cell>
          <cell r="E14">
            <v>55961</v>
          </cell>
          <cell r="F14">
            <v>678597.28700000001</v>
          </cell>
          <cell r="G14">
            <v>284694</v>
          </cell>
          <cell r="H14">
            <v>87808297.050000012</v>
          </cell>
          <cell r="I14">
            <v>46880</v>
          </cell>
          <cell r="J14">
            <v>1438210.2719999999</v>
          </cell>
        </row>
        <row r="15">
          <cell r="C15">
            <v>176548</v>
          </cell>
          <cell r="D15">
            <v>2642136.3170000003</v>
          </cell>
          <cell r="E15">
            <v>34703</v>
          </cell>
          <cell r="F15">
            <v>594690.51599999995</v>
          </cell>
          <cell r="G15">
            <v>67603</v>
          </cell>
          <cell r="H15">
            <v>4147003.2549999999</v>
          </cell>
          <cell r="I15">
            <v>16402</v>
          </cell>
          <cell r="J15">
            <v>445811.40600000002</v>
          </cell>
        </row>
        <row r="16">
          <cell r="C16">
            <v>4545641</v>
          </cell>
          <cell r="D16">
            <v>28117792.835000001</v>
          </cell>
          <cell r="E16">
            <v>549757</v>
          </cell>
          <cell r="F16">
            <v>4195611.5090000005</v>
          </cell>
          <cell r="G16">
            <v>1360765</v>
          </cell>
          <cell r="H16">
            <v>14590291.872</v>
          </cell>
          <cell r="I16">
            <v>315193</v>
          </cell>
          <cell r="J16">
            <v>3205420.463</v>
          </cell>
        </row>
        <row r="17">
          <cell r="C17">
            <v>14417</v>
          </cell>
          <cell r="D17">
            <v>1820222.7060000002</v>
          </cell>
          <cell r="E17">
            <v>9078</v>
          </cell>
          <cell r="F17">
            <v>3211884.6579999998</v>
          </cell>
          <cell r="G17">
            <v>10819</v>
          </cell>
          <cell r="H17">
            <v>4676517.5690000001</v>
          </cell>
          <cell r="I17">
            <v>7731</v>
          </cell>
          <cell r="J17">
            <v>5340418.9839999992</v>
          </cell>
        </row>
        <row r="18">
          <cell r="C18">
            <v>547963</v>
          </cell>
          <cell r="D18">
            <v>6269520.6469999999</v>
          </cell>
          <cell r="E18">
            <v>139973</v>
          </cell>
          <cell r="F18">
            <v>2433771.0420000004</v>
          </cell>
          <cell r="G18">
            <v>172022</v>
          </cell>
          <cell r="H18">
            <v>3928792.298</v>
          </cell>
          <cell r="I18">
            <v>80233</v>
          </cell>
          <cell r="J18">
            <v>2334841.787</v>
          </cell>
        </row>
        <row r="19">
          <cell r="C19">
            <v>485562</v>
          </cell>
          <cell r="D19">
            <v>8209029.773</v>
          </cell>
          <cell r="E19">
            <v>168808</v>
          </cell>
          <cell r="F19">
            <v>5649995.3650000002</v>
          </cell>
          <cell r="G19">
            <v>199768</v>
          </cell>
          <cell r="H19">
            <v>5448923.8620000007</v>
          </cell>
          <cell r="I19">
            <v>110367</v>
          </cell>
          <cell r="J19">
            <v>5380558.3520000009</v>
          </cell>
        </row>
        <row r="20">
          <cell r="C20">
            <v>129129</v>
          </cell>
          <cell r="D20">
            <v>3167837.8390000002</v>
          </cell>
          <cell r="E20">
            <v>20768</v>
          </cell>
          <cell r="F20">
            <v>543560.07400000002</v>
          </cell>
          <cell r="G20">
            <v>54958</v>
          </cell>
          <cell r="H20">
            <v>3700031.5719999997</v>
          </cell>
          <cell r="I20">
            <v>13806</v>
          </cell>
          <cell r="J20">
            <v>632650.63300000003</v>
          </cell>
        </row>
        <row r="21">
          <cell r="C21">
            <v>67951</v>
          </cell>
          <cell r="D21">
            <v>1914764.6130000004</v>
          </cell>
          <cell r="E21">
            <v>194243</v>
          </cell>
          <cell r="F21">
            <v>891202.853</v>
          </cell>
          <cell r="G21">
            <v>44296</v>
          </cell>
          <cell r="H21">
            <v>3387509.9169999999</v>
          </cell>
          <cell r="I21">
            <v>133781</v>
          </cell>
          <cell r="J21">
            <v>586756.06799999997</v>
          </cell>
        </row>
        <row r="22">
          <cell r="C22">
            <v>601366</v>
          </cell>
          <cell r="D22">
            <v>37187930.022</v>
          </cell>
          <cell r="E22">
            <v>48584</v>
          </cell>
          <cell r="F22">
            <v>543338.87</v>
          </cell>
          <cell r="G22">
            <v>223342</v>
          </cell>
          <cell r="H22">
            <v>6993189.4450000003</v>
          </cell>
          <cell r="I22">
            <v>36207</v>
          </cell>
          <cell r="J22">
            <v>499493.37000000005</v>
          </cell>
        </row>
        <row r="23">
          <cell r="C23">
            <v>15473</v>
          </cell>
          <cell r="D23">
            <v>335221.07900000003</v>
          </cell>
          <cell r="E23">
            <v>15539</v>
          </cell>
          <cell r="F23">
            <v>168211.674</v>
          </cell>
          <cell r="G23">
            <v>9191</v>
          </cell>
          <cell r="H23">
            <v>500981.962</v>
          </cell>
          <cell r="I23">
            <v>12706</v>
          </cell>
          <cell r="J23">
            <v>162492.37400000001</v>
          </cell>
        </row>
        <row r="24">
          <cell r="C24">
            <v>1608934</v>
          </cell>
          <cell r="D24">
            <v>10895374.241</v>
          </cell>
          <cell r="E24">
            <v>232606</v>
          </cell>
          <cell r="F24">
            <v>2137295.8710000003</v>
          </cell>
          <cell r="G24">
            <v>414169</v>
          </cell>
          <cell r="H24">
            <v>11390368.005000001</v>
          </cell>
          <cell r="I24">
            <v>104937</v>
          </cell>
          <cell r="J24">
            <v>2014028.0789999999</v>
          </cell>
        </row>
        <row r="25">
          <cell r="C25">
            <v>8648</v>
          </cell>
          <cell r="D25">
            <v>937724.77600000007</v>
          </cell>
          <cell r="E25">
            <v>3965</v>
          </cell>
          <cell r="F25">
            <v>356885.43099999998</v>
          </cell>
          <cell r="G25">
            <v>7193</v>
          </cell>
          <cell r="H25">
            <v>1878090.672</v>
          </cell>
          <cell r="I25">
            <v>2944</v>
          </cell>
          <cell r="J25">
            <v>473323.05700000003</v>
          </cell>
        </row>
        <row r="26">
          <cell r="C26">
            <v>226374</v>
          </cell>
          <cell r="D26">
            <v>2245106.5439999998</v>
          </cell>
          <cell r="E26">
            <v>76040</v>
          </cell>
          <cell r="F26">
            <v>876589.79</v>
          </cell>
          <cell r="G26">
            <v>96464</v>
          </cell>
          <cell r="H26">
            <v>2069441.3429999999</v>
          </cell>
          <cell r="I26">
            <v>51375</v>
          </cell>
          <cell r="J26">
            <v>947072.53899999999</v>
          </cell>
        </row>
        <row r="27">
          <cell r="C27">
            <v>53400</v>
          </cell>
          <cell r="D27">
            <v>1633259.148</v>
          </cell>
          <cell r="E27">
            <v>12698</v>
          </cell>
          <cell r="F27">
            <v>456441.00400000002</v>
          </cell>
          <cell r="G27">
            <v>27828</v>
          </cell>
          <cell r="H27">
            <v>2311373.4780000001</v>
          </cell>
          <cell r="I27">
            <v>8832</v>
          </cell>
          <cell r="J27">
            <v>473483.663</v>
          </cell>
        </row>
        <row r="28">
          <cell r="C28">
            <v>32138</v>
          </cell>
          <cell r="D28">
            <v>450630.88699999999</v>
          </cell>
          <cell r="E28">
            <v>7154</v>
          </cell>
          <cell r="F28">
            <v>131749.261</v>
          </cell>
          <cell r="G28">
            <v>12122</v>
          </cell>
          <cell r="H28">
            <v>444721.26</v>
          </cell>
          <cell r="I28">
            <v>4515</v>
          </cell>
          <cell r="J28">
            <v>108733.58</v>
          </cell>
        </row>
        <row r="29">
          <cell r="C29">
            <v>805563</v>
          </cell>
          <cell r="D29">
            <v>23702540.62900161</v>
          </cell>
          <cell r="E29">
            <v>305263</v>
          </cell>
          <cell r="F29">
            <v>6917091.5270000007</v>
          </cell>
          <cell r="G29">
            <v>342999</v>
          </cell>
          <cell r="H29">
            <v>18468790.056000005</v>
          </cell>
          <cell r="I29">
            <v>185032</v>
          </cell>
          <cell r="J29">
            <v>5497149.9009999987</v>
          </cell>
        </row>
        <row r="30">
          <cell r="C30">
            <v>15246460</v>
          </cell>
          <cell r="D30">
            <v>173820997.77900162</v>
          </cell>
          <cell r="E30">
            <v>3203981</v>
          </cell>
          <cell r="F30">
            <v>46422077.681000002</v>
          </cell>
          <cell r="G30">
            <v>5221965</v>
          </cell>
          <cell r="H30">
            <v>193635734.91099995</v>
          </cell>
          <cell r="I30">
            <v>2172810</v>
          </cell>
          <cell r="J30">
            <v>50942084.136999995</v>
          </cell>
        </row>
      </sheetData>
      <sheetData sheetId="2">
        <row r="26">
          <cell r="H26">
            <v>7733</v>
          </cell>
          <cell r="I26">
            <v>183248.82299999997</v>
          </cell>
        </row>
        <row r="27">
          <cell r="H27">
            <v>8666</v>
          </cell>
          <cell r="I27">
            <v>222037.99800000008</v>
          </cell>
        </row>
        <row r="63">
          <cell r="H63">
            <v>89805</v>
          </cell>
          <cell r="I63">
            <v>2774483.0659999996</v>
          </cell>
        </row>
        <row r="136">
          <cell r="H136">
            <v>771750</v>
          </cell>
          <cell r="I136">
            <v>10171980.193000004</v>
          </cell>
        </row>
        <row r="184">
          <cell r="H184">
            <v>244041</v>
          </cell>
          <cell r="I184">
            <v>5924172.4749999996</v>
          </cell>
        </row>
        <row r="185">
          <cell r="H185">
            <v>90693</v>
          </cell>
          <cell r="I185">
            <v>1420106.784</v>
          </cell>
        </row>
        <row r="186">
          <cell r="H186">
            <v>402373</v>
          </cell>
          <cell r="I186">
            <v>5412815.3090000004</v>
          </cell>
        </row>
        <row r="187">
          <cell r="H187">
            <v>3107444</v>
          </cell>
          <cell r="I187">
            <v>55026237.721000001</v>
          </cell>
        </row>
        <row r="188">
          <cell r="H188">
            <v>419767</v>
          </cell>
          <cell r="I188">
            <v>9247525.4019999988</v>
          </cell>
        </row>
        <row r="205">
          <cell r="H205">
            <v>30185</v>
          </cell>
          <cell r="I205">
            <v>729665.86800000002</v>
          </cell>
        </row>
        <row r="266">
          <cell r="H266">
            <v>5376791</v>
          </cell>
          <cell r="I266">
            <v>97364161.683000013</v>
          </cell>
        </row>
      </sheetData>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otal POS"/>
      <sheetName val="POS by sector"/>
      <sheetName val="POS by country"/>
    </sheetNames>
    <sheetDataSet>
      <sheetData sheetId="0">
        <row r="10">
          <cell r="C10">
            <v>11317033</v>
          </cell>
          <cell r="D10">
            <v>2496990</v>
          </cell>
          <cell r="E10">
            <v>4268093</v>
          </cell>
          <cell r="F10">
            <v>1829112</v>
          </cell>
        </row>
        <row r="11">
          <cell r="C11">
            <v>1195459</v>
          </cell>
          <cell r="D11">
            <v>304537</v>
          </cell>
          <cell r="E11">
            <v>1251808</v>
          </cell>
          <cell r="F11">
            <v>668418</v>
          </cell>
        </row>
        <row r="12">
          <cell r="C12">
            <v>146273691.89899981</v>
          </cell>
          <cell r="D12">
            <v>37986873.569000006</v>
          </cell>
          <cell r="E12">
            <v>182943194.53099999</v>
          </cell>
          <cell r="F12">
            <v>42511527.971000001</v>
          </cell>
        </row>
        <row r="13">
          <cell r="C13">
            <v>20074661.249999806</v>
          </cell>
          <cell r="D13">
            <v>2685762.0829999996</v>
          </cell>
          <cell r="E13">
            <v>117126781.65599999</v>
          </cell>
          <cell r="F13">
            <v>7908074.0500000007</v>
          </cell>
        </row>
        <row r="14">
          <cell r="C14">
            <v>65623</v>
          </cell>
        </row>
        <row r="16">
          <cell r="C16">
            <v>8833909</v>
          </cell>
          <cell r="D16">
            <v>1943848</v>
          </cell>
          <cell r="E16">
            <v>2845816</v>
          </cell>
          <cell r="F16">
            <v>1051512</v>
          </cell>
        </row>
        <row r="17">
          <cell r="C17">
            <v>94117960.505999997</v>
          </cell>
          <cell r="D17">
            <v>28515330.982999999</v>
          </cell>
          <cell r="E17">
            <v>57229000.692999996</v>
          </cell>
          <cell r="F17">
            <v>26280419.984000005</v>
          </cell>
        </row>
      </sheetData>
      <sheetData sheetId="1">
        <row r="10">
          <cell r="C10">
            <v>16488</v>
          </cell>
          <cell r="D10">
            <v>1648145.7149999999</v>
          </cell>
          <cell r="E10">
            <v>2891</v>
          </cell>
          <cell r="F10">
            <v>464193</v>
          </cell>
          <cell r="G10">
            <v>15324</v>
          </cell>
          <cell r="H10">
            <v>5988663.5820000004</v>
          </cell>
          <cell r="I10">
            <v>3027</v>
          </cell>
          <cell r="J10">
            <v>1105560.4350000001</v>
          </cell>
        </row>
        <row r="11">
          <cell r="C11">
            <v>19286</v>
          </cell>
          <cell r="D11">
            <v>600386.85899999994</v>
          </cell>
          <cell r="E11">
            <v>56594</v>
          </cell>
          <cell r="F11">
            <v>2661061.4720000001</v>
          </cell>
          <cell r="G11">
            <v>11041</v>
          </cell>
          <cell r="H11">
            <v>1826842.9579999999</v>
          </cell>
          <cell r="I11">
            <v>65919</v>
          </cell>
          <cell r="J11">
            <v>6775177.4219999993</v>
          </cell>
        </row>
        <row r="12">
          <cell r="C12">
            <v>3534361</v>
          </cell>
          <cell r="D12">
            <v>17240247.247000001</v>
          </cell>
          <cell r="E12">
            <v>967676</v>
          </cell>
          <cell r="F12">
            <v>9499219.9560000002</v>
          </cell>
          <cell r="G12">
            <v>1230479</v>
          </cell>
          <cell r="H12">
            <v>8758523.6090000011</v>
          </cell>
          <cell r="I12">
            <v>772347</v>
          </cell>
          <cell r="J12">
            <v>8676850.9690000005</v>
          </cell>
        </row>
        <row r="13">
          <cell r="C13">
            <v>429389</v>
          </cell>
          <cell r="D13">
            <v>6400683.1559999995</v>
          </cell>
          <cell r="E13">
            <v>53875</v>
          </cell>
          <cell r="F13">
            <v>1126769.7379999999</v>
          </cell>
          <cell r="G13">
            <v>168943</v>
          </cell>
          <cell r="H13">
            <v>4179352.1629999997</v>
          </cell>
          <cell r="I13">
            <v>25975</v>
          </cell>
          <cell r="J13">
            <v>862195.40800000005</v>
          </cell>
        </row>
        <row r="14">
          <cell r="C14">
            <v>244350</v>
          </cell>
          <cell r="D14">
            <v>10011774.449999999</v>
          </cell>
          <cell r="E14">
            <v>34999</v>
          </cell>
          <cell r="F14">
            <v>531285.62</v>
          </cell>
          <cell r="G14">
            <v>281005</v>
          </cell>
          <cell r="H14">
            <v>94060412.123999983</v>
          </cell>
          <cell r="I14">
            <v>41005</v>
          </cell>
          <cell r="J14">
            <v>1502059.294</v>
          </cell>
        </row>
        <row r="15">
          <cell r="C15">
            <v>72404</v>
          </cell>
          <cell r="D15">
            <v>1442383.395</v>
          </cell>
          <cell r="E15">
            <v>13394</v>
          </cell>
          <cell r="F15">
            <v>296611.42599999998</v>
          </cell>
          <cell r="G15">
            <v>36489</v>
          </cell>
          <cell r="H15">
            <v>2892312.2549999999</v>
          </cell>
          <cell r="I15">
            <v>6654</v>
          </cell>
          <cell r="J15">
            <v>304607.24400000006</v>
          </cell>
        </row>
        <row r="16">
          <cell r="C16">
            <v>3243426</v>
          </cell>
          <cell r="D16">
            <v>22626951.056999996</v>
          </cell>
          <cell r="E16">
            <v>414462</v>
          </cell>
          <cell r="F16">
            <v>3179704.3660000004</v>
          </cell>
          <cell r="G16">
            <v>1091532</v>
          </cell>
          <cell r="H16">
            <v>12695627.238000002</v>
          </cell>
          <cell r="I16">
            <v>261046</v>
          </cell>
          <cell r="J16">
            <v>2649008.764</v>
          </cell>
        </row>
        <row r="17">
          <cell r="C17">
            <v>12634</v>
          </cell>
          <cell r="D17">
            <v>1862624.507</v>
          </cell>
          <cell r="E17">
            <v>8782</v>
          </cell>
          <cell r="F17">
            <v>3582636.2230000002</v>
          </cell>
          <cell r="G17">
            <v>9501</v>
          </cell>
          <cell r="H17">
            <v>4758782.1830000002</v>
          </cell>
          <cell r="I17">
            <v>7264</v>
          </cell>
          <cell r="J17">
            <v>5122119.1400000006</v>
          </cell>
        </row>
        <row r="18">
          <cell r="C18">
            <v>391368</v>
          </cell>
          <cell r="D18">
            <v>4582967.6349999998</v>
          </cell>
          <cell r="E18">
            <v>132526</v>
          </cell>
          <cell r="F18">
            <v>2283040.5890000002</v>
          </cell>
          <cell r="G18">
            <v>125803</v>
          </cell>
          <cell r="H18">
            <v>2935348.7159999995</v>
          </cell>
          <cell r="I18">
            <v>74827</v>
          </cell>
          <cell r="J18">
            <v>2032406.5009999997</v>
          </cell>
        </row>
        <row r="19">
          <cell r="C19">
            <v>361484</v>
          </cell>
          <cell r="D19">
            <v>6207381.7570000002</v>
          </cell>
          <cell r="E19">
            <v>146556</v>
          </cell>
          <cell r="F19">
            <v>5100186.0810000002</v>
          </cell>
          <cell r="G19">
            <v>149504</v>
          </cell>
          <cell r="H19">
            <v>3966390.8420000002</v>
          </cell>
          <cell r="I19">
            <v>97489</v>
          </cell>
          <cell r="J19">
            <v>4709907.716</v>
          </cell>
        </row>
        <row r="20">
          <cell r="C20">
            <v>78101</v>
          </cell>
          <cell r="D20">
            <v>1647045.1050000004</v>
          </cell>
          <cell r="E20">
            <v>15332</v>
          </cell>
          <cell r="F20">
            <v>335214.06599999999</v>
          </cell>
          <cell r="G20">
            <v>32473</v>
          </cell>
          <cell r="H20">
            <v>2028308.1</v>
          </cell>
          <cell r="I20">
            <v>10153</v>
          </cell>
          <cell r="J20">
            <v>364998.25</v>
          </cell>
        </row>
        <row r="21">
          <cell r="C21">
            <v>50947</v>
          </cell>
          <cell r="D21">
            <v>1354842.0980000007</v>
          </cell>
          <cell r="E21">
            <v>166189</v>
          </cell>
          <cell r="F21">
            <v>552670.995</v>
          </cell>
          <cell r="G21">
            <v>33206</v>
          </cell>
          <cell r="H21">
            <v>2320886.5109999999</v>
          </cell>
          <cell r="I21">
            <v>122171</v>
          </cell>
          <cell r="J21">
            <v>433535.36599999998</v>
          </cell>
        </row>
        <row r="22">
          <cell r="C22">
            <v>514465</v>
          </cell>
          <cell r="D22">
            <v>36229526.236000001</v>
          </cell>
          <cell r="E22">
            <v>39023</v>
          </cell>
          <cell r="F22">
            <v>391436.85800000001</v>
          </cell>
          <cell r="G22">
            <v>182489</v>
          </cell>
          <cell r="H22">
            <v>5734751.5800000001</v>
          </cell>
          <cell r="I22">
            <v>32781</v>
          </cell>
          <cell r="J22">
            <v>399542.27600000007</v>
          </cell>
        </row>
        <row r="23">
          <cell r="C23">
            <v>7267</v>
          </cell>
          <cell r="D23">
            <v>103693.5</v>
          </cell>
          <cell r="E23">
            <v>13925</v>
          </cell>
          <cell r="F23">
            <v>141634.98800000001</v>
          </cell>
          <cell r="G23">
            <v>4697</v>
          </cell>
          <cell r="H23">
            <v>258719.21800000005</v>
          </cell>
          <cell r="I23">
            <v>10965</v>
          </cell>
          <cell r="J23">
            <v>126187.90000000001</v>
          </cell>
        </row>
        <row r="24">
          <cell r="C24">
            <v>1384257</v>
          </cell>
          <cell r="D24">
            <v>10695048.261</v>
          </cell>
          <cell r="E24">
            <v>157613</v>
          </cell>
          <cell r="F24">
            <v>1704334.037</v>
          </cell>
          <cell r="G24">
            <v>355838</v>
          </cell>
          <cell r="H24">
            <v>10858734.863000002</v>
          </cell>
          <cell r="I24">
            <v>67716</v>
          </cell>
          <cell r="J24">
            <v>1672963.531</v>
          </cell>
        </row>
        <row r="25">
          <cell r="C25">
            <v>6498</v>
          </cell>
          <cell r="D25">
            <v>640498.82799999998</v>
          </cell>
          <cell r="E25">
            <v>1800</v>
          </cell>
          <cell r="F25">
            <v>119195.974</v>
          </cell>
          <cell r="G25">
            <v>4837</v>
          </cell>
          <cell r="H25">
            <v>1037210.6499999999</v>
          </cell>
          <cell r="I25">
            <v>1629</v>
          </cell>
          <cell r="J25">
            <v>226141.58299999998</v>
          </cell>
        </row>
        <row r="26">
          <cell r="C26">
            <v>146452</v>
          </cell>
          <cell r="D26">
            <v>1537451.05</v>
          </cell>
          <cell r="E26">
            <v>49699</v>
          </cell>
          <cell r="F26">
            <v>694010.55299999996</v>
          </cell>
          <cell r="G26">
            <v>65583</v>
          </cell>
          <cell r="H26">
            <v>1433495.47</v>
          </cell>
          <cell r="I26">
            <v>33967</v>
          </cell>
          <cell r="J26">
            <v>787772.79600000021</v>
          </cell>
        </row>
        <row r="27">
          <cell r="C27">
            <v>49092</v>
          </cell>
          <cell r="D27">
            <v>1407759.6869999999</v>
          </cell>
          <cell r="E27">
            <v>9890</v>
          </cell>
          <cell r="F27">
            <v>349814.81099999999</v>
          </cell>
          <cell r="G27">
            <v>24266</v>
          </cell>
          <cell r="H27">
            <v>1661003.0560000001</v>
          </cell>
          <cell r="I27">
            <v>7307</v>
          </cell>
          <cell r="J27">
            <v>420947.51599999995</v>
          </cell>
        </row>
        <row r="28">
          <cell r="C28">
            <v>21220</v>
          </cell>
          <cell r="D28">
            <v>354334.01800000004</v>
          </cell>
          <cell r="E28">
            <v>5357</v>
          </cell>
          <cell r="F28">
            <v>102058.73000000001</v>
          </cell>
          <cell r="G28">
            <v>8835</v>
          </cell>
          <cell r="H28">
            <v>312055.69700000004</v>
          </cell>
          <cell r="I28">
            <v>3418</v>
          </cell>
          <cell r="J28">
            <v>92249.769</v>
          </cell>
        </row>
        <row r="29">
          <cell r="C29">
            <v>733544</v>
          </cell>
          <cell r="D29">
            <v>19679947.337999806</v>
          </cell>
          <cell r="E29">
            <v>206407</v>
          </cell>
          <cell r="F29">
            <v>4871794.0860000001</v>
          </cell>
          <cell r="G29">
            <v>436248</v>
          </cell>
          <cell r="H29">
            <v>15235773.716000002</v>
          </cell>
          <cell r="I29">
            <v>183452</v>
          </cell>
          <cell r="J29">
            <v>4247296.091</v>
          </cell>
        </row>
        <row r="30">
          <cell r="C30">
            <v>11317033</v>
          </cell>
          <cell r="D30">
            <v>146273691.89899981</v>
          </cell>
          <cell r="E30">
            <v>2496990</v>
          </cell>
          <cell r="F30">
            <v>37986873.569000006</v>
          </cell>
          <cell r="G30">
            <v>4268093</v>
          </cell>
          <cell r="H30">
            <v>182943194.53099999</v>
          </cell>
          <cell r="I30">
            <v>1829112</v>
          </cell>
          <cell r="J30">
            <v>42511527.971000001</v>
          </cell>
        </row>
      </sheetData>
      <sheetData sheetId="2">
        <row r="26">
          <cell r="H26">
            <v>6100</v>
          </cell>
          <cell r="I26">
            <v>173449.198</v>
          </cell>
        </row>
        <row r="27">
          <cell r="H27">
            <v>7701</v>
          </cell>
          <cell r="I27">
            <v>188668.74600000001</v>
          </cell>
        </row>
        <row r="63">
          <cell r="H63">
            <v>76733</v>
          </cell>
          <cell r="I63">
            <v>2194935.7909999993</v>
          </cell>
        </row>
        <row r="136">
          <cell r="H136">
            <v>715127</v>
          </cell>
          <cell r="I136">
            <v>8629922.0789999999</v>
          </cell>
        </row>
        <row r="184">
          <cell r="H184">
            <v>265472</v>
          </cell>
          <cell r="I184">
            <v>6140204.4840000002</v>
          </cell>
        </row>
        <row r="185">
          <cell r="H185">
            <v>63154</v>
          </cell>
          <cell r="I185">
            <v>1029795.372</v>
          </cell>
        </row>
        <row r="186">
          <cell r="H186">
            <v>399037</v>
          </cell>
          <cell r="I186">
            <v>5485290.324000001</v>
          </cell>
        </row>
        <row r="187">
          <cell r="H187">
            <v>2364374</v>
          </cell>
          <cell r="I187">
            <v>45204036.248000003</v>
          </cell>
        </row>
        <row r="188">
          <cell r="H188">
            <v>252879</v>
          </cell>
          <cell r="I188">
            <v>5699258.5310000004</v>
          </cell>
        </row>
        <row r="205">
          <cell r="H205">
            <v>21951</v>
          </cell>
          <cell r="I205">
            <v>544526.55000000005</v>
          </cell>
        </row>
        <row r="266">
          <cell r="H266">
            <v>4326102</v>
          </cell>
          <cell r="I266">
            <v>80498401.390000001</v>
          </cell>
        </row>
      </sheetData>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otal POS"/>
      <sheetName val="POS by sector"/>
      <sheetName val="POS by country"/>
    </sheetNames>
    <sheetDataSet>
      <sheetData sheetId="0">
        <row r="10">
          <cell r="C10">
            <v>13171706</v>
          </cell>
          <cell r="D10">
            <v>2206727</v>
          </cell>
          <cell r="E10">
            <v>4681342</v>
          </cell>
          <cell r="F10">
            <v>1682014</v>
          </cell>
        </row>
        <row r="11">
          <cell r="C11">
            <v>1183180</v>
          </cell>
          <cell r="D11">
            <v>238838</v>
          </cell>
          <cell r="E11">
            <v>1250466</v>
          </cell>
          <cell r="F11">
            <v>659077</v>
          </cell>
        </row>
        <row r="12">
          <cell r="C12">
            <v>158909489.80799985</v>
          </cell>
          <cell r="D12">
            <v>35365060.311000004</v>
          </cell>
          <cell r="E12">
            <v>184666590.55300003</v>
          </cell>
          <cell r="F12">
            <v>41172143.103</v>
          </cell>
        </row>
        <row r="13">
          <cell r="C13">
            <v>22249652.921999834</v>
          </cell>
          <cell r="D13">
            <v>3585442.372</v>
          </cell>
          <cell r="E13">
            <v>113610336.24700002</v>
          </cell>
          <cell r="F13">
            <v>8714003.4700000007</v>
          </cell>
        </row>
        <row r="14">
          <cell r="C14">
            <v>65993</v>
          </cell>
        </row>
        <row r="16">
          <cell r="C16">
            <v>10794079</v>
          </cell>
          <cell r="D16">
            <v>1771350</v>
          </cell>
          <cell r="E16">
            <v>3256871</v>
          </cell>
          <cell r="F16">
            <v>921771</v>
          </cell>
        </row>
        <row r="17">
          <cell r="C17">
            <v>105855520.273</v>
          </cell>
          <cell r="D17">
            <v>25899039.797000002</v>
          </cell>
          <cell r="E17">
            <v>63287021.361999996</v>
          </cell>
          <cell r="F17">
            <v>23954624.359999999</v>
          </cell>
        </row>
      </sheetData>
      <sheetData sheetId="1">
        <row r="10">
          <cell r="C10">
            <v>20894</v>
          </cell>
          <cell r="D10">
            <v>2247244.4089999995</v>
          </cell>
          <cell r="E10">
            <v>3811</v>
          </cell>
          <cell r="F10">
            <v>569183.62</v>
          </cell>
          <cell r="G10">
            <v>15222</v>
          </cell>
          <cell r="H10">
            <v>4936679.4210000001</v>
          </cell>
          <cell r="I10">
            <v>3203</v>
          </cell>
          <cell r="J10">
            <v>981535.23899999994</v>
          </cell>
        </row>
        <row r="11">
          <cell r="C11">
            <v>17741</v>
          </cell>
          <cell r="D11">
            <v>571545.78999999992</v>
          </cell>
          <cell r="E11">
            <v>53254</v>
          </cell>
          <cell r="F11">
            <v>2312660.5389999999</v>
          </cell>
          <cell r="G11">
            <v>11346</v>
          </cell>
          <cell r="H11">
            <v>1312723.0189999999</v>
          </cell>
          <cell r="I11">
            <v>67113</v>
          </cell>
          <cell r="J11">
            <v>6752678.2050000001</v>
          </cell>
        </row>
        <row r="12">
          <cell r="C12">
            <v>3749898</v>
          </cell>
          <cell r="D12">
            <v>17206556.981000002</v>
          </cell>
          <cell r="E12">
            <v>795899</v>
          </cell>
          <cell r="F12">
            <v>7207605.7869999995</v>
          </cell>
          <cell r="G12">
            <v>1228700</v>
          </cell>
          <cell r="H12">
            <v>8273652.8689999999</v>
          </cell>
          <cell r="I12">
            <v>642349</v>
          </cell>
          <cell r="J12">
            <v>6837505.3030000003</v>
          </cell>
        </row>
        <row r="13">
          <cell r="C13">
            <v>663879</v>
          </cell>
          <cell r="D13">
            <v>8829221.7440000009</v>
          </cell>
          <cell r="E13">
            <v>57669</v>
          </cell>
          <cell r="F13">
            <v>1206502.3470000001</v>
          </cell>
          <cell r="G13">
            <v>233323</v>
          </cell>
          <cell r="H13">
            <v>5278834.0540000005</v>
          </cell>
          <cell r="I13">
            <v>27050</v>
          </cell>
          <cell r="J13">
            <v>895849.54499999993</v>
          </cell>
        </row>
        <row r="14">
          <cell r="C14">
            <v>248057</v>
          </cell>
          <cell r="D14">
            <v>11764628.231000002</v>
          </cell>
          <cell r="E14">
            <v>36987</v>
          </cell>
          <cell r="F14">
            <v>644728.07100000011</v>
          </cell>
          <cell r="G14">
            <v>270833</v>
          </cell>
          <cell r="H14">
            <v>88793454.766000003</v>
          </cell>
          <cell r="I14">
            <v>35429</v>
          </cell>
          <cell r="J14">
            <v>1554184.4940000002</v>
          </cell>
        </row>
        <row r="15">
          <cell r="C15">
            <v>159551</v>
          </cell>
          <cell r="D15">
            <v>2211630.8780000005</v>
          </cell>
          <cell r="E15">
            <v>21742</v>
          </cell>
          <cell r="F15">
            <v>378102.92300000001</v>
          </cell>
          <cell r="G15">
            <v>57010</v>
          </cell>
          <cell r="H15">
            <v>3450358.3309999998</v>
          </cell>
          <cell r="I15">
            <v>9755</v>
          </cell>
          <cell r="J15">
            <v>333947.54000000004</v>
          </cell>
        </row>
        <row r="16">
          <cell r="C16">
            <v>4301186</v>
          </cell>
          <cell r="D16">
            <v>29641414.666000005</v>
          </cell>
          <cell r="E16">
            <v>417401</v>
          </cell>
          <cell r="F16">
            <v>3519458.6169999996</v>
          </cell>
          <cell r="G16">
            <v>1337183</v>
          </cell>
          <cell r="H16">
            <v>15291860.943</v>
          </cell>
          <cell r="I16">
            <v>263111</v>
          </cell>
          <cell r="J16">
            <v>2839200.6180000002</v>
          </cell>
        </row>
        <row r="17">
          <cell r="C17">
            <v>11807</v>
          </cell>
          <cell r="D17">
            <v>1633340.3119999999</v>
          </cell>
          <cell r="E17">
            <v>7435</v>
          </cell>
          <cell r="F17">
            <v>3748878.824</v>
          </cell>
          <cell r="G17">
            <v>9250</v>
          </cell>
          <cell r="H17">
            <v>4984831.4640000006</v>
          </cell>
          <cell r="I17">
            <v>6267</v>
          </cell>
          <cell r="J17">
            <v>5763018.2420000006</v>
          </cell>
        </row>
        <row r="18">
          <cell r="C18">
            <v>473997</v>
          </cell>
          <cell r="D18">
            <v>5601792.8260000004</v>
          </cell>
          <cell r="E18">
            <v>107081</v>
          </cell>
          <cell r="F18">
            <v>1901098.7310000001</v>
          </cell>
          <cell r="G18">
            <v>138127</v>
          </cell>
          <cell r="H18">
            <v>3090478.8779999996</v>
          </cell>
          <cell r="I18">
            <v>58243</v>
          </cell>
          <cell r="J18">
            <v>1752637.7990000003</v>
          </cell>
        </row>
        <row r="19">
          <cell r="C19">
            <v>340756</v>
          </cell>
          <cell r="D19">
            <v>5911162.5599999996</v>
          </cell>
          <cell r="E19">
            <v>120053</v>
          </cell>
          <cell r="F19">
            <v>4510456.7889999999</v>
          </cell>
          <cell r="G19">
            <v>128104</v>
          </cell>
          <cell r="H19">
            <v>3686811.3350000004</v>
          </cell>
          <cell r="I19">
            <v>75487</v>
          </cell>
          <cell r="J19">
            <v>4161455.6569999997</v>
          </cell>
        </row>
        <row r="20">
          <cell r="C20">
            <v>92563</v>
          </cell>
          <cell r="D20">
            <v>2818525.2420000001</v>
          </cell>
          <cell r="E20">
            <v>13530</v>
          </cell>
          <cell r="F20">
            <v>386243.734</v>
          </cell>
          <cell r="G20">
            <v>41982</v>
          </cell>
          <cell r="H20">
            <v>3007159.3260000004</v>
          </cell>
          <cell r="I20">
            <v>8850</v>
          </cell>
          <cell r="J20">
            <v>354151.15299999999</v>
          </cell>
        </row>
        <row r="21">
          <cell r="C21">
            <v>57958</v>
          </cell>
          <cell r="D21">
            <v>1534065.8519999995</v>
          </cell>
          <cell r="E21">
            <v>119317</v>
          </cell>
          <cell r="F21">
            <v>579757.20400000003</v>
          </cell>
          <cell r="G21">
            <v>37623</v>
          </cell>
          <cell r="H21">
            <v>2725438.8589999997</v>
          </cell>
          <cell r="I21">
            <v>85612</v>
          </cell>
          <cell r="J21">
            <v>410070.39600000007</v>
          </cell>
        </row>
        <row r="22">
          <cell r="C22">
            <v>527669</v>
          </cell>
          <cell r="D22">
            <v>32843367.295000002</v>
          </cell>
          <cell r="E22">
            <v>33472</v>
          </cell>
          <cell r="F22">
            <v>438583.29200000002</v>
          </cell>
          <cell r="G22">
            <v>197202</v>
          </cell>
          <cell r="H22">
            <v>5872458.0459999992</v>
          </cell>
          <cell r="I22">
            <v>27779</v>
          </cell>
          <cell r="J22">
            <v>418250.28300000005</v>
          </cell>
        </row>
        <row r="23">
          <cell r="C23">
            <v>9267</v>
          </cell>
          <cell r="D23">
            <v>190654.522</v>
          </cell>
          <cell r="E23">
            <v>10846</v>
          </cell>
          <cell r="F23">
            <v>131331.04799999998</v>
          </cell>
          <cell r="G23">
            <v>6426</v>
          </cell>
          <cell r="H23">
            <v>431265.54300000001</v>
          </cell>
          <cell r="I23">
            <v>9507</v>
          </cell>
          <cell r="J23">
            <v>161885.057</v>
          </cell>
        </row>
        <row r="24">
          <cell r="C24">
            <v>1569629</v>
          </cell>
          <cell r="D24">
            <v>11840493.225999998</v>
          </cell>
          <cell r="E24">
            <v>136986</v>
          </cell>
          <cell r="F24">
            <v>1501952.9550000001</v>
          </cell>
          <cell r="G24">
            <v>391905</v>
          </cell>
          <cell r="H24">
            <v>11642449.988</v>
          </cell>
          <cell r="I24">
            <v>56050</v>
          </cell>
          <cell r="J24">
            <v>1429308.8470000001</v>
          </cell>
        </row>
        <row r="25">
          <cell r="C25">
            <v>7369</v>
          </cell>
          <cell r="D25">
            <v>756619.56200000003</v>
          </cell>
          <cell r="E25">
            <v>2367</v>
          </cell>
          <cell r="F25">
            <v>173519.829</v>
          </cell>
          <cell r="G25">
            <v>5163</v>
          </cell>
          <cell r="H25">
            <v>1150123.5189999999</v>
          </cell>
          <cell r="I25">
            <v>2212</v>
          </cell>
          <cell r="J25">
            <v>352468.67500000005</v>
          </cell>
        </row>
        <row r="26">
          <cell r="C26">
            <v>119296</v>
          </cell>
          <cell r="D26">
            <v>1578161.595</v>
          </cell>
          <cell r="E26">
            <v>39123</v>
          </cell>
          <cell r="F26">
            <v>607360.68500000006</v>
          </cell>
          <cell r="G26">
            <v>61408</v>
          </cell>
          <cell r="H26">
            <v>1790974.0829999999</v>
          </cell>
          <cell r="I26">
            <v>28492</v>
          </cell>
          <cell r="J26">
            <v>822480.14600000007</v>
          </cell>
        </row>
        <row r="27">
          <cell r="C27">
            <v>50306</v>
          </cell>
          <cell r="D27">
            <v>1588294.97</v>
          </cell>
          <cell r="E27">
            <v>10585</v>
          </cell>
          <cell r="F27">
            <v>391516.73600000003</v>
          </cell>
          <cell r="G27">
            <v>24995</v>
          </cell>
          <cell r="H27">
            <v>2140434.9620000003</v>
          </cell>
          <cell r="I27">
            <v>7087</v>
          </cell>
          <cell r="J27">
            <v>437094.12400000001</v>
          </cell>
        </row>
        <row r="28">
          <cell r="C28">
            <v>39718</v>
          </cell>
          <cell r="D28">
            <v>453614.53500000003</v>
          </cell>
          <cell r="E28">
            <v>5213</v>
          </cell>
          <cell r="F28">
            <v>98461.062000000005</v>
          </cell>
          <cell r="G28">
            <v>14586</v>
          </cell>
          <cell r="H28">
            <v>378335.82199999999</v>
          </cell>
          <cell r="I28">
            <v>3240</v>
          </cell>
          <cell r="J28">
            <v>87502.357000000004</v>
          </cell>
        </row>
        <row r="29">
          <cell r="C29">
            <v>710165</v>
          </cell>
          <cell r="D29">
            <v>19687154.608999833</v>
          </cell>
          <cell r="E29">
            <v>213956</v>
          </cell>
          <cell r="F29">
            <v>5057657.518000002</v>
          </cell>
          <cell r="G29">
            <v>470954</v>
          </cell>
          <cell r="H29">
            <v>16428265.325000001</v>
          </cell>
          <cell r="I29">
            <v>265178</v>
          </cell>
          <cell r="J29">
            <v>4826919.4230000013</v>
          </cell>
        </row>
        <row r="30">
          <cell r="C30">
            <v>13171706</v>
          </cell>
          <cell r="D30">
            <v>158909489.80499983</v>
          </cell>
          <cell r="E30">
            <v>2206727</v>
          </cell>
          <cell r="F30">
            <v>35365060.310999997</v>
          </cell>
          <cell r="G30">
            <v>4681342</v>
          </cell>
          <cell r="H30">
            <v>184666590.55300003</v>
          </cell>
          <cell r="I30">
            <v>1682014</v>
          </cell>
          <cell r="J30">
            <v>41172143.103</v>
          </cell>
        </row>
      </sheetData>
      <sheetData sheetId="2">
        <row r="26">
          <cell r="H26">
            <v>6114</v>
          </cell>
          <cell r="I26">
            <v>153564.701</v>
          </cell>
        </row>
        <row r="27">
          <cell r="H27">
            <v>7820</v>
          </cell>
          <cell r="I27">
            <v>181579.35499999998</v>
          </cell>
        </row>
        <row r="63">
          <cell r="H63">
            <v>90110</v>
          </cell>
          <cell r="I63">
            <v>2530402.0010000002</v>
          </cell>
        </row>
        <row r="136">
          <cell r="H136">
            <v>699669</v>
          </cell>
          <cell r="I136">
            <v>8826203.2899999991</v>
          </cell>
        </row>
        <row r="184">
          <cell r="H184">
            <v>189697</v>
          </cell>
          <cell r="I184">
            <v>5243211.5950000007</v>
          </cell>
        </row>
        <row r="185">
          <cell r="H185">
            <v>48938</v>
          </cell>
          <cell r="I185">
            <v>826293.78699999989</v>
          </cell>
        </row>
        <row r="186">
          <cell r="H186">
            <v>373840</v>
          </cell>
          <cell r="I186">
            <v>5612939.5270000007</v>
          </cell>
        </row>
        <row r="187">
          <cell r="H187">
            <v>2056336</v>
          </cell>
          <cell r="I187">
            <v>42147380.032000005</v>
          </cell>
        </row>
        <row r="188">
          <cell r="H188">
            <v>243666</v>
          </cell>
          <cell r="I188">
            <v>5833322.5940000005</v>
          </cell>
        </row>
        <row r="205">
          <cell r="H205">
            <v>23268</v>
          </cell>
          <cell r="I205">
            <v>602036.10800000012</v>
          </cell>
        </row>
        <row r="266">
          <cell r="H266">
            <v>3888741</v>
          </cell>
          <cell r="I266">
            <v>76537203.258000001</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otal POS"/>
      <sheetName val="POS by sector"/>
      <sheetName val="POS by country"/>
    </sheetNames>
    <sheetDataSet>
      <sheetData sheetId="0">
        <row r="10">
          <cell r="C10">
            <v>12870202</v>
          </cell>
          <cell r="D10">
            <v>921612</v>
          </cell>
          <cell r="E10">
            <v>4461789</v>
          </cell>
          <cell r="F10">
            <v>895960</v>
          </cell>
        </row>
        <row r="11">
          <cell r="C11">
            <v>1373288</v>
          </cell>
          <cell r="D11">
            <v>101299</v>
          </cell>
          <cell r="E11">
            <v>1269365</v>
          </cell>
          <cell r="F11">
            <v>595505</v>
          </cell>
        </row>
        <row r="12">
          <cell r="C12">
            <v>169196874.07799977</v>
          </cell>
          <cell r="D12">
            <v>12116422.953000002</v>
          </cell>
          <cell r="E12">
            <v>141794082.148</v>
          </cell>
          <cell r="F12">
            <v>16208040.484999999</v>
          </cell>
        </row>
        <row r="13">
          <cell r="C13">
            <v>25949074.566999778</v>
          </cell>
          <cell r="D13">
            <v>2391415.2510000002</v>
          </cell>
          <cell r="E13">
            <v>78659113.876000002</v>
          </cell>
          <cell r="F13">
            <v>7491190.4329999993</v>
          </cell>
        </row>
        <row r="14">
          <cell r="C14">
            <v>66299</v>
          </cell>
        </row>
        <row r="16">
          <cell r="C16">
            <v>10268732</v>
          </cell>
          <cell r="D16">
            <v>751112</v>
          </cell>
          <cell r="E16">
            <v>2993597</v>
          </cell>
          <cell r="F16">
            <v>260642</v>
          </cell>
        </row>
        <row r="17">
          <cell r="C17">
            <v>110338194.76100001</v>
          </cell>
          <cell r="D17">
            <v>8228175.8249999993</v>
          </cell>
          <cell r="E17">
            <v>56870501.733999997</v>
          </cell>
          <cell r="F17">
            <v>6205390.7800000003</v>
          </cell>
        </row>
      </sheetData>
      <sheetData sheetId="1">
        <row r="10">
          <cell r="C10">
            <v>10176</v>
          </cell>
          <cell r="D10">
            <v>1162381.3530000001</v>
          </cell>
          <cell r="E10">
            <v>2563</v>
          </cell>
          <cell r="F10">
            <v>455415.12600000005</v>
          </cell>
          <cell r="G10">
            <v>7062</v>
          </cell>
          <cell r="H10">
            <v>2096584.6159999999</v>
          </cell>
          <cell r="I10">
            <v>2554</v>
          </cell>
          <cell r="J10">
            <v>810085.61100000003</v>
          </cell>
        </row>
        <row r="11">
          <cell r="C11">
            <v>10896</v>
          </cell>
          <cell r="D11">
            <v>429120.99999999994</v>
          </cell>
          <cell r="E11">
            <v>13284</v>
          </cell>
          <cell r="F11">
            <v>516065.74199999997</v>
          </cell>
          <cell r="G11">
            <v>7084</v>
          </cell>
          <cell r="H11">
            <v>776465.44799999986</v>
          </cell>
          <cell r="I11">
            <v>17198</v>
          </cell>
          <cell r="J11">
            <v>2095832.7550000001</v>
          </cell>
        </row>
        <row r="12">
          <cell r="C12">
            <v>3662551</v>
          </cell>
          <cell r="D12">
            <v>18980891.192000002</v>
          </cell>
          <cell r="E12">
            <v>343480</v>
          </cell>
          <cell r="F12">
            <v>2425206.8930000002</v>
          </cell>
          <cell r="G12">
            <v>1181672</v>
          </cell>
          <cell r="H12">
            <v>8180632.0160000008</v>
          </cell>
          <cell r="I12">
            <v>359013</v>
          </cell>
          <cell r="J12">
            <v>2844671.8569999998</v>
          </cell>
        </row>
        <row r="13">
          <cell r="C13">
            <v>639994</v>
          </cell>
          <cell r="D13">
            <v>8484055.9759999998</v>
          </cell>
          <cell r="E13">
            <v>32473</v>
          </cell>
          <cell r="F13">
            <v>687216.65700000001</v>
          </cell>
          <cell r="G13">
            <v>210123</v>
          </cell>
          <cell r="H13">
            <v>4753512.5739999991</v>
          </cell>
          <cell r="I13">
            <v>12518</v>
          </cell>
          <cell r="J13">
            <v>443613.96799999999</v>
          </cell>
        </row>
        <row r="14">
          <cell r="C14">
            <v>154752</v>
          </cell>
          <cell r="D14">
            <v>6343950.3210000005</v>
          </cell>
          <cell r="E14">
            <v>13637</v>
          </cell>
          <cell r="F14">
            <v>268186.51500000001</v>
          </cell>
          <cell r="G14">
            <v>170523</v>
          </cell>
          <cell r="H14">
            <v>54630707.741999999</v>
          </cell>
          <cell r="I14">
            <v>9627</v>
          </cell>
          <cell r="J14">
            <v>847760.12099999993</v>
          </cell>
        </row>
        <row r="15">
          <cell r="C15">
            <v>161162</v>
          </cell>
          <cell r="D15">
            <v>2303497.9699999997</v>
          </cell>
          <cell r="E15">
            <v>5605</v>
          </cell>
          <cell r="F15">
            <v>129371.11900000001</v>
          </cell>
          <cell r="G15">
            <v>52339</v>
          </cell>
          <cell r="H15">
            <v>3397489.0160000003</v>
          </cell>
          <cell r="I15">
            <v>2250</v>
          </cell>
          <cell r="J15">
            <v>252089.101</v>
          </cell>
        </row>
        <row r="16">
          <cell r="C16">
            <v>4292457</v>
          </cell>
          <cell r="D16">
            <v>32334290.313999996</v>
          </cell>
          <cell r="E16">
            <v>211415</v>
          </cell>
          <cell r="F16">
            <v>1744929.5180000002</v>
          </cell>
          <cell r="G16">
            <v>1345180</v>
          </cell>
          <cell r="H16">
            <v>16702013.827000001</v>
          </cell>
          <cell r="I16">
            <v>168439</v>
          </cell>
          <cell r="J16">
            <v>1884846.6919999998</v>
          </cell>
        </row>
        <row r="17">
          <cell r="C17">
            <v>13784</v>
          </cell>
          <cell r="D17">
            <v>1936422.6930000002</v>
          </cell>
          <cell r="E17">
            <v>1777</v>
          </cell>
          <cell r="F17">
            <v>699609.78399999999</v>
          </cell>
          <cell r="G17">
            <v>9249</v>
          </cell>
          <cell r="H17">
            <v>4396131.1950000003</v>
          </cell>
          <cell r="I17">
            <v>1297</v>
          </cell>
          <cell r="J17">
            <v>1168112.4639999999</v>
          </cell>
        </row>
        <row r="18">
          <cell r="C18">
            <v>419440</v>
          </cell>
          <cell r="D18">
            <v>5054059.7360000005</v>
          </cell>
          <cell r="E18">
            <v>28951</v>
          </cell>
          <cell r="F18">
            <v>340830.57</v>
          </cell>
          <cell r="G18">
            <v>114449</v>
          </cell>
          <cell r="H18">
            <v>2495668.5460000001</v>
          </cell>
          <cell r="I18">
            <v>7733</v>
          </cell>
          <cell r="J18">
            <v>225322.334</v>
          </cell>
        </row>
        <row r="19">
          <cell r="C19">
            <v>525227</v>
          </cell>
          <cell r="D19">
            <v>9170203.6130000018</v>
          </cell>
          <cell r="E19">
            <v>26392</v>
          </cell>
          <cell r="F19">
            <v>950466.63899999997</v>
          </cell>
          <cell r="G19">
            <v>162214</v>
          </cell>
          <cell r="H19">
            <v>4326129.7280000001</v>
          </cell>
          <cell r="I19">
            <v>14499</v>
          </cell>
          <cell r="J19">
            <v>921625.86300000001</v>
          </cell>
        </row>
        <row r="20">
          <cell r="C20">
            <v>83660</v>
          </cell>
          <cell r="D20">
            <v>2874966.5350000001</v>
          </cell>
          <cell r="E20">
            <v>4197</v>
          </cell>
          <cell r="F20">
            <v>179672.64999999997</v>
          </cell>
          <cell r="G20">
            <v>45181</v>
          </cell>
          <cell r="H20">
            <v>3146700.341</v>
          </cell>
          <cell r="I20">
            <v>4506</v>
          </cell>
          <cell r="J20">
            <v>219474.24299999999</v>
          </cell>
        </row>
        <row r="21">
          <cell r="C21">
            <v>47214</v>
          </cell>
          <cell r="D21">
            <v>1598264.18</v>
          </cell>
          <cell r="E21">
            <v>36231</v>
          </cell>
          <cell r="F21">
            <v>221359.81100000002</v>
          </cell>
          <cell r="G21">
            <v>33541</v>
          </cell>
          <cell r="H21">
            <v>2900915.2259999993</v>
          </cell>
          <cell r="I21">
            <v>23492</v>
          </cell>
          <cell r="J21">
            <v>182165.652</v>
          </cell>
        </row>
        <row r="22">
          <cell r="C22">
            <v>587977</v>
          </cell>
          <cell r="D22">
            <v>39645555.916000001</v>
          </cell>
          <cell r="E22">
            <v>19401</v>
          </cell>
          <cell r="F22">
            <v>290059.41200000001</v>
          </cell>
          <cell r="G22">
            <v>220849</v>
          </cell>
          <cell r="H22">
            <v>6662882.0560000008</v>
          </cell>
          <cell r="I22">
            <v>16476</v>
          </cell>
          <cell r="J22">
            <v>300368.06799999997</v>
          </cell>
        </row>
        <row r="23">
          <cell r="C23">
            <v>7448</v>
          </cell>
          <cell r="D23">
            <v>147783.269</v>
          </cell>
          <cell r="E23">
            <v>1591</v>
          </cell>
          <cell r="F23">
            <v>30063.194000000003</v>
          </cell>
          <cell r="G23">
            <v>4174</v>
          </cell>
          <cell r="H23">
            <v>220899.22</v>
          </cell>
          <cell r="I23">
            <v>1086</v>
          </cell>
          <cell r="J23">
            <v>32626.898999999998</v>
          </cell>
        </row>
        <row r="24">
          <cell r="C24">
            <v>1327470</v>
          </cell>
          <cell r="D24">
            <v>10676598.030999999</v>
          </cell>
          <cell r="E24">
            <v>81221</v>
          </cell>
          <cell r="F24">
            <v>901004.66999999993</v>
          </cell>
          <cell r="G24">
            <v>333635</v>
          </cell>
          <cell r="H24">
            <v>9808532.8990000002</v>
          </cell>
          <cell r="I24">
            <v>20987</v>
          </cell>
          <cell r="J24">
            <v>852852.45299999998</v>
          </cell>
        </row>
        <row r="25">
          <cell r="C25">
            <v>2366</v>
          </cell>
          <cell r="D25">
            <v>363245.36099999998</v>
          </cell>
          <cell r="E25">
            <v>336</v>
          </cell>
          <cell r="F25">
            <v>52217.108000000007</v>
          </cell>
          <cell r="G25">
            <v>1529</v>
          </cell>
          <cell r="H25">
            <v>596875.94699999993</v>
          </cell>
          <cell r="I25">
            <v>479</v>
          </cell>
          <cell r="J25">
            <v>111571.95800000001</v>
          </cell>
        </row>
        <row r="26">
          <cell r="C26">
            <v>127858</v>
          </cell>
          <cell r="D26">
            <v>1375300.8570000001</v>
          </cell>
          <cell r="E26">
            <v>14701</v>
          </cell>
          <cell r="F26">
            <v>183442.44099999999</v>
          </cell>
          <cell r="G26">
            <v>57843</v>
          </cell>
          <cell r="H26">
            <v>999965.299</v>
          </cell>
          <cell r="I26">
            <v>8048</v>
          </cell>
          <cell r="J26">
            <v>170303.58899999998</v>
          </cell>
        </row>
        <row r="27">
          <cell r="C27">
            <v>38986</v>
          </cell>
          <cell r="D27">
            <v>1258575.8629999999</v>
          </cell>
          <cell r="E27">
            <v>1848</v>
          </cell>
          <cell r="F27">
            <v>93695.130999999994</v>
          </cell>
          <cell r="G27">
            <v>20036</v>
          </cell>
          <cell r="H27">
            <v>1800053.868</v>
          </cell>
          <cell r="I27">
            <v>1276</v>
          </cell>
          <cell r="J27">
            <v>146771.87599999999</v>
          </cell>
        </row>
        <row r="28">
          <cell r="C28">
            <v>19234</v>
          </cell>
          <cell r="D28">
            <v>384035.41500000004</v>
          </cell>
          <cell r="E28">
            <v>855</v>
          </cell>
          <cell r="F28">
            <v>32671.495999999999</v>
          </cell>
          <cell r="G28">
            <v>7698</v>
          </cell>
          <cell r="H28">
            <v>371854.40900000004</v>
          </cell>
          <cell r="I28">
            <v>562</v>
          </cell>
          <cell r="J28">
            <v>33018.741999999998</v>
          </cell>
        </row>
        <row r="29">
          <cell r="C29">
            <v>737550</v>
          </cell>
          <cell r="D29">
            <v>24673674.485999767</v>
          </cell>
          <cell r="E29">
            <v>81654</v>
          </cell>
          <cell r="F29">
            <v>1914938.477</v>
          </cell>
          <cell r="G29">
            <v>477408</v>
          </cell>
          <cell r="H29">
            <v>13530068.173</v>
          </cell>
          <cell r="I29">
            <v>223920</v>
          </cell>
          <cell r="J29">
            <v>2664926.2389999991</v>
          </cell>
        </row>
        <row r="30">
          <cell r="C30">
            <v>12870202</v>
          </cell>
          <cell r="D30">
            <v>169196874.08099973</v>
          </cell>
          <cell r="E30">
            <v>921612</v>
          </cell>
          <cell r="F30">
            <v>12116422.953000002</v>
          </cell>
          <cell r="G30">
            <v>4461789</v>
          </cell>
          <cell r="H30">
            <v>141794082.146</v>
          </cell>
          <cell r="I30">
            <v>895960</v>
          </cell>
          <cell r="J30">
            <v>16208040.485000003</v>
          </cell>
        </row>
      </sheetData>
      <sheetData sheetId="2">
        <row r="26">
          <cell r="H26">
            <v>1410</v>
          </cell>
          <cell r="I26">
            <v>28730.796999999999</v>
          </cell>
        </row>
        <row r="27">
          <cell r="H27">
            <v>1156</v>
          </cell>
          <cell r="I27">
            <v>31690.243999999999</v>
          </cell>
        </row>
        <row r="63">
          <cell r="H63">
            <v>20350</v>
          </cell>
          <cell r="I63">
            <v>702989.03800000006</v>
          </cell>
        </row>
        <row r="136">
          <cell r="H136">
            <v>590119</v>
          </cell>
          <cell r="I136">
            <v>6682651.4539999999</v>
          </cell>
        </row>
        <row r="184">
          <cell r="H184">
            <v>42773</v>
          </cell>
          <cell r="I184">
            <v>1169797.621</v>
          </cell>
        </row>
        <row r="185">
          <cell r="H185">
            <v>11702</v>
          </cell>
          <cell r="I185">
            <v>240095.22100000002</v>
          </cell>
        </row>
        <row r="186">
          <cell r="H186">
            <v>317340</v>
          </cell>
          <cell r="I186">
            <v>2599059.497</v>
          </cell>
        </row>
        <row r="187">
          <cell r="H187">
            <v>621633</v>
          </cell>
          <cell r="I187">
            <v>12842959.793</v>
          </cell>
        </row>
        <row r="188">
          <cell r="H188">
            <v>153588</v>
          </cell>
          <cell r="I188">
            <v>2758342.45</v>
          </cell>
        </row>
        <row r="205">
          <cell r="H205">
            <v>9603</v>
          </cell>
          <cell r="I205">
            <v>130605.249</v>
          </cell>
        </row>
        <row r="266">
          <cell r="H266">
            <v>1817572</v>
          </cell>
          <cell r="I266">
            <v>28324463.438000001</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otal POS"/>
      <sheetName val="POS by sector"/>
      <sheetName val="POS by country"/>
    </sheetNames>
    <sheetDataSet>
      <sheetData sheetId="0">
        <row r="10">
          <cell r="C10">
            <v>14024926</v>
          </cell>
          <cell r="D10">
            <v>1453377</v>
          </cell>
          <cell r="E10">
            <v>4892903</v>
          </cell>
          <cell r="F10">
            <v>1173783</v>
          </cell>
        </row>
        <row r="11">
          <cell r="C11">
            <v>1288586</v>
          </cell>
          <cell r="D11">
            <v>152789</v>
          </cell>
          <cell r="E11">
            <v>1338584</v>
          </cell>
          <cell r="F11">
            <v>639537</v>
          </cell>
        </row>
        <row r="12">
          <cell r="C12">
            <v>166868379.04599974</v>
          </cell>
          <cell r="D12">
            <v>20115978.092</v>
          </cell>
          <cell r="E12">
            <v>166611173.73100001</v>
          </cell>
          <cell r="F12">
            <v>21185686.702</v>
          </cell>
        </row>
        <row r="13">
          <cell r="C13">
            <v>22039510.576999735</v>
          </cell>
          <cell r="D13">
            <v>2607859.3480000002</v>
          </cell>
          <cell r="E13">
            <v>95416545.533999994</v>
          </cell>
          <cell r="F13">
            <v>7616919.2889999999</v>
          </cell>
        </row>
        <row r="14">
          <cell r="C14">
            <v>66532</v>
          </cell>
        </row>
        <row r="16">
          <cell r="C16">
            <v>11448622</v>
          </cell>
          <cell r="D16">
            <v>1187059</v>
          </cell>
          <cell r="E16">
            <v>3361863</v>
          </cell>
          <cell r="F16">
            <v>488576</v>
          </cell>
        </row>
        <row r="17">
          <cell r="C17">
            <v>111611173.66599999</v>
          </cell>
          <cell r="D17">
            <v>14692072.606999999</v>
          </cell>
          <cell r="E17">
            <v>63094164.035000011</v>
          </cell>
          <cell r="F17">
            <v>11383581.811000003</v>
          </cell>
        </row>
      </sheetData>
      <sheetData sheetId="1">
        <row r="10">
          <cell r="C10">
            <v>18707</v>
          </cell>
          <cell r="D10">
            <v>2049522.0349999999</v>
          </cell>
          <cell r="E10">
            <v>3798</v>
          </cell>
          <cell r="F10">
            <v>705361.375</v>
          </cell>
          <cell r="G10">
            <v>12329</v>
          </cell>
          <cell r="H10">
            <v>4839353.852</v>
          </cell>
          <cell r="I10">
            <v>3677</v>
          </cell>
          <cell r="J10">
            <v>1331822.7609999999</v>
          </cell>
        </row>
        <row r="11">
          <cell r="C11">
            <v>19017</v>
          </cell>
          <cell r="D11">
            <v>586415.83699999994</v>
          </cell>
          <cell r="E11">
            <v>31834</v>
          </cell>
          <cell r="F11">
            <v>1132781.4679999999</v>
          </cell>
          <cell r="G11">
            <v>10340</v>
          </cell>
          <cell r="H11">
            <v>845907.52800000005</v>
          </cell>
          <cell r="I11">
            <v>28132</v>
          </cell>
          <cell r="J11">
            <v>2045904.5079999999</v>
          </cell>
        </row>
        <row r="12">
          <cell r="C12">
            <v>4484164</v>
          </cell>
          <cell r="D12">
            <v>21086244.432</v>
          </cell>
          <cell r="E12">
            <v>555486</v>
          </cell>
          <cell r="F12">
            <v>4755054.7829999998</v>
          </cell>
          <cell r="G12">
            <v>1475435</v>
          </cell>
          <cell r="H12">
            <v>9586451.1559999995</v>
          </cell>
          <cell r="I12">
            <v>486917</v>
          </cell>
          <cell r="J12">
            <v>4444297.1450000005</v>
          </cell>
        </row>
        <row r="13">
          <cell r="C13">
            <v>680179</v>
          </cell>
          <cell r="D13">
            <v>9955908.2880000006</v>
          </cell>
          <cell r="E13">
            <v>37069</v>
          </cell>
          <cell r="F13">
            <v>882416.99300000002</v>
          </cell>
          <cell r="G13">
            <v>230979</v>
          </cell>
          <cell r="H13">
            <v>5912482.4400000004</v>
          </cell>
          <cell r="I13">
            <v>15871</v>
          </cell>
          <cell r="J13">
            <v>535601.28099999996</v>
          </cell>
        </row>
        <row r="14">
          <cell r="C14">
            <v>238967</v>
          </cell>
          <cell r="D14">
            <v>9661225.472000001</v>
          </cell>
          <cell r="E14">
            <v>18809</v>
          </cell>
          <cell r="F14">
            <v>336724.03100000002</v>
          </cell>
          <cell r="G14">
            <v>251802</v>
          </cell>
          <cell r="H14">
            <v>70036967.928000003</v>
          </cell>
          <cell r="I14">
            <v>11385</v>
          </cell>
          <cell r="J14">
            <v>1006822.343</v>
          </cell>
        </row>
        <row r="15">
          <cell r="C15">
            <v>159032</v>
          </cell>
          <cell r="D15">
            <v>2444349.6100000003</v>
          </cell>
          <cell r="E15">
            <v>11696</v>
          </cell>
          <cell r="F15">
            <v>242539.54399999997</v>
          </cell>
          <cell r="G15">
            <v>59887</v>
          </cell>
          <cell r="H15">
            <v>3949310.0869999998</v>
          </cell>
          <cell r="I15">
            <v>4712</v>
          </cell>
          <cell r="J15">
            <v>267809.75399999996</v>
          </cell>
        </row>
        <row r="16">
          <cell r="C16">
            <v>4417436</v>
          </cell>
          <cell r="D16">
            <v>27775472.495999999</v>
          </cell>
          <cell r="E16">
            <v>302123</v>
          </cell>
          <cell r="F16">
            <v>2315925.8560000001</v>
          </cell>
          <cell r="G16">
            <v>1310485</v>
          </cell>
          <cell r="H16">
            <v>14092060.911</v>
          </cell>
          <cell r="I16">
            <v>194475</v>
          </cell>
          <cell r="J16">
            <v>1992720.3640000001</v>
          </cell>
        </row>
        <row r="17">
          <cell r="C17">
            <v>12313</v>
          </cell>
          <cell r="D17">
            <v>1944678.9810000001</v>
          </cell>
          <cell r="E17">
            <v>3014</v>
          </cell>
          <cell r="F17">
            <v>1336555.5049999999</v>
          </cell>
          <cell r="G17">
            <v>9317</v>
          </cell>
          <cell r="H17">
            <v>4489147.0649999995</v>
          </cell>
          <cell r="I17">
            <v>2279</v>
          </cell>
          <cell r="J17">
            <v>2058030.176</v>
          </cell>
        </row>
        <row r="18">
          <cell r="C18">
            <v>433805</v>
          </cell>
          <cell r="D18">
            <v>4775703.2489999998</v>
          </cell>
          <cell r="E18">
            <v>43311</v>
          </cell>
          <cell r="F18">
            <v>491712.33199999999</v>
          </cell>
          <cell r="G18">
            <v>122199</v>
          </cell>
          <cell r="H18">
            <v>2765946.3089999999</v>
          </cell>
          <cell r="I18">
            <v>13345</v>
          </cell>
          <cell r="J18">
            <v>303193.84999999998</v>
          </cell>
        </row>
        <row r="19">
          <cell r="C19">
            <v>375320</v>
          </cell>
          <cell r="D19">
            <v>6178112.8640000001</v>
          </cell>
          <cell r="E19">
            <v>50538</v>
          </cell>
          <cell r="F19">
            <v>1987731.4339999999</v>
          </cell>
          <cell r="G19">
            <v>140899</v>
          </cell>
          <cell r="H19">
            <v>3820575.9699999997</v>
          </cell>
          <cell r="I19">
            <v>31198</v>
          </cell>
          <cell r="J19">
            <v>1923043.6679999998</v>
          </cell>
        </row>
        <row r="20">
          <cell r="C20">
            <v>83806</v>
          </cell>
          <cell r="D20">
            <v>2991824.5430000001</v>
          </cell>
          <cell r="E20">
            <v>6939</v>
          </cell>
          <cell r="F20">
            <v>224274.99299999999</v>
          </cell>
          <cell r="G20">
            <v>46066</v>
          </cell>
          <cell r="H20">
            <v>3824032.2980000004</v>
          </cell>
          <cell r="I20">
            <v>5894</v>
          </cell>
          <cell r="J20">
            <v>266667.45</v>
          </cell>
        </row>
        <row r="21">
          <cell r="C21">
            <v>59184</v>
          </cell>
          <cell r="D21">
            <v>1815080.602</v>
          </cell>
          <cell r="E21">
            <v>86846</v>
          </cell>
          <cell r="F21">
            <v>412126.21799999999</v>
          </cell>
          <cell r="G21">
            <v>41963</v>
          </cell>
          <cell r="H21">
            <v>3299203.2739999997</v>
          </cell>
          <cell r="I21">
            <v>63730</v>
          </cell>
          <cell r="J21">
            <v>322596.38299999997</v>
          </cell>
        </row>
        <row r="22">
          <cell r="C22">
            <v>564214</v>
          </cell>
          <cell r="D22">
            <v>36206375.539999999</v>
          </cell>
          <cell r="E22">
            <v>31374</v>
          </cell>
          <cell r="F22">
            <v>360002.272</v>
          </cell>
          <cell r="G22">
            <v>206561</v>
          </cell>
          <cell r="H22">
            <v>6718203.5</v>
          </cell>
          <cell r="I22">
            <v>25370</v>
          </cell>
          <cell r="J22">
            <v>368866.95499999996</v>
          </cell>
        </row>
        <row r="23">
          <cell r="C23">
            <v>10565</v>
          </cell>
          <cell r="D23">
            <v>192316.11499999999</v>
          </cell>
          <cell r="E23">
            <v>3810</v>
          </cell>
          <cell r="F23">
            <v>52461.815999999999</v>
          </cell>
          <cell r="G23">
            <v>5835</v>
          </cell>
          <cell r="H23">
            <v>471362.63299999997</v>
          </cell>
          <cell r="I23">
            <v>1941</v>
          </cell>
          <cell r="J23">
            <v>46201.376000000004</v>
          </cell>
        </row>
        <row r="24">
          <cell r="C24">
            <v>1522352</v>
          </cell>
          <cell r="D24">
            <v>12067793.343999999</v>
          </cell>
          <cell r="E24">
            <v>101940</v>
          </cell>
          <cell r="F24">
            <v>1090234.1499999999</v>
          </cell>
          <cell r="G24">
            <v>372541</v>
          </cell>
          <cell r="H24">
            <v>11314686.329</v>
          </cell>
          <cell r="I24">
            <v>29732</v>
          </cell>
          <cell r="J24">
            <v>851860.76699999999</v>
          </cell>
        </row>
        <row r="25">
          <cell r="C25">
            <v>5582</v>
          </cell>
          <cell r="D25">
            <v>661878.76599999995</v>
          </cell>
          <cell r="E25">
            <v>789</v>
          </cell>
          <cell r="F25">
            <v>66912.577000000019</v>
          </cell>
          <cell r="G25">
            <v>3460</v>
          </cell>
          <cell r="H25">
            <v>789467.57499999995</v>
          </cell>
          <cell r="I25">
            <v>656</v>
          </cell>
          <cell r="J25">
            <v>176432.253</v>
          </cell>
        </row>
        <row r="26">
          <cell r="C26">
            <v>176418</v>
          </cell>
          <cell r="D26">
            <v>1878813.3160000001</v>
          </cell>
          <cell r="E26">
            <v>27219</v>
          </cell>
          <cell r="F26">
            <v>77684.659999999974</v>
          </cell>
          <cell r="G26">
            <v>84096</v>
          </cell>
          <cell r="H26">
            <v>1036817.464</v>
          </cell>
          <cell r="I26">
            <v>17856</v>
          </cell>
          <cell r="J26">
            <v>-396359.61400000012</v>
          </cell>
        </row>
        <row r="27">
          <cell r="C27">
            <v>56579</v>
          </cell>
          <cell r="D27">
            <v>1646844.652</v>
          </cell>
          <cell r="E27">
            <v>4272</v>
          </cell>
          <cell r="F27">
            <v>215707.70600000001</v>
          </cell>
          <cell r="G27">
            <v>26712</v>
          </cell>
          <cell r="H27">
            <v>2116393.727</v>
          </cell>
          <cell r="I27">
            <v>2860</v>
          </cell>
          <cell r="J27">
            <v>286635.76399999997</v>
          </cell>
        </row>
        <row r="28">
          <cell r="C28">
            <v>26836</v>
          </cell>
          <cell r="D28">
            <v>422883.69500000001</v>
          </cell>
          <cell r="E28">
            <v>1816</v>
          </cell>
          <cell r="F28">
            <v>41987.68</v>
          </cell>
          <cell r="G28">
            <v>11022</v>
          </cell>
          <cell r="H28">
            <v>378022.42599999998</v>
          </cell>
          <cell r="I28">
            <v>1047</v>
          </cell>
          <cell r="J28">
            <v>39831.188999999998</v>
          </cell>
        </row>
        <row r="29">
          <cell r="C29">
            <v>680450</v>
          </cell>
          <cell r="D29">
            <v>22526935.20999974</v>
          </cell>
          <cell r="E29">
            <v>130694</v>
          </cell>
          <cell r="F29">
            <v>3387782.699</v>
          </cell>
          <cell r="G29">
            <v>470975</v>
          </cell>
          <cell r="H29">
            <v>16324781.26</v>
          </cell>
          <cell r="I29">
            <v>232706</v>
          </cell>
          <cell r="J29">
            <v>3313708.3289999999</v>
          </cell>
        </row>
        <row r="30">
          <cell r="C30">
            <v>14024926</v>
          </cell>
          <cell r="D30">
            <v>166868379.04699975</v>
          </cell>
          <cell r="E30">
            <v>1453377</v>
          </cell>
          <cell r="F30">
            <v>20115978.092</v>
          </cell>
          <cell r="G30">
            <v>4892903</v>
          </cell>
          <cell r="H30">
            <v>166611173.73199996</v>
          </cell>
          <cell r="I30">
            <v>1173783</v>
          </cell>
          <cell r="J30">
            <v>21185686.701999996</v>
          </cell>
        </row>
      </sheetData>
      <sheetData sheetId="2">
        <row r="26">
          <cell r="H26">
            <v>1506</v>
          </cell>
          <cell r="I26">
            <v>22923.758000000002</v>
          </cell>
        </row>
        <row r="27">
          <cell r="H27">
            <v>791</v>
          </cell>
          <cell r="I27">
            <v>-9816.8490000000002</v>
          </cell>
        </row>
        <row r="63">
          <cell r="H63">
            <v>20416</v>
          </cell>
          <cell r="I63">
            <v>413798.46300000011</v>
          </cell>
        </row>
        <row r="136">
          <cell r="H136">
            <v>611724</v>
          </cell>
          <cell r="I136">
            <v>5780569.1099999994</v>
          </cell>
        </row>
        <row r="184">
          <cell r="H184">
            <v>76278</v>
          </cell>
          <cell r="I184">
            <v>1964513.2899999998</v>
          </cell>
        </row>
        <row r="185">
          <cell r="H185">
            <v>20731</v>
          </cell>
          <cell r="I185">
            <v>371595.46199999994</v>
          </cell>
        </row>
        <row r="186">
          <cell r="H186">
            <v>341528</v>
          </cell>
          <cell r="I186">
            <v>2888806.352</v>
          </cell>
        </row>
        <row r="187">
          <cell r="H187">
            <v>1335140</v>
          </cell>
          <cell r="I187">
            <v>26108926.856899999</v>
          </cell>
        </row>
        <row r="188">
          <cell r="H188">
            <v>159177</v>
          </cell>
          <cell r="I188">
            <v>2839999.7220000001</v>
          </cell>
        </row>
        <row r="205">
          <cell r="H205">
            <v>8305</v>
          </cell>
          <cell r="I205">
            <v>3628.3830000000071</v>
          </cell>
        </row>
        <row r="266">
          <cell r="H266">
            <v>2627160</v>
          </cell>
          <cell r="I266">
            <v>41301664.793999992</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sheetName val="2"/>
      <sheetName val="3A"/>
      <sheetName val="3B"/>
      <sheetName val="4"/>
      <sheetName val="5"/>
      <sheetName val="6A"/>
      <sheetName val="6B"/>
      <sheetName val="7"/>
      <sheetName val="8"/>
    </sheetNames>
    <sheetDataSet>
      <sheetData sheetId="0">
        <row r="14">
          <cell r="C14">
            <v>27.611715496000002</v>
          </cell>
          <cell r="D14">
            <v>0</v>
          </cell>
        </row>
        <row r="18">
          <cell r="C18">
            <v>221.91378959799999</v>
          </cell>
          <cell r="D18">
            <v>1118.4800304110363</v>
          </cell>
        </row>
        <row r="23">
          <cell r="C23">
            <v>1181.1306498084857</v>
          </cell>
          <cell r="D23">
            <v>181.33918546182002</v>
          </cell>
        </row>
        <row r="24">
          <cell r="C24">
            <v>295.39923201700003</v>
          </cell>
          <cell r="D24">
            <v>89.398110254570014</v>
          </cell>
        </row>
        <row r="25">
          <cell r="C25">
            <v>191.33432174799998</v>
          </cell>
          <cell r="D25">
            <v>216.03618388021599</v>
          </cell>
        </row>
        <row r="26">
          <cell r="C26">
            <v>332.16020950776999</v>
          </cell>
          <cell r="D26">
            <v>194.98191346342259</v>
          </cell>
        </row>
        <row r="27">
          <cell r="C27">
            <v>2789.9965280907272</v>
          </cell>
          <cell r="D27">
            <v>1309.7616530492026</v>
          </cell>
        </row>
        <row r="28">
          <cell r="C28">
            <v>7664.2156601089764</v>
          </cell>
          <cell r="D28">
            <v>1225.0492144588584</v>
          </cell>
        </row>
        <row r="29">
          <cell r="C29">
            <v>245.99073161203</v>
          </cell>
          <cell r="D29">
            <v>10.64281602162</v>
          </cell>
        </row>
        <row r="30">
          <cell r="C30">
            <v>0</v>
          </cell>
          <cell r="D30">
            <v>0</v>
          </cell>
        </row>
        <row r="31">
          <cell r="C31">
            <v>1.1000000000000001</v>
          </cell>
          <cell r="D31">
            <v>18.118163491850726</v>
          </cell>
        </row>
        <row r="33">
          <cell r="C33">
            <v>377.1941986938599</v>
          </cell>
          <cell r="D33">
            <v>85.402200658769999</v>
          </cell>
        </row>
        <row r="34">
          <cell r="C34">
            <v>2708.8925985417713</v>
          </cell>
          <cell r="D34">
            <v>194.82758527952063</v>
          </cell>
        </row>
        <row r="36">
          <cell r="C36">
            <v>1208.1529404965499</v>
          </cell>
          <cell r="D36">
            <v>-8.9774285622922747</v>
          </cell>
        </row>
        <row r="37">
          <cell r="C37">
            <v>441.80946943411664</v>
          </cell>
          <cell r="D37">
            <v>364.47234970102363</v>
          </cell>
        </row>
        <row r="38">
          <cell r="C38">
            <v>17686.902045153285</v>
          </cell>
          <cell r="D38">
            <v>4999.531977569618</v>
          </cell>
          <cell r="E38">
            <v>114.6855337789009</v>
          </cell>
          <cell r="F38">
            <v>5477.9031505215216</v>
          </cell>
          <cell r="G38">
            <v>9.2572527329999996</v>
          </cell>
          <cell r="H38">
            <v>260.84328384920695</v>
          </cell>
          <cell r="I38">
            <v>17.451131585999999</v>
          </cell>
          <cell r="J38">
            <v>272.7262792358548</v>
          </cell>
          <cell r="K38">
            <v>49.358609444180018</v>
          </cell>
          <cell r="L38">
            <v>285.60723205303424</v>
          </cell>
          <cell r="M38">
            <v>1327.8580731470004</v>
          </cell>
          <cell r="N38">
            <v>3918.225964365527</v>
          </cell>
          <cell r="O38">
            <v>688.09289432067737</v>
          </cell>
          <cell r="P38">
            <v>9079.9887683574889</v>
          </cell>
          <cell r="Q38">
            <v>44188.432196115289</v>
          </cell>
        </row>
        <row r="40">
          <cell r="Q40">
            <v>8054.6312522040544</v>
          </cell>
        </row>
        <row r="68">
          <cell r="C68">
            <v>97.698716777930002</v>
          </cell>
          <cell r="D68">
            <v>79.164492390000973</v>
          </cell>
        </row>
        <row r="69">
          <cell r="C69">
            <v>4193.7062099176046</v>
          </cell>
          <cell r="D69">
            <v>8.3200000010000004</v>
          </cell>
        </row>
        <row r="72">
          <cell r="C72">
            <v>383.04879082000008</v>
          </cell>
          <cell r="D72">
            <v>457.90082343615938</v>
          </cell>
        </row>
        <row r="76">
          <cell r="C76">
            <v>9209.6534829678239</v>
          </cell>
          <cell r="D76">
            <v>3568.2773994987865</v>
          </cell>
        </row>
        <row r="77">
          <cell r="C77">
            <v>309.27243978000001</v>
          </cell>
          <cell r="D77">
            <v>1128.1871806767499</v>
          </cell>
        </row>
        <row r="78">
          <cell r="C78">
            <v>0</v>
          </cell>
          <cell r="D78">
            <v>0</v>
          </cell>
        </row>
        <row r="79">
          <cell r="C79">
            <v>133.27091135000001</v>
          </cell>
          <cell r="D79">
            <v>114.55540402975001</v>
          </cell>
        </row>
        <row r="80">
          <cell r="C80">
            <v>28.787382154960003</v>
          </cell>
          <cell r="D80">
            <v>1012.492442636633</v>
          </cell>
        </row>
        <row r="81">
          <cell r="C81">
            <v>2578.5624165452937</v>
          </cell>
          <cell r="D81">
            <v>1084.6562517235013</v>
          </cell>
        </row>
        <row r="82">
          <cell r="C82">
            <v>6118.7508523785709</v>
          </cell>
          <cell r="D82">
            <v>190.78612043215188</v>
          </cell>
        </row>
        <row r="83">
          <cell r="C83">
            <v>41.009480758999942</v>
          </cell>
          <cell r="D83">
            <v>37.6</v>
          </cell>
        </row>
        <row r="84">
          <cell r="E84">
            <v>0</v>
          </cell>
          <cell r="F84">
            <v>116.20285982397999</v>
          </cell>
          <cell r="G84">
            <v>0</v>
          </cell>
          <cell r="H84">
            <v>357.49350404758025</v>
          </cell>
          <cell r="I84">
            <v>0</v>
          </cell>
          <cell r="J84">
            <v>272.13192738504597</v>
          </cell>
          <cell r="K84">
            <v>0</v>
          </cell>
          <cell r="L84">
            <v>2031.0146847804169</v>
          </cell>
          <cell r="M84">
            <v>0</v>
          </cell>
          <cell r="N84">
            <v>1191.2330547341483</v>
          </cell>
          <cell r="O84">
            <v>1.0505158000000001</v>
          </cell>
          <cell r="P84">
            <v>2374.1900643086028</v>
          </cell>
        </row>
        <row r="86">
          <cell r="C86">
            <v>3927.3984575332674</v>
          </cell>
          <cell r="D86">
            <v>3008.5260907922698</v>
          </cell>
        </row>
        <row r="89">
          <cell r="C89">
            <v>5.25999999928E-7</v>
          </cell>
          <cell r="D89">
            <v>259.12048263537304</v>
          </cell>
        </row>
        <row r="92">
          <cell r="C92">
            <v>461.85089571799995</v>
          </cell>
          <cell r="D92">
            <v>124.29494165765178</v>
          </cell>
        </row>
        <row r="93">
          <cell r="C93">
            <v>1.072499893</v>
          </cell>
          <cell r="D93">
            <v>20.915479788640141</v>
          </cell>
        </row>
        <row r="95">
          <cell r="C95">
            <v>849.7398368761892</v>
          </cell>
          <cell r="D95">
            <v>720.88845431519178</v>
          </cell>
        </row>
        <row r="96">
          <cell r="C96">
            <v>199.07865980022882</v>
          </cell>
          <cell r="D96">
            <v>8.5683508495699989</v>
          </cell>
        </row>
        <row r="97">
          <cell r="C97">
            <v>654.01880585064771</v>
          </cell>
          <cell r="D97">
            <v>277.82402129887225</v>
          </cell>
        </row>
        <row r="98">
          <cell r="C98">
            <v>19977.266356680695</v>
          </cell>
          <cell r="D98">
            <v>8533.8005366635171</v>
          </cell>
          <cell r="E98">
            <v>62.695984314766001</v>
          </cell>
          <cell r="F98">
            <v>2009.0299904710621</v>
          </cell>
          <cell r="G98">
            <v>3.4505433999999995E-2</v>
          </cell>
          <cell r="H98">
            <v>470.17431500697717</v>
          </cell>
          <cell r="I98">
            <v>1.5963876999999998E-2</v>
          </cell>
          <cell r="J98">
            <v>873.82916253583335</v>
          </cell>
          <cell r="K98">
            <v>16.677992354000001</v>
          </cell>
          <cell r="L98">
            <v>2594.2728016867259</v>
          </cell>
          <cell r="M98">
            <v>6.6201828549999995</v>
          </cell>
          <cell r="N98">
            <v>2348.4056633021282</v>
          </cell>
          <cell r="O98">
            <v>39.288058659999997</v>
          </cell>
          <cell r="P98">
            <v>7256.2291374115775</v>
          </cell>
          <cell r="Q98">
            <v>44188.340651253282</v>
          </cell>
        </row>
        <row r="100">
          <cell r="Q100">
            <v>8026.9380401363851</v>
          </cell>
        </row>
      </sheetData>
      <sheetData sheetId="1">
        <row r="15">
          <cell r="C15">
            <v>816.73399908500005</v>
          </cell>
          <cell r="D15">
            <v>295.39923201699997</v>
          </cell>
          <cell r="F15">
            <v>332.02816950776997</v>
          </cell>
          <cell r="I15">
            <v>12294.373709185209</v>
          </cell>
          <cell r="K15">
            <v>317.60034026817993</v>
          </cell>
        </row>
        <row r="16">
          <cell r="E16">
            <v>71.028139971000002</v>
          </cell>
          <cell r="G16">
            <v>1332.0153387117412</v>
          </cell>
          <cell r="H16">
            <v>943.69893369101646</v>
          </cell>
        </row>
        <row r="17">
          <cell r="E17">
            <v>1.0220772070000002</v>
          </cell>
          <cell r="G17">
            <v>95.910212213000037</v>
          </cell>
          <cell r="H17">
            <v>3224.8069145465361</v>
          </cell>
        </row>
        <row r="18">
          <cell r="E18">
            <v>119.31731696700001</v>
          </cell>
          <cell r="G18">
            <v>1334.3627228019996</v>
          </cell>
          <cell r="H18">
            <v>3728.0506524661469</v>
          </cell>
        </row>
        <row r="19">
          <cell r="E19">
            <v>0</v>
          </cell>
          <cell r="G19">
            <v>0</v>
          </cell>
          <cell r="H19">
            <v>0</v>
          </cell>
        </row>
        <row r="20">
          <cell r="I20">
            <v>0</v>
          </cell>
        </row>
        <row r="21">
          <cell r="I21">
            <v>405.83727518148572</v>
          </cell>
        </row>
        <row r="23">
          <cell r="C23">
            <v>181.33918546182002</v>
          </cell>
          <cell r="D23">
            <v>89.398110254570014</v>
          </cell>
          <cell r="F23">
            <v>193.32391346342257</v>
          </cell>
          <cell r="I23">
            <v>3224.9328835839337</v>
          </cell>
          <cell r="K23">
            <v>5201.258765152339</v>
          </cell>
        </row>
        <row r="24">
          <cell r="E24">
            <v>65.449438217879191</v>
          </cell>
          <cell r="G24">
            <v>371.78895861260986</v>
          </cell>
          <cell r="H24">
            <v>129.25412559202954</v>
          </cell>
        </row>
        <row r="25">
          <cell r="E25">
            <v>2.295083118</v>
          </cell>
          <cell r="G25">
            <v>31.920206522801557</v>
          </cell>
          <cell r="H25">
            <v>112.87722522443225</v>
          </cell>
        </row>
        <row r="26">
          <cell r="E26">
            <v>148.26978354433675</v>
          </cell>
          <cell r="G26">
            <v>906.07512368279117</v>
          </cell>
          <cell r="H26">
            <v>992.94172988924083</v>
          </cell>
        </row>
        <row r="27">
          <cell r="E27">
            <v>0</v>
          </cell>
          <cell r="G27">
            <v>0</v>
          </cell>
          <cell r="H27">
            <v>0</v>
          </cell>
        </row>
        <row r="28">
          <cell r="I28">
            <v>0</v>
          </cell>
        </row>
        <row r="29">
          <cell r="I29">
            <v>2.258</v>
          </cell>
        </row>
      </sheetData>
      <sheetData sheetId="2">
        <row r="15">
          <cell r="AX15">
            <v>4597.5733885928785</v>
          </cell>
        </row>
        <row r="69">
          <cell r="AX69">
            <v>372.35835383601591</v>
          </cell>
        </row>
        <row r="86">
          <cell r="AX86">
            <v>0</v>
          </cell>
        </row>
        <row r="90">
          <cell r="AX90">
            <v>21.552650729000003</v>
          </cell>
        </row>
        <row r="105">
          <cell r="AX105">
            <v>120.184635918</v>
          </cell>
        </row>
        <row r="118">
          <cell r="AX118">
            <v>3.7323925870000001</v>
          </cell>
        </row>
        <row r="120">
          <cell r="AX120">
            <v>101.631356689</v>
          </cell>
        </row>
        <row r="122">
          <cell r="AX122">
            <v>2.2309452589999998</v>
          </cell>
        </row>
        <row r="130">
          <cell r="AX130">
            <v>164.47121084742417</v>
          </cell>
        </row>
        <row r="141">
          <cell r="AX141">
            <v>650.13266096521181</v>
          </cell>
        </row>
        <row r="170">
          <cell r="AX170">
            <v>2.6151698000000376E-2</v>
          </cell>
        </row>
        <row r="186">
          <cell r="D186">
            <v>917.84025172092606</v>
          </cell>
          <cell r="E186">
            <v>10.357566424470308</v>
          </cell>
          <cell r="F186">
            <v>0</v>
          </cell>
          <cell r="G186">
            <v>6.0628374879953677</v>
          </cell>
          <cell r="H186">
            <v>0</v>
          </cell>
          <cell r="I186">
            <v>420.10626459470001</v>
          </cell>
          <cell r="J186">
            <v>93.675201725562047</v>
          </cell>
          <cell r="K186">
            <v>2969.2688349753043</v>
          </cell>
          <cell r="L186">
            <v>96.50197051414645</v>
          </cell>
          <cell r="M186">
            <v>18.896882394259592</v>
          </cell>
          <cell r="N186">
            <v>98.818023517994376</v>
          </cell>
          <cell r="O186">
            <v>0.82053954809007457</v>
          </cell>
          <cell r="P186">
            <v>11644.330048823427</v>
          </cell>
          <cell r="Q186">
            <v>79.137032544214932</v>
          </cell>
          <cell r="S186">
            <v>149.20823966869</v>
          </cell>
          <cell r="T186">
            <v>0.6116454478800003</v>
          </cell>
          <cell r="U186">
            <v>1.0966249999999999E-3</v>
          </cell>
          <cell r="V186">
            <v>0.30687879277999974</v>
          </cell>
          <cell r="W186">
            <v>8.4439498000009913E-4</v>
          </cell>
          <cell r="X186">
            <v>741.05046526185993</v>
          </cell>
          <cell r="Y186">
            <v>16.280284402899998</v>
          </cell>
          <cell r="Z186">
            <v>353.24371249184441</v>
          </cell>
          <cell r="AA186">
            <v>13.900557349547475</v>
          </cell>
          <cell r="AB186">
            <v>2.9095490644185571E-2</v>
          </cell>
          <cell r="AC186">
            <v>4.2012855486109739</v>
          </cell>
          <cell r="AD186">
            <v>-0.29899467393783941</v>
          </cell>
          <cell r="AE186">
            <v>933.94801195160244</v>
          </cell>
          <cell r="AF186">
            <v>15.23434866007643</v>
          </cell>
          <cell r="AI186">
            <v>24.938912860951238</v>
          </cell>
          <cell r="AJ186">
            <v>0</v>
          </cell>
          <cell r="AK186">
            <v>0</v>
          </cell>
          <cell r="AL186">
            <v>0</v>
          </cell>
          <cell r="AM186">
            <v>0</v>
          </cell>
          <cell r="AN186">
            <v>209.19734791113532</v>
          </cell>
          <cell r="AO186">
            <v>0</v>
          </cell>
          <cell r="AP186">
            <v>120.75846273319674</v>
          </cell>
          <cell r="AQ186">
            <v>2.5344957692997008E-2</v>
          </cell>
          <cell r="AR186">
            <v>0</v>
          </cell>
          <cell r="AS186">
            <v>-6.0932459074085731E-5</v>
          </cell>
          <cell r="AT186">
            <v>0</v>
          </cell>
          <cell r="AU186">
            <v>3747.7144733361793</v>
          </cell>
          <cell r="AV186">
            <v>0.22749709784643671</v>
          </cell>
          <cell r="AX186">
            <v>22686.39490364811</v>
          </cell>
        </row>
        <row r="187">
          <cell r="AX187">
            <v>511.3369234157575</v>
          </cell>
        </row>
        <row r="188">
          <cell r="AX188">
            <v>706.28277218761332</v>
          </cell>
        </row>
        <row r="189">
          <cell r="AX189">
            <v>5592.5897213888811</v>
          </cell>
        </row>
        <row r="190">
          <cell r="AX190">
            <v>270.07986737920697</v>
          </cell>
        </row>
        <row r="191">
          <cell r="AX191">
            <v>290.1841198628548</v>
          </cell>
        </row>
        <row r="192">
          <cell r="AX192">
            <v>334.94876909762428</v>
          </cell>
        </row>
        <row r="193">
          <cell r="AX193">
            <v>5246.0885284219994</v>
          </cell>
        </row>
        <row r="199">
          <cell r="AX199">
            <v>375.67565768984036</v>
          </cell>
        </row>
        <row r="200">
          <cell r="AX200">
            <v>21.29702151379179</v>
          </cell>
        </row>
        <row r="201">
          <cell r="AX201">
            <v>54.504451366977754</v>
          </cell>
        </row>
        <row r="202">
          <cell r="AX202">
            <v>0.48518091900000004</v>
          </cell>
        </row>
        <row r="203">
          <cell r="AX203">
            <v>144.40995931500001</v>
          </cell>
        </row>
        <row r="204">
          <cell r="AX204">
            <v>1084.9608506013249</v>
          </cell>
        </row>
        <row r="229">
          <cell r="AX229">
            <v>699.84502527221025</v>
          </cell>
        </row>
        <row r="272">
          <cell r="D272">
            <v>7284.8483937833926</v>
          </cell>
          <cell r="E272">
            <v>254.34301162164732</v>
          </cell>
          <cell r="F272">
            <v>10.469201878828599</v>
          </cell>
          <cell r="G272">
            <v>55.222766859931291</v>
          </cell>
          <cell r="H272">
            <v>4.4595490200958713E-3</v>
          </cell>
          <cell r="I272">
            <v>1796.9956822017</v>
          </cell>
          <cell r="J272">
            <v>1777.1862259991171</v>
          </cell>
          <cell r="K272">
            <v>5985.0570341075854</v>
          </cell>
          <cell r="L272">
            <v>1131.2644889190396</v>
          </cell>
          <cell r="M272">
            <v>18.8979905284734</v>
          </cell>
          <cell r="N272">
            <v>473.82094297334572</v>
          </cell>
          <cell r="O272">
            <v>1.3333744957163709</v>
          </cell>
          <cell r="P272">
            <v>11960.584228354606</v>
          </cell>
          <cell r="Q272">
            <v>677.89146109529361</v>
          </cell>
          <cell r="S272">
            <v>3434.5000579069656</v>
          </cell>
          <cell r="T272">
            <v>70.586254315618305</v>
          </cell>
          <cell r="U272">
            <v>1.0966249999999999E-3</v>
          </cell>
          <cell r="V272">
            <v>37.222153565524053</v>
          </cell>
          <cell r="W272">
            <v>8.4439498000009913E-4</v>
          </cell>
          <cell r="X272">
            <v>818.7435505678601</v>
          </cell>
          <cell r="Y272">
            <v>16.525994488899997</v>
          </cell>
          <cell r="Z272">
            <v>629.76838170089991</v>
          </cell>
          <cell r="AA272">
            <v>14.120205057728986</v>
          </cell>
          <cell r="AB272">
            <v>-7.8229391175613543</v>
          </cell>
          <cell r="AC272">
            <v>5.0924167829712914</v>
          </cell>
          <cell r="AD272">
            <v>-0.4486421311645874</v>
          </cell>
          <cell r="AE272">
            <v>935.89603468960252</v>
          </cell>
          <cell r="AF272">
            <v>24.123859556981571</v>
          </cell>
          <cell r="AI272">
            <v>2238.5487468716033</v>
          </cell>
          <cell r="AJ272">
            <v>6.8716214849004975E-2</v>
          </cell>
          <cell r="AK272">
            <v>3.0047965506169779E-4</v>
          </cell>
          <cell r="AL272">
            <v>0.24271374078483107</v>
          </cell>
          <cell r="AM272">
            <v>1.6589850539985716E-3</v>
          </cell>
          <cell r="AN272">
            <v>461.93787840603528</v>
          </cell>
          <cell r="AO272">
            <v>0.45263936275965344</v>
          </cell>
          <cell r="AP272">
            <v>148.27865538368985</v>
          </cell>
          <cell r="AQ272">
            <v>2.6156601147111025</v>
          </cell>
          <cell r="AR272">
            <v>0</v>
          </cell>
          <cell r="AS272">
            <v>0.19463161972419363</v>
          </cell>
          <cell r="AT272">
            <v>0</v>
          </cell>
          <cell r="AU272">
            <v>3919.3054477418573</v>
          </cell>
          <cell r="AV272">
            <v>10.57099153433548</v>
          </cell>
        </row>
      </sheetData>
      <sheetData sheetId="3">
        <row r="15">
          <cell r="AH15">
            <v>2754.7362600964607</v>
          </cell>
        </row>
        <row r="69">
          <cell r="AH69">
            <v>908.99604202538103</v>
          </cell>
        </row>
        <row r="86">
          <cell r="AH86">
            <v>0</v>
          </cell>
        </row>
        <row r="90">
          <cell r="AH90">
            <v>0</v>
          </cell>
        </row>
        <row r="105">
          <cell r="AH105">
            <v>0</v>
          </cell>
        </row>
        <row r="118">
          <cell r="AH118">
            <v>1.15642E-3</v>
          </cell>
        </row>
        <row r="120">
          <cell r="AH120">
            <v>0</v>
          </cell>
        </row>
        <row r="122">
          <cell r="AH122">
            <v>0</v>
          </cell>
        </row>
        <row r="130">
          <cell r="AH130">
            <v>1152.1951514758689</v>
          </cell>
        </row>
        <row r="141">
          <cell r="AH141">
            <v>624.19386044579369</v>
          </cell>
        </row>
        <row r="170">
          <cell r="AH170">
            <v>73.256567003209994</v>
          </cell>
        </row>
        <row r="186">
          <cell r="D186">
            <v>213.21379759610554</v>
          </cell>
          <cell r="E186">
            <v>38.413461616999996</v>
          </cell>
          <cell r="F186">
            <v>-7.9998000000000005E-4</v>
          </cell>
          <cell r="G186">
            <v>2.301141903</v>
          </cell>
          <cell r="H186">
            <v>0</v>
          </cell>
          <cell r="I186">
            <v>759.98573625900008</v>
          </cell>
          <cell r="J186">
            <v>7.1986989279999998</v>
          </cell>
          <cell r="K186">
            <v>3502.1247286085309</v>
          </cell>
          <cell r="L186">
            <v>18.056501352980987</v>
          </cell>
          <cell r="M186">
            <v>1.6841217601538099</v>
          </cell>
          <cell r="N186">
            <v>2.3551920831688311</v>
          </cell>
          <cell r="O186">
            <v>30.395028312005238</v>
          </cell>
          <cell r="P186">
            <v>9465.1645071509629</v>
          </cell>
          <cell r="Q186">
            <v>8.4654613506718874</v>
          </cell>
          <cell r="S186">
            <v>1975.8340866275153</v>
          </cell>
          <cell r="T186">
            <v>7.2600729521465492</v>
          </cell>
          <cell r="U186">
            <v>4.6480040501061742E-5</v>
          </cell>
          <cell r="V186">
            <v>13.854727845495804</v>
          </cell>
          <cell r="W186">
            <v>0.43380889709473103</v>
          </cell>
          <cell r="X186">
            <v>5492.6636825300993</v>
          </cell>
          <cell r="Y186">
            <v>19.499788400514198</v>
          </cell>
          <cell r="Z186">
            <v>2340.8364624982241</v>
          </cell>
          <cell r="AA186">
            <v>218.87027379867934</v>
          </cell>
          <cell r="AB186">
            <v>-4.5650612003685707</v>
          </cell>
          <cell r="AC186">
            <v>29.82383764990966</v>
          </cell>
          <cell r="AD186">
            <v>-0.36889406326061885</v>
          </cell>
          <cell r="AE186">
            <v>4230.1929624476206</v>
          </cell>
          <cell r="AF186">
            <v>137.44298771148689</v>
          </cell>
          <cell r="AH186">
            <v>28511.136359516779</v>
          </cell>
        </row>
        <row r="187">
          <cell r="AH187">
            <v>0</v>
          </cell>
        </row>
        <row r="188">
          <cell r="AH188">
            <v>177.5047193571433</v>
          </cell>
        </row>
        <row r="189">
          <cell r="AH189">
            <v>2071.7608843015587</v>
          </cell>
        </row>
        <row r="190">
          <cell r="AH190">
            <v>470.24180123103838</v>
          </cell>
        </row>
        <row r="191">
          <cell r="AH191">
            <v>873.85313888558551</v>
          </cell>
        </row>
        <row r="192">
          <cell r="AH192">
            <v>2610.9313393449952</v>
          </cell>
        </row>
        <row r="193">
          <cell r="AH193">
            <v>2355.0634614874562</v>
          </cell>
        </row>
        <row r="199">
          <cell r="AH199">
            <v>82.826427301242234</v>
          </cell>
        </row>
        <row r="200">
          <cell r="AH200">
            <v>1.4916046270000001</v>
          </cell>
        </row>
        <row r="201">
          <cell r="AH201">
            <v>0</v>
          </cell>
        </row>
        <row r="202">
          <cell r="AH202">
            <v>0.05</v>
          </cell>
        </row>
        <row r="203">
          <cell r="AH203">
            <v>3.8279856960000003</v>
          </cell>
        </row>
        <row r="204">
          <cell r="AH204">
            <v>1032.0076205846112</v>
          </cell>
        </row>
        <row r="229">
          <cell r="AH229">
            <v>339.66061993565154</v>
          </cell>
        </row>
        <row r="272">
          <cell r="D272">
            <v>1643.9842754984152</v>
          </cell>
          <cell r="E272">
            <v>142.25359246628815</v>
          </cell>
          <cell r="F272">
            <v>103.73996900000002</v>
          </cell>
          <cell r="G272">
            <v>30.341871033326015</v>
          </cell>
          <cell r="H272">
            <v>0.98622855700000001</v>
          </cell>
          <cell r="I272">
            <v>760.05619335900008</v>
          </cell>
          <cell r="J272">
            <v>41.747475250999997</v>
          </cell>
          <cell r="K272">
            <v>6409.9135466291063</v>
          </cell>
          <cell r="L272">
            <v>396.36213946859482</v>
          </cell>
          <cell r="M272">
            <v>1.6841217601538099</v>
          </cell>
          <cell r="N272">
            <v>333.48272766684681</v>
          </cell>
          <cell r="O272">
            <v>57.820143163928279</v>
          </cell>
          <cell r="P272">
            <v>9596.1685398047284</v>
          </cell>
          <cell r="Q272">
            <v>1286.4081430578226</v>
          </cell>
          <cell r="S272">
            <v>4612.2848596726071</v>
          </cell>
          <cell r="T272">
            <v>262.40919966149056</v>
          </cell>
          <cell r="U272">
            <v>3.8057934246574314</v>
          </cell>
          <cell r="V272">
            <v>26.051335442888202</v>
          </cell>
          <cell r="W272">
            <v>0.83002623165243661</v>
          </cell>
          <cell r="X272">
            <v>5505.0219488960993</v>
          </cell>
          <cell r="Y272">
            <v>316.15108612693359</v>
          </cell>
          <cell r="Z272">
            <v>7828.1932486382429</v>
          </cell>
          <cell r="AA272">
            <v>367.18330071676036</v>
          </cell>
          <cell r="AB272">
            <v>-7.7889982483500706</v>
          </cell>
          <cell r="AC272">
            <v>93.7372110328606</v>
          </cell>
          <cell r="AD272">
            <v>-33.74591049468448</v>
          </cell>
          <cell r="AE272">
            <v>4241.3992567586201</v>
          </cell>
          <cell r="AF272">
            <v>167.91564258087391</v>
          </cell>
          <cell r="AH272">
            <v>44188.396967156863</v>
          </cell>
        </row>
      </sheetData>
      <sheetData sheetId="4">
        <row r="14">
          <cell r="D14">
            <v>19893.45994380847</v>
          </cell>
          <cell r="G14">
            <v>20102.623677525062</v>
          </cell>
        </row>
        <row r="16">
          <cell r="D16">
            <v>19720.979573005177</v>
          </cell>
          <cell r="G16">
            <v>20494.385256727201</v>
          </cell>
        </row>
        <row r="17">
          <cell r="D17">
            <v>571.78508533051377</v>
          </cell>
          <cell r="G17">
            <v>483.61273715605336</v>
          </cell>
        </row>
        <row r="18">
          <cell r="D18">
            <v>21.546014943055528</v>
          </cell>
          <cell r="G18">
            <v>101.440789396748</v>
          </cell>
        </row>
        <row r="19">
          <cell r="D19">
            <v>0.89077811817619512</v>
          </cell>
          <cell r="G19">
            <v>25.890930067785781</v>
          </cell>
        </row>
        <row r="20">
          <cell r="D20">
            <v>1472.9888905255302</v>
          </cell>
          <cell r="G20">
            <v>1168.2788164102337</v>
          </cell>
        </row>
        <row r="21">
          <cell r="D21">
            <v>597.34919894136419</v>
          </cell>
          <cell r="G21">
            <v>188.76942349306188</v>
          </cell>
        </row>
        <row r="22">
          <cell r="D22">
            <v>1625.8364574354134</v>
          </cell>
          <cell r="G22">
            <v>1442.4437994993054</v>
          </cell>
        </row>
        <row r="23">
          <cell r="D23">
            <v>283.55400686594879</v>
          </cell>
          <cell r="G23">
            <v>180.90892932297288</v>
          </cell>
        </row>
        <row r="24">
          <cell r="G24">
            <v>44188.354359598423</v>
          </cell>
        </row>
      </sheetData>
      <sheetData sheetId="5">
        <row r="11">
          <cell r="D11">
            <v>5182.1028869565325</v>
          </cell>
        </row>
        <row r="56">
          <cell r="D56">
            <v>6158.5050163225242</v>
          </cell>
        </row>
        <row r="57">
          <cell r="D57">
            <v>3155.459272017129</v>
          </cell>
        </row>
        <row r="58">
          <cell r="D58">
            <v>95.561981788001333</v>
          </cell>
        </row>
        <row r="59">
          <cell r="D59">
            <v>189.20467699921545</v>
          </cell>
        </row>
        <row r="60">
          <cell r="D60">
            <v>1785.6100100074857</v>
          </cell>
        </row>
        <row r="61">
          <cell r="D61">
            <v>126.79336461589878</v>
          </cell>
        </row>
        <row r="62">
          <cell r="D62">
            <v>805.87571089479354</v>
          </cell>
        </row>
        <row r="63">
          <cell r="D63">
            <v>1437.4579156422362</v>
          </cell>
        </row>
        <row r="66">
          <cell r="D66">
            <v>12778.065818921294</v>
          </cell>
        </row>
      </sheetData>
      <sheetData sheetId="6"/>
      <sheetData sheetId="7"/>
      <sheetData sheetId="8"/>
      <sheetData sheetId="9"/>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otal POS"/>
      <sheetName val="POS by sector"/>
      <sheetName val="POS by country"/>
    </sheetNames>
    <sheetDataSet>
      <sheetData sheetId="0">
        <row r="10">
          <cell r="C10">
            <v>15924591</v>
          </cell>
          <cell r="D10">
            <v>2698182</v>
          </cell>
          <cell r="E10">
            <v>5486329</v>
          </cell>
          <cell r="F10">
            <v>2014748</v>
          </cell>
        </row>
        <row r="11">
          <cell r="C11">
            <v>1396446</v>
          </cell>
          <cell r="D11">
            <v>273216</v>
          </cell>
          <cell r="E11">
            <v>1426248</v>
          </cell>
          <cell r="F11">
            <v>796374</v>
          </cell>
        </row>
        <row r="12">
          <cell r="C12">
            <v>185471528.87599963</v>
          </cell>
          <cell r="D12">
            <v>41670079.822999999</v>
          </cell>
          <cell r="E12">
            <v>184965382.623</v>
          </cell>
          <cell r="F12">
            <v>44433120.274000004</v>
          </cell>
        </row>
        <row r="13">
          <cell r="C13">
            <v>22131065.564999618</v>
          </cell>
          <cell r="D13">
            <v>3348667.852</v>
          </cell>
          <cell r="E13">
            <v>105108791.23800001</v>
          </cell>
          <cell r="F13">
            <v>8996889.6549999993</v>
          </cell>
        </row>
        <row r="14">
          <cell r="C14">
            <v>66755</v>
          </cell>
        </row>
        <row r="16">
          <cell r="C16">
            <v>13143197</v>
          </cell>
          <cell r="D16">
            <v>2208649</v>
          </cell>
          <cell r="E16">
            <v>3836571</v>
          </cell>
          <cell r="F16">
            <v>1133812</v>
          </cell>
        </row>
        <row r="17">
          <cell r="C17">
            <v>129825687.61500001</v>
          </cell>
          <cell r="D17">
            <v>32125973.791000001</v>
          </cell>
          <cell r="E17">
            <v>70769912.120999992</v>
          </cell>
          <cell r="F17">
            <v>27953526.010999996</v>
          </cell>
        </row>
      </sheetData>
      <sheetData sheetId="1">
        <row r="10">
          <cell r="C10">
            <v>21436</v>
          </cell>
          <cell r="D10">
            <v>1817666.3309999998</v>
          </cell>
          <cell r="E10">
            <v>4086</v>
          </cell>
          <cell r="F10">
            <v>726629.80199999991</v>
          </cell>
          <cell r="G10">
            <v>15247</v>
          </cell>
          <cell r="H10">
            <v>3898252.1060000001</v>
          </cell>
          <cell r="I10">
            <v>4376</v>
          </cell>
          <cell r="J10">
            <v>1320993.2249999999</v>
          </cell>
        </row>
        <row r="11">
          <cell r="C11">
            <v>27977</v>
          </cell>
          <cell r="D11">
            <v>803503.17</v>
          </cell>
          <cell r="E11">
            <v>76844</v>
          </cell>
          <cell r="F11">
            <v>3112247.8060000003</v>
          </cell>
          <cell r="G11">
            <v>16002</v>
          </cell>
          <cell r="H11">
            <v>1152381.8859999999</v>
          </cell>
          <cell r="I11">
            <v>81472</v>
          </cell>
          <cell r="J11">
            <v>7426553.6349999998</v>
          </cell>
        </row>
        <row r="12">
          <cell r="C12">
            <v>5098178</v>
          </cell>
          <cell r="D12">
            <v>25276787.855000012</v>
          </cell>
          <cell r="E12">
            <v>1016211</v>
          </cell>
          <cell r="F12">
            <v>10425611.646</v>
          </cell>
          <cell r="G12">
            <v>1674827</v>
          </cell>
          <cell r="H12">
            <v>11747818.969999999</v>
          </cell>
          <cell r="I12">
            <v>792732</v>
          </cell>
          <cell r="J12">
            <v>8976101.7920000013</v>
          </cell>
        </row>
        <row r="13">
          <cell r="C13">
            <v>705487</v>
          </cell>
          <cell r="D13">
            <v>9874851.6070000008</v>
          </cell>
          <cell r="E13">
            <v>60111</v>
          </cell>
          <cell r="F13">
            <v>1212817.9239999999</v>
          </cell>
          <cell r="G13">
            <v>242644</v>
          </cell>
          <cell r="H13">
            <v>5790702.7270000009</v>
          </cell>
          <cell r="I13">
            <v>29574</v>
          </cell>
          <cell r="J13">
            <v>825807.24100000004</v>
          </cell>
        </row>
        <row r="14">
          <cell r="C14">
            <v>234999</v>
          </cell>
          <cell r="D14">
            <v>9193360.0419999994</v>
          </cell>
          <cell r="E14">
            <v>27137</v>
          </cell>
          <cell r="F14">
            <v>398818.97200000001</v>
          </cell>
          <cell r="G14">
            <v>244631</v>
          </cell>
          <cell r="H14">
            <v>78964948.279999986</v>
          </cell>
          <cell r="I14">
            <v>20082</v>
          </cell>
          <cell r="J14">
            <v>789900.29700000002</v>
          </cell>
        </row>
        <row r="15">
          <cell r="C15">
            <v>177886</v>
          </cell>
          <cell r="D15">
            <v>2469535.4510000004</v>
          </cell>
          <cell r="E15">
            <v>24890</v>
          </cell>
          <cell r="F15">
            <v>415342.59599999996</v>
          </cell>
          <cell r="G15">
            <v>61215</v>
          </cell>
          <cell r="H15">
            <v>3410570.2919999999</v>
          </cell>
          <cell r="I15">
            <v>10542</v>
          </cell>
          <cell r="J15">
            <v>355697.34499999997</v>
          </cell>
        </row>
        <row r="16">
          <cell r="C16">
            <v>4849337</v>
          </cell>
          <cell r="D16">
            <v>29999885.703000002</v>
          </cell>
          <cell r="E16">
            <v>488693</v>
          </cell>
          <cell r="F16">
            <v>3759234.3840000005</v>
          </cell>
          <cell r="G16">
            <v>1426387</v>
          </cell>
          <cell r="H16">
            <v>15165113.005000001</v>
          </cell>
          <cell r="I16">
            <v>301379</v>
          </cell>
          <cell r="J16">
            <v>3017382.2620000001</v>
          </cell>
        </row>
        <row r="17">
          <cell r="C17">
            <v>16289</v>
          </cell>
          <cell r="D17">
            <v>2547635.0319999997</v>
          </cell>
          <cell r="E17">
            <v>8148</v>
          </cell>
          <cell r="F17">
            <v>3217336.5809999998</v>
          </cell>
          <cell r="G17">
            <v>11257</v>
          </cell>
          <cell r="H17">
            <v>6855650.3219999997</v>
          </cell>
          <cell r="I17">
            <v>6289</v>
          </cell>
          <cell r="J17">
            <v>4993353.8119999999</v>
          </cell>
        </row>
        <row r="18">
          <cell r="C18">
            <v>527912</v>
          </cell>
          <cell r="D18">
            <v>6146393.0659999996</v>
          </cell>
          <cell r="E18">
            <v>96451</v>
          </cell>
          <cell r="F18">
            <v>1462928.3929999999</v>
          </cell>
          <cell r="G18">
            <v>154333</v>
          </cell>
          <cell r="H18">
            <v>3472792.1359999999</v>
          </cell>
          <cell r="I18">
            <v>47172</v>
          </cell>
          <cell r="J18">
            <v>1174477.5610000002</v>
          </cell>
        </row>
        <row r="19">
          <cell r="C19">
            <v>551040</v>
          </cell>
          <cell r="D19">
            <v>9655050.2060000002</v>
          </cell>
          <cell r="E19">
            <v>163143</v>
          </cell>
          <cell r="F19">
            <v>5775389.8110000007</v>
          </cell>
          <cell r="G19">
            <v>204149</v>
          </cell>
          <cell r="H19">
            <v>5671332.2919999994</v>
          </cell>
          <cell r="I19">
            <v>106273</v>
          </cell>
          <cell r="J19">
            <v>5358492.5510000009</v>
          </cell>
        </row>
        <row r="20">
          <cell r="C20">
            <v>95370</v>
          </cell>
          <cell r="D20">
            <v>3011628.6780000003</v>
          </cell>
          <cell r="E20">
            <v>15060</v>
          </cell>
          <cell r="F20">
            <v>412239.88</v>
          </cell>
          <cell r="G20">
            <v>46283</v>
          </cell>
          <cell r="H20">
            <v>3650765.8189999997</v>
          </cell>
          <cell r="I20">
            <v>11025</v>
          </cell>
          <cell r="J20">
            <v>397138.908</v>
          </cell>
        </row>
        <row r="21">
          <cell r="C21">
            <v>67025</v>
          </cell>
          <cell r="D21">
            <v>1563137.0729999999</v>
          </cell>
          <cell r="E21">
            <v>164977</v>
          </cell>
          <cell r="F21">
            <v>762286.67400000012</v>
          </cell>
          <cell r="G21">
            <v>46060</v>
          </cell>
          <cell r="H21">
            <v>3054555.0610000002</v>
          </cell>
          <cell r="I21">
            <v>126304</v>
          </cell>
          <cell r="J21">
            <v>556796.22</v>
          </cell>
        </row>
        <row r="22">
          <cell r="C22">
            <v>597846</v>
          </cell>
          <cell r="D22">
            <v>39707240.938000008</v>
          </cell>
          <cell r="E22">
            <v>57990</v>
          </cell>
          <cell r="F22">
            <v>576574.36599999992</v>
          </cell>
          <cell r="G22">
            <v>214538</v>
          </cell>
          <cell r="H22">
            <v>6840223.4719999991</v>
          </cell>
          <cell r="I22">
            <v>48314</v>
          </cell>
          <cell r="J22">
            <v>522530.41699999996</v>
          </cell>
        </row>
        <row r="23">
          <cell r="C23">
            <v>14553</v>
          </cell>
          <cell r="D23">
            <v>232440.81299999999</v>
          </cell>
          <cell r="E23">
            <v>10275</v>
          </cell>
          <cell r="F23">
            <v>113329.868</v>
          </cell>
          <cell r="G23">
            <v>7768</v>
          </cell>
          <cell r="H23">
            <v>639420.32900000014</v>
          </cell>
          <cell r="I23">
            <v>6081</v>
          </cell>
          <cell r="J23">
            <v>106661.18700000001</v>
          </cell>
        </row>
        <row r="24">
          <cell r="C24">
            <v>1781840</v>
          </cell>
          <cell r="D24">
            <v>13909258.331999999</v>
          </cell>
          <cell r="E24">
            <v>153090</v>
          </cell>
          <cell r="F24">
            <v>1630049.96</v>
          </cell>
          <cell r="G24">
            <v>426801</v>
          </cell>
          <cell r="H24">
            <v>10839382.138</v>
          </cell>
          <cell r="I24">
            <v>55634</v>
          </cell>
          <cell r="J24">
            <v>1318680.121</v>
          </cell>
        </row>
        <row r="25">
          <cell r="C25">
            <v>8534</v>
          </cell>
          <cell r="D25">
            <v>767692.50800000015</v>
          </cell>
          <cell r="E25">
            <v>2345</v>
          </cell>
          <cell r="F25">
            <v>172234.95400000003</v>
          </cell>
          <cell r="G25">
            <v>5754</v>
          </cell>
          <cell r="H25">
            <v>1794241.4990000001</v>
          </cell>
          <cell r="I25">
            <v>2006</v>
          </cell>
          <cell r="J25">
            <v>321305.30200000003</v>
          </cell>
        </row>
        <row r="26">
          <cell r="C26">
            <v>239357</v>
          </cell>
          <cell r="D26">
            <v>2632474.3670000001</v>
          </cell>
          <cell r="E26">
            <v>58581</v>
          </cell>
          <cell r="F26">
            <v>842149.52</v>
          </cell>
          <cell r="G26">
            <v>112357</v>
          </cell>
          <cell r="H26">
            <v>1967924.415</v>
          </cell>
          <cell r="I26">
            <v>39316</v>
          </cell>
          <cell r="J26">
            <v>745299.46699999995</v>
          </cell>
        </row>
        <row r="27">
          <cell r="C27">
            <v>56301</v>
          </cell>
          <cell r="D27">
            <v>1525685.635</v>
          </cell>
          <cell r="E27">
            <v>8986</v>
          </cell>
          <cell r="F27">
            <v>303487.51</v>
          </cell>
          <cell r="G27">
            <v>26092</v>
          </cell>
          <cell r="H27">
            <v>1971037.409</v>
          </cell>
          <cell r="I27">
            <v>6071</v>
          </cell>
          <cell r="J27">
            <v>372238.64400000003</v>
          </cell>
        </row>
        <row r="28">
          <cell r="C28">
            <v>31299</v>
          </cell>
          <cell r="D28">
            <v>446857.32799999998</v>
          </cell>
          <cell r="E28">
            <v>4833</v>
          </cell>
          <cell r="F28">
            <v>86564.368000000002</v>
          </cell>
          <cell r="G28">
            <v>11698</v>
          </cell>
          <cell r="H28">
            <v>363046.73599999998</v>
          </cell>
          <cell r="I28">
            <v>2957</v>
          </cell>
          <cell r="J28">
            <v>80845.027999999991</v>
          </cell>
        </row>
        <row r="29">
          <cell r="C29">
            <v>821925</v>
          </cell>
          <cell r="D29">
            <v>23890444.741999622</v>
          </cell>
          <cell r="E29">
            <v>256331</v>
          </cell>
          <cell r="F29">
            <v>6264804.8059999989</v>
          </cell>
          <cell r="G29">
            <v>538286</v>
          </cell>
          <cell r="H29">
            <v>17715223.729000002</v>
          </cell>
          <cell r="I29">
            <v>317149</v>
          </cell>
          <cell r="J29">
            <v>5772865.2630000003</v>
          </cell>
        </row>
        <row r="30">
          <cell r="C30">
            <v>15924591</v>
          </cell>
          <cell r="D30">
            <v>185471528.87699962</v>
          </cell>
          <cell r="E30">
            <v>2698182</v>
          </cell>
          <cell r="F30">
            <v>41670079.82100001</v>
          </cell>
          <cell r="G30">
            <v>5486329</v>
          </cell>
          <cell r="H30">
            <v>184965382.623</v>
          </cell>
          <cell r="I30">
            <v>2014748</v>
          </cell>
          <cell r="J30">
            <v>44433120.277999997</v>
          </cell>
        </row>
      </sheetData>
      <sheetData sheetId="2">
        <row r="26">
          <cell r="H26">
            <v>2961</v>
          </cell>
          <cell r="I26">
            <v>61493.423000000003</v>
          </cell>
        </row>
        <row r="27">
          <cell r="H27">
            <v>2155</v>
          </cell>
          <cell r="I27">
            <v>48203.876000000004</v>
          </cell>
        </row>
        <row r="63">
          <cell r="H63">
            <v>38237</v>
          </cell>
          <cell r="I63">
            <v>1086706.7989999999</v>
          </cell>
        </row>
        <row r="136">
          <cell r="H136">
            <v>700874</v>
          </cell>
          <cell r="I136">
            <v>7179459.4759999998</v>
          </cell>
        </row>
        <row r="184">
          <cell r="H184">
            <v>235123</v>
          </cell>
          <cell r="I184">
            <v>6102218.5979999993</v>
          </cell>
        </row>
        <row r="185">
          <cell r="H185">
            <v>39596</v>
          </cell>
          <cell r="I185">
            <v>682644.125</v>
          </cell>
        </row>
        <row r="186">
          <cell r="H186">
            <v>448603</v>
          </cell>
          <cell r="I186">
            <v>5188940.6789999995</v>
          </cell>
        </row>
        <row r="187">
          <cell r="H187">
            <v>2924814</v>
          </cell>
          <cell r="I187">
            <v>58496239.116999999</v>
          </cell>
        </row>
        <row r="188">
          <cell r="H188">
            <v>222064</v>
          </cell>
          <cell r="I188">
            <v>4221825.5539999995</v>
          </cell>
        </row>
        <row r="205">
          <cell r="H205">
            <v>13104</v>
          </cell>
          <cell r="I205">
            <v>170932.06299999999</v>
          </cell>
        </row>
        <row r="266">
          <cell r="H266">
            <v>4712930</v>
          </cell>
          <cell r="I266">
            <v>86103199.746999979</v>
          </cell>
        </row>
      </sheetData>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G"/>
      <sheetName val="CSO"/>
      <sheetName val="B"/>
      <sheetName val="CBB"/>
      <sheetName val="WR"/>
      <sheetName val="R"/>
      <sheetName val="MF"/>
      <sheetName val="Services"/>
      <sheetName val=" Services Inbound Tourism "/>
    </sheetNames>
    <sheetDataSet>
      <sheetData sheetId="0"/>
      <sheetData sheetId="1">
        <row r="6">
          <cell r="V6">
            <v>1113.7</v>
          </cell>
          <cell r="W6">
            <v>1267</v>
          </cell>
        </row>
        <row r="9">
          <cell r="V9">
            <v>1245.0999999999999</v>
          </cell>
          <cell r="W9">
            <v>1273.4000000000001</v>
          </cell>
        </row>
        <row r="15">
          <cell r="T15">
            <v>-620.79999999999995</v>
          </cell>
          <cell r="V15">
            <v>-643.6</v>
          </cell>
          <cell r="W15">
            <v>-790.90000000000009</v>
          </cell>
        </row>
        <row r="16">
          <cell r="V16">
            <v>-1351.35</v>
          </cell>
          <cell r="W16">
            <v>-1464.8</v>
          </cell>
        </row>
      </sheetData>
      <sheetData sheetId="2"/>
      <sheetData sheetId="3"/>
      <sheetData sheetId="4">
        <row r="53">
          <cell r="E53">
            <v>246.95</v>
          </cell>
        </row>
      </sheetData>
      <sheetData sheetId="5"/>
      <sheetData sheetId="6"/>
      <sheetData sheetId="7"/>
      <sheetData sheetId="8"/>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heet1"/>
      <sheetName val="Sheet2"/>
      <sheetName val="services"/>
    </sheetNames>
    <sheetDataSet>
      <sheetData sheetId="0"/>
      <sheetData sheetId="1"/>
      <sheetData sheetId="2">
        <row r="3">
          <cell r="W3">
            <v>1746.4</v>
          </cell>
          <cell r="X3">
            <v>1827.4</v>
          </cell>
        </row>
        <row r="12">
          <cell r="W12">
            <v>1222.6999999999998</v>
          </cell>
          <cell r="X12">
            <v>1234.2</v>
          </cell>
        </row>
        <row r="23">
          <cell r="W23">
            <v>27.1</v>
          </cell>
          <cell r="X23">
            <v>31.8</v>
          </cell>
        </row>
        <row r="24">
          <cell r="W24">
            <v>-148.70000000000005</v>
          </cell>
          <cell r="X24">
            <v>-135.60000000000002</v>
          </cell>
        </row>
        <row r="25">
          <cell r="W25">
            <v>439.6</v>
          </cell>
          <cell r="X25">
            <v>492.40000000000003</v>
          </cell>
        </row>
        <row r="26">
          <cell r="W26">
            <v>1.3</v>
          </cell>
          <cell r="X26">
            <v>1.2</v>
          </cell>
        </row>
        <row r="27">
          <cell r="W27">
            <v>68</v>
          </cell>
          <cell r="X27">
            <v>69.899999999999977</v>
          </cell>
        </row>
        <row r="28">
          <cell r="W28">
            <v>29</v>
          </cell>
          <cell r="X28">
            <v>29.6</v>
          </cell>
        </row>
        <row r="29">
          <cell r="W29">
            <v>84.6</v>
          </cell>
          <cell r="X29">
            <v>82.4</v>
          </cell>
        </row>
        <row r="30">
          <cell r="W30">
            <v>22.800000000000011</v>
          </cell>
          <cell r="X30">
            <v>21.5</v>
          </cell>
        </row>
      </sheetData>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General Instructions"/>
      <sheetName val="Data"/>
      <sheetName val="Report Form"/>
    </sheetNames>
    <sheetDataSet>
      <sheetData sheetId="0"/>
      <sheetData sheetId="1">
        <row r="229">
          <cell r="S229">
            <v>575.90000000000009</v>
          </cell>
          <cell r="T229">
            <v>579.6</v>
          </cell>
        </row>
        <row r="230">
          <cell r="S230">
            <v>903.59999999999991</v>
          </cell>
          <cell r="T230">
            <v>897.8</v>
          </cell>
        </row>
        <row r="237">
          <cell r="S237">
            <v>-161</v>
          </cell>
          <cell r="T237">
            <v>-150.10000000000002</v>
          </cell>
        </row>
        <row r="297">
          <cell r="S297">
            <v>-67.599999999999994</v>
          </cell>
          <cell r="T297">
            <v>-61.800000000000011</v>
          </cell>
        </row>
        <row r="324">
          <cell r="S324">
            <v>-99.099999999999966</v>
          </cell>
          <cell r="T324">
            <v>-106.29999999999995</v>
          </cell>
        </row>
        <row r="428">
          <cell r="S428">
            <v>36.1</v>
          </cell>
          <cell r="T428">
            <v>31.2</v>
          </cell>
        </row>
      </sheetData>
      <sheetData sheetId="2"/>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tandard_IIP"/>
      <sheetName val="Banks"/>
      <sheetName val="Summary"/>
      <sheetName val="IIP Detailed"/>
      <sheetName val="Sheet1"/>
      <sheetName val="SDR"/>
      <sheetName val="Table 1 "/>
      <sheetName val="Table 2 "/>
      <sheetName val="Table2 (vertical)"/>
      <sheetName val="Table 3"/>
      <sheetName val="Table 4"/>
      <sheetName val="Table 5 "/>
      <sheetName val="Table 6 "/>
      <sheetName val="SOE"/>
      <sheetName val="CBB"/>
      <sheetName val="Data shared after mission"/>
    </sheetNames>
    <sheetDataSet>
      <sheetData sheetId="0"/>
      <sheetData sheetId="1"/>
      <sheetData sheetId="2"/>
      <sheetData sheetId="3">
        <row r="8">
          <cell r="X8">
            <v>8297.4</v>
          </cell>
          <cell r="Y8">
            <v>8241</v>
          </cell>
          <cell r="Z8">
            <v>8278</v>
          </cell>
          <cell r="AA8">
            <v>8355.1</v>
          </cell>
          <cell r="AB8">
            <v>8500</v>
          </cell>
          <cell r="AC8">
            <v>8335.5</v>
          </cell>
          <cell r="AD8">
            <v>8479.4</v>
          </cell>
          <cell r="AE8">
            <v>8558.3700000000008</v>
          </cell>
          <cell r="AF8">
            <v>8706.7999999999993</v>
          </cell>
        </row>
        <row r="16">
          <cell r="X16">
            <v>20292.076628024461</v>
          </cell>
          <cell r="Y16">
            <v>20352.666734775205</v>
          </cell>
          <cell r="Z16">
            <v>20595.135116583202</v>
          </cell>
          <cell r="AA16">
            <v>21301.897015112962</v>
          </cell>
          <cell r="AB16">
            <v>22017.862455227736</v>
          </cell>
          <cell r="AC16">
            <v>22092.782067151777</v>
          </cell>
          <cell r="AD16">
            <v>21748.223616505558</v>
          </cell>
          <cell r="AE16">
            <v>21884.579575103013</v>
          </cell>
          <cell r="AF16">
            <v>22579.715552475522</v>
          </cell>
        </row>
        <row r="28">
          <cell r="X28">
            <v>31805.034118361138</v>
          </cell>
          <cell r="Y28">
            <v>32632.462429184452</v>
          </cell>
          <cell r="Z28">
            <v>33563.590507413282</v>
          </cell>
          <cell r="AA28">
            <v>34016.451469645675</v>
          </cell>
          <cell r="AB28">
            <v>33717.062742720176</v>
          </cell>
          <cell r="AC28">
            <v>33325.094143399183</v>
          </cell>
          <cell r="AD28">
            <v>35712.511169582292</v>
          </cell>
          <cell r="AE28">
            <v>36611.149608756052</v>
          </cell>
          <cell r="AF28">
            <v>36175.739573255036</v>
          </cell>
        </row>
        <row r="43">
          <cell r="X43">
            <v>1811.6</v>
          </cell>
          <cell r="Y43">
            <v>1815.3000000000002</v>
          </cell>
          <cell r="Z43">
            <v>1798.3</v>
          </cell>
          <cell r="AA43">
            <v>2203.4</v>
          </cell>
          <cell r="AB43">
            <v>1719.1</v>
          </cell>
          <cell r="AC43">
            <v>1343.3</v>
          </cell>
          <cell r="AD43">
            <v>1735.8</v>
          </cell>
          <cell r="AE43">
            <v>1524.5</v>
          </cell>
          <cell r="AF43">
            <v>1976.3</v>
          </cell>
        </row>
        <row r="49">
          <cell r="X49">
            <v>16344.93</v>
          </cell>
          <cell r="Y49">
            <v>16549.96</v>
          </cell>
          <cell r="Z49">
            <v>16550</v>
          </cell>
          <cell r="AA49">
            <v>16691.93</v>
          </cell>
          <cell r="AB49">
            <v>17423.79</v>
          </cell>
          <cell r="AC49">
            <v>17212.75</v>
          </cell>
          <cell r="AD49">
            <v>17299.230000000003</v>
          </cell>
          <cell r="AE49">
            <v>17514.54</v>
          </cell>
          <cell r="AF49">
            <v>17732.55</v>
          </cell>
        </row>
        <row r="55">
          <cell r="X55">
            <v>11702.41557997895</v>
          </cell>
          <cell r="Y55">
            <v>11845.738565791429</v>
          </cell>
          <cell r="Z55">
            <v>11851.47558733308</v>
          </cell>
          <cell r="AA55">
            <v>12417.63599988064</v>
          </cell>
          <cell r="AB55">
            <v>12984.698581006289</v>
          </cell>
          <cell r="AC55">
            <v>12625.102217559859</v>
          </cell>
          <cell r="AD55">
            <v>13562.20458615266</v>
          </cell>
          <cell r="AE55">
            <v>14350.337343103469</v>
          </cell>
          <cell r="AF55">
            <v>15024.753931228737</v>
          </cell>
        </row>
        <row r="64">
          <cell r="X64">
            <v>23731.257554270684</v>
          </cell>
          <cell r="Y64">
            <v>24485.15436837899</v>
          </cell>
          <cell r="Z64">
            <v>25266.887773525625</v>
          </cell>
          <cell r="AA64">
            <v>25985.13953401256</v>
          </cell>
          <cell r="AB64">
            <v>25126.140923760831</v>
          </cell>
          <cell r="AC64">
            <v>24705.936673970191</v>
          </cell>
          <cell r="AD64">
            <v>26306.753998527343</v>
          </cell>
          <cell r="AE64">
            <v>26056.728826127081</v>
          </cell>
          <cell r="AF64">
            <v>25449.608235447246</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52"/>
      <sheetName val="53"/>
    </sheetNames>
    <sheetDataSet>
      <sheetData sheetId="0"/>
      <sheetData sheetId="1">
        <row r="10">
          <cell r="H10">
            <v>8241</v>
          </cell>
          <cell r="I10">
            <v>8278</v>
          </cell>
          <cell r="J10">
            <v>8355.1</v>
          </cell>
          <cell r="K10">
            <v>8500</v>
          </cell>
          <cell r="M10">
            <v>8335.5</v>
          </cell>
          <cell r="N10">
            <v>8479.4</v>
          </cell>
          <cell r="O10">
            <v>8558.3700000000008</v>
          </cell>
          <cell r="P10">
            <v>8706.7999999999993</v>
          </cell>
        </row>
        <row r="11">
          <cell r="H11">
            <v>20352.666734775205</v>
          </cell>
          <cell r="I11">
            <v>20595.135116583202</v>
          </cell>
          <cell r="J11">
            <v>21301.897015112962</v>
          </cell>
          <cell r="K11">
            <v>22017.862455227736</v>
          </cell>
          <cell r="M11">
            <v>22092.782067151777</v>
          </cell>
          <cell r="N11">
            <v>21748.223616505558</v>
          </cell>
          <cell r="O11">
            <v>21884.579575103013</v>
          </cell>
          <cell r="P11">
            <v>22579.715552475522</v>
          </cell>
        </row>
        <row r="12">
          <cell r="H12">
            <v>32632.462429184452</v>
          </cell>
          <cell r="I12">
            <v>33563.590507413282</v>
          </cell>
          <cell r="J12">
            <v>34016.451469645675</v>
          </cell>
          <cell r="K12">
            <v>33717.062742720176</v>
          </cell>
          <cell r="M12">
            <v>33325.094143399183</v>
          </cell>
          <cell r="N12">
            <v>35712.511169582292</v>
          </cell>
          <cell r="O12">
            <v>36611.149608756052</v>
          </cell>
          <cell r="P12">
            <v>36175.739573255036</v>
          </cell>
        </row>
        <row r="13">
          <cell r="H13">
            <v>1815.3000000000002</v>
          </cell>
          <cell r="I13">
            <v>1798.3</v>
          </cell>
          <cell r="J13">
            <v>2203.4</v>
          </cell>
          <cell r="K13">
            <v>1719.1</v>
          </cell>
          <cell r="M13">
            <v>1343.3</v>
          </cell>
          <cell r="N13">
            <v>1735.8</v>
          </cell>
          <cell r="O13">
            <v>1524.5</v>
          </cell>
          <cell r="P13">
            <v>1976.3</v>
          </cell>
        </row>
        <row r="15">
          <cell r="H15">
            <v>16549.96</v>
          </cell>
          <cell r="I15">
            <v>16550</v>
          </cell>
          <cell r="J15">
            <v>16691.93</v>
          </cell>
          <cell r="K15">
            <v>17423.79</v>
          </cell>
          <cell r="M15">
            <v>17212.75</v>
          </cell>
          <cell r="N15">
            <v>17299.230000000003</v>
          </cell>
          <cell r="O15">
            <v>17514.54</v>
          </cell>
          <cell r="P15">
            <v>17732.5</v>
          </cell>
        </row>
        <row r="16">
          <cell r="H16">
            <v>11845.738565791429</v>
          </cell>
          <cell r="I16">
            <v>11851.47558733308</v>
          </cell>
          <cell r="J16">
            <v>12417.63599988064</v>
          </cell>
          <cell r="K16">
            <v>12984.698581006289</v>
          </cell>
          <cell r="M16">
            <v>12625.102217559859</v>
          </cell>
          <cell r="N16">
            <v>13562.20458615266</v>
          </cell>
          <cell r="O16">
            <v>14350.337343103469</v>
          </cell>
          <cell r="P16">
            <v>15024.753931228737</v>
          </cell>
        </row>
        <row r="17">
          <cell r="H17">
            <v>24485.15436837899</v>
          </cell>
          <cell r="I17">
            <v>25266.887773525625</v>
          </cell>
          <cell r="J17">
            <v>25985.13953401256</v>
          </cell>
          <cell r="K17">
            <v>25126.140923760831</v>
          </cell>
          <cell r="M17">
            <v>24705.936673970191</v>
          </cell>
          <cell r="N17">
            <v>26306.753998527343</v>
          </cell>
          <cell r="O17">
            <v>26056.728826127081</v>
          </cell>
          <cell r="P17">
            <v>25449.608235447246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80"/>
  <sheetViews>
    <sheetView zoomScale="75" zoomScaleNormal="75" workbookViewId="0">
      <selection activeCell="F9" sqref="F9"/>
    </sheetView>
  </sheetViews>
  <sheetFormatPr defaultColWidth="7.81640625" defaultRowHeight="13.5"/>
  <cols>
    <col min="1" max="1" width="2.26953125" style="1030" customWidth="1"/>
    <col min="2" max="2" width="76.7265625" style="1030" customWidth="1"/>
    <col min="3" max="3" width="3.7265625" style="1030" customWidth="1"/>
    <col min="4" max="4" width="5.7265625" style="1030" customWidth="1"/>
    <col min="5" max="5" width="3.81640625" style="1030" customWidth="1"/>
    <col min="6" max="6" width="76.81640625" style="1030" customWidth="1"/>
    <col min="7" max="7" width="2.26953125" style="1030" customWidth="1"/>
    <col min="8" max="16384" width="7.81640625" style="1030"/>
  </cols>
  <sheetData>
    <row r="1" spans="1:7" ht="21.25" customHeight="1" thickBot="1"/>
    <row r="2" spans="1:7" ht="9" customHeight="1">
      <c r="A2" s="1031"/>
      <c r="B2" s="1032"/>
      <c r="C2" s="1032"/>
      <c r="D2" s="1032"/>
      <c r="E2" s="1032"/>
      <c r="F2" s="1032"/>
      <c r="G2" s="1033"/>
    </row>
    <row r="3" spans="1:7" s="1039" customFormat="1" ht="18">
      <c r="A3" s="1034" t="s">
        <v>0</v>
      </c>
      <c r="B3" s="1035"/>
      <c r="C3" s="1036"/>
      <c r="D3" s="1035"/>
      <c r="E3" s="1036"/>
      <c r="F3" s="1037"/>
      <c r="G3" s="1038"/>
    </row>
    <row r="4" spans="1:7" s="1039" customFormat="1" ht="9" customHeight="1">
      <c r="A4" s="1034"/>
      <c r="B4" s="1037"/>
      <c r="C4" s="1037"/>
      <c r="D4" s="1040"/>
      <c r="E4" s="1037"/>
      <c r="F4" s="1037"/>
      <c r="G4" s="1038"/>
    </row>
    <row r="5" spans="1:7" s="1039" customFormat="1" ht="14.9" customHeight="1">
      <c r="A5" s="1034" t="s">
        <v>1</v>
      </c>
      <c r="B5" s="1037"/>
      <c r="C5" s="1037"/>
      <c r="D5" s="1040"/>
      <c r="E5" s="1037"/>
      <c r="F5" s="1037"/>
      <c r="G5" s="1038"/>
    </row>
    <row r="6" spans="1:7" s="1047" customFormat="1" ht="21.25" customHeight="1">
      <c r="A6" s="1041"/>
      <c r="B6" s="1042" t="s">
        <v>2</v>
      </c>
      <c r="C6" s="1043"/>
      <c r="D6" s="1044"/>
      <c r="E6" s="1043"/>
      <c r="F6" s="1045" t="s">
        <v>3</v>
      </c>
      <c r="G6" s="1046"/>
    </row>
    <row r="7" spans="1:7" ht="20.25" customHeight="1">
      <c r="A7" s="1048"/>
      <c r="B7" s="1049" t="s">
        <v>4</v>
      </c>
      <c r="C7" s="1050"/>
      <c r="D7" s="1051"/>
      <c r="E7" s="1050"/>
      <c r="F7" s="1052" t="s">
        <v>5</v>
      </c>
      <c r="G7" s="1053"/>
    </row>
    <row r="8" spans="1:7" ht="20.25" customHeight="1">
      <c r="A8" s="1048"/>
      <c r="B8" s="1054" t="s">
        <v>6</v>
      </c>
      <c r="C8" s="1054"/>
      <c r="D8" s="1055">
        <v>1</v>
      </c>
      <c r="E8" s="1054"/>
      <c r="F8" s="1056" t="s">
        <v>7</v>
      </c>
      <c r="G8" s="1053"/>
    </row>
    <row r="9" spans="1:7" ht="17.5" customHeight="1">
      <c r="A9" s="1048"/>
      <c r="B9" s="1054" t="s">
        <v>8</v>
      </c>
      <c r="C9" s="1054"/>
      <c r="D9" s="1055">
        <v>2</v>
      </c>
      <c r="E9" s="1054"/>
      <c r="F9" s="1056" t="s">
        <v>9</v>
      </c>
      <c r="G9" s="1053"/>
    </row>
    <row r="10" spans="1:7" ht="17.5" customHeight="1">
      <c r="A10" s="1048"/>
      <c r="B10" s="1054" t="s">
        <v>10</v>
      </c>
      <c r="C10" s="1054"/>
      <c r="D10" s="1055">
        <v>3</v>
      </c>
      <c r="E10" s="1054"/>
      <c r="F10" s="1056" t="s">
        <v>11</v>
      </c>
      <c r="G10" s="1053"/>
    </row>
    <row r="11" spans="1:7" ht="17.5" customHeight="1">
      <c r="A11" s="1048"/>
      <c r="B11" s="1054" t="s">
        <v>12</v>
      </c>
      <c r="C11" s="1054"/>
      <c r="D11" s="1055">
        <v>4</v>
      </c>
      <c r="E11" s="1054"/>
      <c r="F11" s="1056" t="s">
        <v>13</v>
      </c>
      <c r="G11" s="1053"/>
    </row>
    <row r="12" spans="1:7" ht="17.5" customHeight="1">
      <c r="A12" s="1048"/>
      <c r="B12" s="1054" t="s">
        <v>14</v>
      </c>
      <c r="C12" s="1054"/>
      <c r="D12" s="1055">
        <v>5</v>
      </c>
      <c r="E12" s="1054"/>
      <c r="F12" s="1056" t="s">
        <v>15</v>
      </c>
      <c r="G12" s="1053"/>
    </row>
    <row r="13" spans="1:7" ht="17.5" customHeight="1">
      <c r="A13" s="1048"/>
      <c r="B13" s="1054" t="s">
        <v>16</v>
      </c>
      <c r="C13" s="1054"/>
      <c r="D13" s="1055">
        <v>6</v>
      </c>
      <c r="E13" s="1054"/>
      <c r="F13" s="1056" t="s">
        <v>17</v>
      </c>
      <c r="G13" s="1053"/>
    </row>
    <row r="14" spans="1:7" ht="17.5" customHeight="1">
      <c r="A14" s="1048"/>
      <c r="B14" s="1054" t="s">
        <v>18</v>
      </c>
      <c r="C14" s="1054"/>
      <c r="D14" s="1055">
        <v>7</v>
      </c>
      <c r="E14" s="1054"/>
      <c r="F14" s="1056" t="s">
        <v>19</v>
      </c>
      <c r="G14" s="1053"/>
    </row>
    <row r="15" spans="1:7" ht="17.5" customHeight="1">
      <c r="A15" s="1048"/>
      <c r="B15" s="1054" t="s">
        <v>20</v>
      </c>
      <c r="C15" s="1054"/>
      <c r="D15" s="1055">
        <v>8</v>
      </c>
      <c r="E15" s="1054"/>
      <c r="F15" s="1056" t="s">
        <v>21</v>
      </c>
      <c r="G15" s="1053"/>
    </row>
    <row r="16" spans="1:7" ht="17.5" customHeight="1">
      <c r="A16" s="1048"/>
      <c r="B16" s="1054" t="s">
        <v>22</v>
      </c>
      <c r="C16" s="1054"/>
      <c r="D16" s="1055">
        <v>9</v>
      </c>
      <c r="E16" s="1054"/>
      <c r="F16" s="1056" t="s">
        <v>23</v>
      </c>
      <c r="G16" s="1053"/>
    </row>
    <row r="17" spans="1:7" ht="17.5" customHeight="1">
      <c r="A17" s="1048"/>
      <c r="B17" s="1054" t="s">
        <v>24</v>
      </c>
      <c r="C17" s="1054"/>
      <c r="D17" s="1055">
        <v>10</v>
      </c>
      <c r="E17" s="1054"/>
      <c r="F17" s="1056" t="s">
        <v>25</v>
      </c>
      <c r="G17" s="1053"/>
    </row>
    <row r="18" spans="1:7" ht="17.5" customHeight="1">
      <c r="A18" s="1048"/>
      <c r="B18" s="1054" t="s">
        <v>26</v>
      </c>
      <c r="C18" s="1054"/>
      <c r="D18" s="1055">
        <v>11</v>
      </c>
      <c r="E18" s="1054"/>
      <c r="F18" s="1056" t="s">
        <v>27</v>
      </c>
      <c r="G18" s="1053"/>
    </row>
    <row r="19" spans="1:7" ht="17.5" customHeight="1">
      <c r="A19" s="1048"/>
      <c r="B19" s="1054" t="s">
        <v>28</v>
      </c>
      <c r="C19" s="1054"/>
      <c r="D19" s="1055">
        <v>12</v>
      </c>
      <c r="E19" s="1054"/>
      <c r="F19" s="1056" t="s">
        <v>29</v>
      </c>
      <c r="G19" s="1053"/>
    </row>
    <row r="20" spans="1:7" ht="17.5" customHeight="1">
      <c r="A20" s="1048"/>
      <c r="B20" s="1054" t="s">
        <v>30</v>
      </c>
      <c r="C20" s="1054"/>
      <c r="D20" s="1055">
        <v>13</v>
      </c>
      <c r="E20" s="1054"/>
      <c r="F20" s="1057" t="s">
        <v>31</v>
      </c>
      <c r="G20" s="1053"/>
    </row>
    <row r="21" spans="1:7" s="1061" customFormat="1" ht="20.25" customHeight="1">
      <c r="A21" s="1058"/>
      <c r="B21" s="1049" t="s">
        <v>32</v>
      </c>
      <c r="C21" s="1049"/>
      <c r="D21" s="1059"/>
      <c r="E21" s="1049"/>
      <c r="F21" s="1052" t="s">
        <v>33</v>
      </c>
      <c r="G21" s="1060"/>
    </row>
    <row r="22" spans="1:7" ht="20.25" customHeight="1">
      <c r="A22" s="1048"/>
      <c r="B22" s="1054" t="s">
        <v>34</v>
      </c>
      <c r="C22" s="1054"/>
      <c r="D22" s="1055">
        <v>14</v>
      </c>
      <c r="E22" s="1054"/>
      <c r="F22" s="1056" t="s">
        <v>35</v>
      </c>
      <c r="G22" s="1053"/>
    </row>
    <row r="23" spans="1:7" ht="17.5" customHeight="1">
      <c r="A23" s="1048"/>
      <c r="B23" s="1054" t="s">
        <v>36</v>
      </c>
      <c r="C23" s="1054"/>
      <c r="D23" s="1055">
        <v>15</v>
      </c>
      <c r="E23" s="1054"/>
      <c r="F23" s="1056" t="s">
        <v>37</v>
      </c>
      <c r="G23" s="1053"/>
    </row>
    <row r="24" spans="1:7" ht="17.5" customHeight="1">
      <c r="A24" s="1048"/>
      <c r="B24" s="1054" t="s">
        <v>38</v>
      </c>
      <c r="C24" s="1054"/>
      <c r="D24" s="1055">
        <v>16</v>
      </c>
      <c r="E24" s="1054"/>
      <c r="F24" s="1056" t="s">
        <v>39</v>
      </c>
      <c r="G24" s="1053"/>
    </row>
    <row r="25" spans="1:7" ht="17.5" customHeight="1">
      <c r="A25" s="1048"/>
      <c r="B25" s="1054" t="s">
        <v>40</v>
      </c>
      <c r="C25" s="1054"/>
      <c r="D25" s="1055">
        <v>17</v>
      </c>
      <c r="E25" s="1054"/>
      <c r="F25" s="1056" t="s">
        <v>41</v>
      </c>
      <c r="G25" s="1053"/>
    </row>
    <row r="26" spans="1:7" ht="17.5" customHeight="1">
      <c r="A26" s="1048"/>
      <c r="B26" s="1054" t="s">
        <v>42</v>
      </c>
      <c r="C26" s="1054"/>
      <c r="D26" s="1055">
        <v>18</v>
      </c>
      <c r="E26" s="1054"/>
      <c r="F26" s="1056" t="s">
        <v>43</v>
      </c>
      <c r="G26" s="1053"/>
    </row>
    <row r="27" spans="1:7" ht="17.5" customHeight="1">
      <c r="A27" s="1048"/>
      <c r="B27" s="1054" t="s">
        <v>44</v>
      </c>
      <c r="C27" s="1054"/>
      <c r="D27" s="1055">
        <v>19</v>
      </c>
      <c r="E27" s="1054"/>
      <c r="F27" s="1056" t="s">
        <v>45</v>
      </c>
      <c r="G27" s="1053"/>
    </row>
    <row r="28" spans="1:7" ht="17.5" customHeight="1">
      <c r="A28" s="1048"/>
      <c r="B28" s="1054" t="s">
        <v>46</v>
      </c>
      <c r="C28" s="1054"/>
      <c r="D28" s="1055">
        <v>20</v>
      </c>
      <c r="E28" s="1054"/>
      <c r="F28" s="1056" t="s">
        <v>47</v>
      </c>
      <c r="G28" s="1053"/>
    </row>
    <row r="29" spans="1:7" ht="27">
      <c r="A29" s="1048"/>
      <c r="B29" s="2351" t="s">
        <v>48</v>
      </c>
      <c r="C29" s="1054"/>
      <c r="D29" s="1055">
        <v>21</v>
      </c>
      <c r="E29" s="1054"/>
      <c r="F29" s="1056" t="s">
        <v>49</v>
      </c>
      <c r="G29" s="1053"/>
    </row>
    <row r="30" spans="1:7" ht="17.5" customHeight="1">
      <c r="A30" s="1048"/>
      <c r="B30" s="1054" t="s">
        <v>50</v>
      </c>
      <c r="C30" s="1054"/>
      <c r="D30" s="1055">
        <v>22</v>
      </c>
      <c r="E30" s="1054"/>
      <c r="F30" s="1056" t="s">
        <v>51</v>
      </c>
      <c r="G30" s="1053"/>
    </row>
    <row r="31" spans="1:7" ht="17.5" customHeight="1">
      <c r="A31" s="1048"/>
      <c r="B31" s="1054" t="s">
        <v>52</v>
      </c>
      <c r="C31" s="1054"/>
      <c r="D31" s="1055">
        <v>23</v>
      </c>
      <c r="E31" s="1054"/>
      <c r="F31" s="1056" t="s">
        <v>53</v>
      </c>
      <c r="G31" s="1053"/>
    </row>
    <row r="32" spans="1:7" s="1039" customFormat="1" ht="16.5" customHeight="1">
      <c r="A32" s="1034"/>
      <c r="B32" s="1054" t="s">
        <v>54</v>
      </c>
      <c r="C32" s="1054"/>
      <c r="D32" s="1055">
        <v>24</v>
      </c>
      <c r="E32" s="1054"/>
      <c r="F32" s="1056" t="s">
        <v>55</v>
      </c>
      <c r="G32" s="1038"/>
    </row>
    <row r="33" spans="1:7" ht="17.5" customHeight="1">
      <c r="A33" s="1048"/>
      <c r="B33" s="1054" t="s">
        <v>56</v>
      </c>
      <c r="C33" s="1054"/>
      <c r="D33" s="1055">
        <v>25</v>
      </c>
      <c r="E33" s="1054"/>
      <c r="F33" s="1056" t="s">
        <v>57</v>
      </c>
      <c r="G33" s="1053"/>
    </row>
    <row r="34" spans="1:7" ht="17.5" customHeight="1">
      <c r="A34" s="1048"/>
      <c r="B34" s="1054" t="s">
        <v>58</v>
      </c>
      <c r="C34" s="1054"/>
      <c r="D34" s="1055">
        <v>26</v>
      </c>
      <c r="E34" s="1054"/>
      <c r="F34" s="1056" t="s">
        <v>59</v>
      </c>
      <c r="G34" s="1053"/>
    </row>
    <row r="35" spans="1:7" ht="17.5" customHeight="1">
      <c r="A35" s="1048"/>
      <c r="B35" s="1054" t="s">
        <v>60</v>
      </c>
      <c r="C35" s="1054"/>
      <c r="D35" s="1055">
        <v>27</v>
      </c>
      <c r="E35" s="1054"/>
      <c r="F35" s="1056" t="s">
        <v>61</v>
      </c>
      <c r="G35" s="1053"/>
    </row>
    <row r="36" spans="1:7" s="1061" customFormat="1" ht="20.25" customHeight="1">
      <c r="A36" s="1058"/>
      <c r="B36" s="1049" t="s">
        <v>62</v>
      </c>
      <c r="C36" s="1049"/>
      <c r="D36" s="1059"/>
      <c r="E36" s="1049"/>
      <c r="F36" s="1052" t="s">
        <v>63</v>
      </c>
      <c r="G36" s="1060"/>
    </row>
    <row r="37" spans="1:7" ht="20.25" customHeight="1">
      <c r="A37" s="1048"/>
      <c r="B37" s="1054" t="s">
        <v>34</v>
      </c>
      <c r="C37" s="1054"/>
      <c r="D37" s="1055">
        <v>28</v>
      </c>
      <c r="E37" s="1054"/>
      <c r="F37" s="1056" t="s">
        <v>35</v>
      </c>
      <c r="G37" s="1053"/>
    </row>
    <row r="38" spans="1:7" ht="17.5" customHeight="1">
      <c r="A38" s="1048"/>
      <c r="B38" s="1054" t="s">
        <v>36</v>
      </c>
      <c r="C38" s="1054"/>
      <c r="D38" s="1055">
        <v>29</v>
      </c>
      <c r="E38" s="1054"/>
      <c r="F38" s="1056" t="s">
        <v>37</v>
      </c>
      <c r="G38" s="1053"/>
    </row>
    <row r="39" spans="1:7" ht="17.5" customHeight="1">
      <c r="A39" s="1048"/>
      <c r="B39" s="1054" t="s">
        <v>52</v>
      </c>
      <c r="C39" s="1054"/>
      <c r="D39" s="1055">
        <v>30</v>
      </c>
      <c r="E39" s="1054"/>
      <c r="F39" s="1056" t="s">
        <v>53</v>
      </c>
      <c r="G39" s="1053"/>
    </row>
    <row r="40" spans="1:7" s="1039" customFormat="1" ht="17.5" customHeight="1">
      <c r="A40" s="1034"/>
      <c r="B40" s="1054" t="s">
        <v>54</v>
      </c>
      <c r="C40" s="1054"/>
      <c r="D40" s="1055">
        <v>31</v>
      </c>
      <c r="E40" s="1054"/>
      <c r="F40" s="1056" t="s">
        <v>55</v>
      </c>
      <c r="G40" s="1038"/>
    </row>
    <row r="41" spans="1:7" ht="7.5" customHeight="1" thickBot="1">
      <c r="A41" s="1062"/>
      <c r="B41" s="1063"/>
      <c r="C41" s="1063"/>
      <c r="D41" s="1063"/>
      <c r="E41" s="1063"/>
      <c r="F41" s="1064"/>
      <c r="G41" s="1065"/>
    </row>
    <row r="42" spans="1:7" ht="13.5" customHeight="1" thickBot="1">
      <c r="F42" s="1066"/>
    </row>
    <row r="43" spans="1:7" ht="9" customHeight="1">
      <c r="A43" s="1031"/>
      <c r="B43" s="1032"/>
      <c r="C43" s="1032"/>
      <c r="D43" s="1032"/>
      <c r="E43" s="1032"/>
      <c r="F43" s="1067"/>
      <c r="G43" s="1033"/>
    </row>
    <row r="44" spans="1:7" s="1039" customFormat="1" ht="18">
      <c r="A44" s="1034" t="s">
        <v>0</v>
      </c>
      <c r="B44" s="1035"/>
      <c r="C44" s="1036"/>
      <c r="D44" s="1035"/>
      <c r="E44" s="1036"/>
      <c r="F44" s="1037"/>
      <c r="G44" s="1038"/>
    </row>
    <row r="45" spans="1:7" s="1039" customFormat="1" ht="14.9" customHeight="1">
      <c r="A45" s="1034"/>
      <c r="B45" s="1037"/>
      <c r="C45" s="1037"/>
      <c r="D45" s="1040"/>
      <c r="E45" s="1037"/>
      <c r="F45" s="1037"/>
      <c r="G45" s="1038"/>
    </row>
    <row r="46" spans="1:7" s="1039" customFormat="1" ht="14.9" customHeight="1">
      <c r="A46" s="1034" t="s">
        <v>1</v>
      </c>
      <c r="B46" s="1037"/>
      <c r="C46" s="1037"/>
      <c r="D46" s="1040"/>
      <c r="E46" s="1037"/>
      <c r="F46" s="1037"/>
      <c r="G46" s="1038"/>
    </row>
    <row r="47" spans="1:7" s="1061" customFormat="1" ht="20.25" customHeight="1">
      <c r="A47" s="1058"/>
      <c r="B47" s="1049" t="s">
        <v>64</v>
      </c>
      <c r="C47" s="1049"/>
      <c r="D47" s="1059"/>
      <c r="E47" s="1049"/>
      <c r="F47" s="1052" t="s">
        <v>65</v>
      </c>
      <c r="G47" s="1060"/>
    </row>
    <row r="48" spans="1:7" ht="20.25" customHeight="1">
      <c r="A48" s="1048"/>
      <c r="B48" s="1054" t="s">
        <v>34</v>
      </c>
      <c r="C48" s="1054"/>
      <c r="D48" s="1055">
        <v>32</v>
      </c>
      <c r="E48" s="1054"/>
      <c r="F48" s="1056" t="s">
        <v>35</v>
      </c>
      <c r="G48" s="1053"/>
    </row>
    <row r="49" spans="1:7" ht="17.5" customHeight="1">
      <c r="A49" s="1048"/>
      <c r="B49" s="1054" t="s">
        <v>36</v>
      </c>
      <c r="C49" s="1054"/>
      <c r="D49" s="1055">
        <v>33</v>
      </c>
      <c r="E49" s="1054"/>
      <c r="F49" s="1056" t="s">
        <v>37</v>
      </c>
      <c r="G49" s="1053"/>
    </row>
    <row r="50" spans="1:7" ht="17.5" customHeight="1">
      <c r="A50" s="1048"/>
      <c r="B50" s="1054" t="s">
        <v>52</v>
      </c>
      <c r="C50" s="1054"/>
      <c r="D50" s="1055">
        <v>34</v>
      </c>
      <c r="E50" s="1054"/>
      <c r="F50" s="1056" t="s">
        <v>53</v>
      </c>
      <c r="G50" s="1053"/>
    </row>
    <row r="51" spans="1:7" s="1039" customFormat="1" ht="17.5" customHeight="1">
      <c r="A51" s="1034"/>
      <c r="B51" s="1054" t="s">
        <v>54</v>
      </c>
      <c r="C51" s="1054"/>
      <c r="D51" s="1055">
        <v>35</v>
      </c>
      <c r="E51" s="1054"/>
      <c r="F51" s="1056" t="s">
        <v>55</v>
      </c>
      <c r="G51" s="1038"/>
    </row>
    <row r="52" spans="1:7" ht="17.5" customHeight="1">
      <c r="A52" s="1048"/>
      <c r="B52" s="1054" t="s">
        <v>66</v>
      </c>
      <c r="C52" s="1054"/>
      <c r="D52" s="1055">
        <v>36</v>
      </c>
      <c r="E52" s="1054"/>
      <c r="F52" s="1056" t="s">
        <v>67</v>
      </c>
      <c r="G52" s="1053"/>
    </row>
    <row r="53" spans="1:7" s="1061" customFormat="1" ht="20.25" customHeight="1">
      <c r="A53" s="1058"/>
      <c r="B53" s="1049" t="s">
        <v>68</v>
      </c>
      <c r="C53" s="1049"/>
      <c r="D53" s="1059"/>
      <c r="E53" s="1049"/>
      <c r="F53" s="1052" t="s">
        <v>69</v>
      </c>
      <c r="G53" s="1060"/>
    </row>
    <row r="54" spans="1:7" ht="20.25" customHeight="1">
      <c r="A54" s="1048"/>
      <c r="B54" s="1054" t="s">
        <v>70</v>
      </c>
      <c r="C54" s="1054"/>
      <c r="D54" s="1055">
        <v>37</v>
      </c>
      <c r="E54" s="1054"/>
      <c r="F54" s="1056" t="s">
        <v>69</v>
      </c>
      <c r="G54" s="1053"/>
    </row>
    <row r="55" spans="1:7" ht="17.5" customHeight="1">
      <c r="A55" s="1048"/>
      <c r="B55" s="1054" t="s">
        <v>71</v>
      </c>
      <c r="C55" s="1054"/>
      <c r="D55" s="1055">
        <v>38</v>
      </c>
      <c r="E55" s="1054"/>
      <c r="F55" s="1056" t="s">
        <v>72</v>
      </c>
      <c r="G55" s="1053"/>
    </row>
    <row r="56" spans="1:7" ht="17.5" customHeight="1">
      <c r="A56" s="1048"/>
      <c r="B56" s="1054" t="s">
        <v>73</v>
      </c>
      <c r="C56" s="1054"/>
      <c r="D56" s="1055">
        <v>39</v>
      </c>
      <c r="E56" s="1054"/>
      <c r="F56" s="1056" t="s">
        <v>74</v>
      </c>
      <c r="G56" s="1053"/>
    </row>
    <row r="57" spans="1:7" ht="21.25" customHeight="1">
      <c r="A57" s="1048"/>
      <c r="B57" s="1071" t="s">
        <v>75</v>
      </c>
      <c r="C57" s="1054"/>
      <c r="D57" s="1055">
        <v>40</v>
      </c>
      <c r="E57" s="1054"/>
      <c r="F57" s="1072" t="s">
        <v>76</v>
      </c>
      <c r="G57" s="1053"/>
    </row>
    <row r="58" spans="1:7" ht="21.25" customHeight="1">
      <c r="A58" s="1048"/>
      <c r="B58" s="1071" t="s">
        <v>77</v>
      </c>
      <c r="C58" s="1054"/>
      <c r="D58" s="1055">
        <v>41</v>
      </c>
      <c r="E58" s="1054"/>
      <c r="F58" s="1072" t="s">
        <v>78</v>
      </c>
      <c r="G58" s="1053"/>
    </row>
    <row r="59" spans="1:7" ht="21.25" customHeight="1">
      <c r="A59" s="1048"/>
      <c r="B59" s="1071" t="s">
        <v>79</v>
      </c>
      <c r="C59" s="1054"/>
      <c r="D59" s="1055">
        <v>42</v>
      </c>
      <c r="E59" s="1054"/>
      <c r="F59" s="1072" t="s">
        <v>80</v>
      </c>
      <c r="G59" s="1053"/>
    </row>
    <row r="60" spans="1:7" ht="21.25" customHeight="1">
      <c r="A60" s="1048"/>
      <c r="B60" s="1071" t="s">
        <v>81</v>
      </c>
      <c r="C60" s="1054"/>
      <c r="D60" s="1055">
        <v>43</v>
      </c>
      <c r="E60" s="1054"/>
      <c r="F60" s="1072" t="s">
        <v>82</v>
      </c>
      <c r="G60" s="1053"/>
    </row>
    <row r="61" spans="1:7" s="1061" customFormat="1" ht="20.25" customHeight="1">
      <c r="A61" s="1058"/>
      <c r="B61" s="1049" t="s">
        <v>83</v>
      </c>
      <c r="C61" s="1049"/>
      <c r="D61" s="1059"/>
      <c r="E61" s="1049"/>
      <c r="F61" s="1052" t="s">
        <v>84</v>
      </c>
      <c r="G61" s="1060"/>
    </row>
    <row r="62" spans="1:7" ht="20.25" customHeight="1">
      <c r="A62" s="1048"/>
      <c r="B62" s="1054" t="s">
        <v>83</v>
      </c>
      <c r="C62" s="1054"/>
      <c r="D62" s="1055">
        <v>44</v>
      </c>
      <c r="E62" s="1054"/>
      <c r="F62" s="1056" t="s">
        <v>84</v>
      </c>
      <c r="G62" s="1053"/>
    </row>
    <row r="63" spans="1:7" ht="17.5" customHeight="1">
      <c r="A63" s="1048"/>
      <c r="B63" s="1054" t="s">
        <v>85</v>
      </c>
      <c r="C63" s="1054"/>
      <c r="D63" s="1055">
        <v>45</v>
      </c>
      <c r="E63" s="1054"/>
      <c r="F63" s="1056" t="s">
        <v>86</v>
      </c>
      <c r="G63" s="1053"/>
    </row>
    <row r="64" spans="1:7" ht="17.5" customHeight="1">
      <c r="A64" s="1048"/>
      <c r="B64" s="1054" t="s">
        <v>87</v>
      </c>
      <c r="C64" s="1054"/>
      <c r="D64" s="1055">
        <v>46</v>
      </c>
      <c r="E64" s="1054"/>
      <c r="F64" s="1056" t="s">
        <v>88</v>
      </c>
      <c r="G64" s="1053"/>
    </row>
    <row r="65" spans="1:7" ht="17.5" customHeight="1">
      <c r="A65" s="1048"/>
      <c r="B65" s="1054" t="s">
        <v>89</v>
      </c>
      <c r="C65" s="1054"/>
      <c r="D65" s="1055">
        <v>47</v>
      </c>
      <c r="E65" s="1054"/>
      <c r="F65" s="1056" t="s">
        <v>90</v>
      </c>
      <c r="G65" s="1053"/>
    </row>
    <row r="66" spans="1:7" ht="17.5" customHeight="1">
      <c r="A66" s="1048"/>
      <c r="B66" s="1054" t="s">
        <v>91</v>
      </c>
      <c r="C66" s="1054"/>
      <c r="D66" s="1055">
        <v>48</v>
      </c>
      <c r="E66" s="1054"/>
      <c r="F66" s="1056" t="s">
        <v>92</v>
      </c>
      <c r="G66" s="1053"/>
    </row>
    <row r="67" spans="1:7" ht="17.5" customHeight="1">
      <c r="A67" s="1048"/>
      <c r="B67" s="1054" t="s">
        <v>93</v>
      </c>
      <c r="C67" s="1054"/>
      <c r="D67" s="1055">
        <v>49</v>
      </c>
      <c r="E67" s="1054"/>
      <c r="F67" s="1056" t="s">
        <v>94</v>
      </c>
      <c r="G67" s="1053"/>
    </row>
    <row r="68" spans="1:7" ht="17.5" customHeight="1">
      <c r="A68" s="1048"/>
      <c r="B68" s="1054" t="s">
        <v>95</v>
      </c>
      <c r="C68" s="1054"/>
      <c r="D68" s="1055">
        <v>50</v>
      </c>
      <c r="E68" s="1054"/>
      <c r="F68" s="1056" t="s">
        <v>96</v>
      </c>
      <c r="G68" s="1053"/>
    </row>
    <row r="69" spans="1:7" s="662" customFormat="1" ht="27" customHeight="1">
      <c r="A69" s="1068"/>
      <c r="B69" s="1042" t="s">
        <v>97</v>
      </c>
      <c r="D69" s="1069"/>
      <c r="F69" s="1045" t="s">
        <v>98</v>
      </c>
      <c r="G69" s="1070"/>
    </row>
    <row r="70" spans="1:7" ht="21.25" customHeight="1">
      <c r="A70" s="1048"/>
      <c r="B70" s="1054" t="s">
        <v>99</v>
      </c>
      <c r="C70" s="1054"/>
      <c r="D70" s="1055">
        <v>51</v>
      </c>
      <c r="E70" s="1054"/>
      <c r="F70" s="1056" t="s">
        <v>100</v>
      </c>
      <c r="G70" s="1053"/>
    </row>
    <row r="71" spans="1:7" ht="17.25" customHeight="1">
      <c r="A71" s="1048"/>
      <c r="B71" s="1054" t="s">
        <v>101</v>
      </c>
      <c r="C71" s="1054"/>
      <c r="D71" s="1055">
        <v>52</v>
      </c>
      <c r="E71" s="1054"/>
      <c r="F71" s="1056" t="s">
        <v>102</v>
      </c>
      <c r="G71" s="1053"/>
    </row>
    <row r="72" spans="1:7" ht="17.25" customHeight="1">
      <c r="A72" s="1048"/>
      <c r="B72" s="1054" t="s">
        <v>103</v>
      </c>
      <c r="C72" s="1054"/>
      <c r="D72" s="1055">
        <v>53</v>
      </c>
      <c r="E72" s="1054"/>
      <c r="F72" s="1056" t="s">
        <v>104</v>
      </c>
      <c r="G72" s="1053"/>
    </row>
    <row r="73" spans="1:7" ht="17.25" customHeight="1">
      <c r="A73" s="1048"/>
      <c r="B73" s="1054" t="s">
        <v>105</v>
      </c>
      <c r="C73" s="1054"/>
      <c r="D73" s="1055">
        <v>54</v>
      </c>
      <c r="E73" s="1054"/>
      <c r="F73" s="1056" t="s">
        <v>106</v>
      </c>
      <c r="G73" s="1053"/>
    </row>
    <row r="74" spans="1:7" ht="21.25" customHeight="1">
      <c r="A74" s="1048"/>
      <c r="B74" s="1049" t="s">
        <v>107</v>
      </c>
      <c r="D74" s="1066"/>
      <c r="F74" s="1052" t="s">
        <v>108</v>
      </c>
      <c r="G74" s="1053"/>
    </row>
    <row r="75" spans="1:7" ht="21.25" customHeight="1">
      <c r="A75" s="1048"/>
      <c r="B75" s="1054" t="s">
        <v>109</v>
      </c>
      <c r="C75" s="1054"/>
      <c r="D75" s="1055">
        <v>55</v>
      </c>
      <c r="E75" s="1054"/>
      <c r="F75" s="1056" t="s">
        <v>110</v>
      </c>
      <c r="G75" s="1053"/>
    </row>
    <row r="76" spans="1:7" ht="17.5" customHeight="1">
      <c r="A76" s="1048"/>
      <c r="B76" s="1054" t="s">
        <v>111</v>
      </c>
      <c r="C76" s="1054"/>
      <c r="D76" s="1055">
        <v>56</v>
      </c>
      <c r="E76" s="1054"/>
      <c r="F76" s="1056" t="s">
        <v>112</v>
      </c>
      <c r="G76" s="1053"/>
    </row>
    <row r="77" spans="1:7" ht="17.5" customHeight="1">
      <c r="A77" s="1048"/>
      <c r="B77" s="1054" t="s">
        <v>113</v>
      </c>
      <c r="C77" s="1054"/>
      <c r="D77" s="1055">
        <v>57</v>
      </c>
      <c r="E77" s="1054"/>
      <c r="F77" s="1056" t="s">
        <v>114</v>
      </c>
      <c r="G77" s="1053"/>
    </row>
    <row r="78" spans="1:7" ht="17.5" customHeight="1">
      <c r="A78" s="1048"/>
      <c r="B78" s="1054" t="s">
        <v>115</v>
      </c>
      <c r="C78" s="1054"/>
      <c r="D78" s="1055">
        <v>58</v>
      </c>
      <c r="E78" s="1054"/>
      <c r="F78" s="1056" t="s">
        <v>116</v>
      </c>
      <c r="G78" s="1053"/>
    </row>
    <row r="79" spans="1:7" ht="21.25" customHeight="1">
      <c r="A79" s="1048"/>
      <c r="B79" s="1071" t="s">
        <v>117</v>
      </c>
      <c r="C79" s="1054"/>
      <c r="D79" s="1055">
        <v>59</v>
      </c>
      <c r="E79" s="1054"/>
      <c r="F79" s="1072" t="s">
        <v>118</v>
      </c>
      <c r="G79" s="1053"/>
    </row>
    <row r="80" spans="1:7" ht="9" customHeight="1" thickBot="1">
      <c r="A80" s="1062"/>
      <c r="B80" s="1063"/>
      <c r="C80" s="1063"/>
      <c r="D80" s="1063"/>
      <c r="E80" s="1063"/>
      <c r="F80" s="1063"/>
      <c r="G80" s="1065"/>
    </row>
  </sheetData>
  <phoneticPr fontId="0" type="noConversion"/>
  <printOptions horizontalCentered="1"/>
  <pageMargins left="0" right="0" top="0.3" bottom="0.5" header="0.511811023622047" footer="0.511811023622047"/>
  <pageSetup paperSize="9" scale="73" orientation="landscape"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tabColor rgb="FFFF0000"/>
    <pageSetUpPr fitToPage="1"/>
  </sheetPr>
  <dimension ref="A1:T52"/>
  <sheetViews>
    <sheetView zoomScale="70" zoomScaleNormal="70" workbookViewId="0">
      <pane ySplit="12" topLeftCell="A39" activePane="bottomLeft" state="frozen"/>
      <selection activeCell="A43" sqref="A43:XFD43"/>
      <selection pane="bottomLeft" activeCell="O44" sqref="O44"/>
    </sheetView>
  </sheetViews>
  <sheetFormatPr defaultColWidth="9.1796875" defaultRowHeight="15.5"/>
  <cols>
    <col min="1" max="2" width="9.7265625" style="152" customWidth="1"/>
    <col min="3" max="6" width="10.7265625" style="152" customWidth="1"/>
    <col min="7" max="7" width="16.26953125" style="152" customWidth="1"/>
    <col min="8" max="8" width="17.26953125" style="152" customWidth="1"/>
    <col min="9" max="10" width="10.7265625" style="152" customWidth="1"/>
    <col min="11" max="12" width="15.1796875" style="152" customWidth="1"/>
    <col min="13" max="13" width="12.7265625" style="152" customWidth="1"/>
    <col min="14" max="15" width="10.7265625" style="152" customWidth="1"/>
    <col min="16" max="16" width="14" style="152" customWidth="1"/>
    <col min="17" max="18" width="10.7265625" style="152" customWidth="1"/>
    <col min="19" max="19" width="14.81640625" style="152" customWidth="1"/>
    <col min="20" max="16384" width="9.1796875" style="152"/>
  </cols>
  <sheetData>
    <row r="1" spans="1:20" s="1094" customFormat="1" ht="18">
      <c r="A1" s="1091" t="s">
        <v>564</v>
      </c>
      <c r="B1" s="1091"/>
      <c r="C1" s="1093"/>
      <c r="D1" s="1093"/>
      <c r="E1" s="1093"/>
      <c r="F1" s="1093"/>
      <c r="G1" s="1093"/>
      <c r="H1" s="1093"/>
      <c r="I1" s="1093"/>
      <c r="J1" s="1093"/>
      <c r="K1" s="1093"/>
      <c r="L1" s="1093"/>
      <c r="M1" s="1093"/>
      <c r="N1" s="1093"/>
      <c r="O1" s="1093"/>
      <c r="P1" s="1093"/>
      <c r="Q1" s="1093"/>
      <c r="R1" s="1093"/>
      <c r="S1" s="1093"/>
    </row>
    <row r="2" spans="1:20" s="1096" customFormat="1" ht="21.75" customHeight="1">
      <c r="A2" s="1077" t="s">
        <v>19</v>
      </c>
      <c r="B2" s="1077"/>
      <c r="C2" s="1095"/>
      <c r="D2" s="1095"/>
      <c r="E2" s="1095"/>
      <c r="F2" s="1095"/>
      <c r="G2" s="1095"/>
      <c r="H2" s="1095"/>
      <c r="I2" s="1095"/>
      <c r="J2" s="1095"/>
      <c r="K2" s="1095"/>
      <c r="L2" s="1095"/>
      <c r="M2" s="1095"/>
      <c r="N2" s="1095"/>
      <c r="O2" s="1095"/>
      <c r="P2" s="1095"/>
      <c r="Q2" s="1095"/>
      <c r="R2" s="1095"/>
      <c r="S2" s="1095"/>
    </row>
    <row r="3" spans="1:20" s="1094" customFormat="1" ht="18">
      <c r="A3" s="1091" t="s">
        <v>565</v>
      </c>
      <c r="B3" s="1091"/>
      <c r="C3" s="1093"/>
      <c r="D3" s="1093"/>
      <c r="E3" s="1093"/>
      <c r="F3" s="1093"/>
      <c r="G3" s="1093"/>
      <c r="H3" s="1093"/>
      <c r="I3" s="1093"/>
      <c r="J3" s="1093"/>
      <c r="K3" s="1093"/>
      <c r="L3" s="1093"/>
      <c r="M3" s="1093"/>
      <c r="N3" s="1093"/>
      <c r="O3" s="1093"/>
      <c r="P3" s="1093"/>
      <c r="Q3" s="1093"/>
      <c r="R3" s="1093"/>
      <c r="S3" s="1093"/>
    </row>
    <row r="4" spans="1:20" s="1094" customFormat="1" ht="18" hidden="1">
      <c r="A4" s="1091"/>
      <c r="B4" s="1091"/>
      <c r="C4" s="1093"/>
      <c r="D4" s="1093"/>
      <c r="E4" s="1093"/>
      <c r="F4" s="1093"/>
      <c r="G4" s="1093"/>
      <c r="H4" s="1093"/>
      <c r="I4" s="1093"/>
      <c r="J4" s="1093"/>
      <c r="K4" s="1093"/>
      <c r="L4" s="1093"/>
      <c r="M4" s="1093"/>
      <c r="N4" s="1093"/>
      <c r="O4" s="1093"/>
      <c r="P4" s="1093"/>
      <c r="Q4" s="1093"/>
      <c r="R4" s="1093"/>
      <c r="S4" s="1093"/>
    </row>
    <row r="5" spans="1:20" s="1094" customFormat="1" ht="18" hidden="1">
      <c r="A5" s="1091"/>
      <c r="B5" s="1091"/>
      <c r="C5" s="1093"/>
      <c r="D5" s="1093"/>
      <c r="E5" s="1093"/>
      <c r="F5" s="1093"/>
      <c r="G5" s="1093"/>
      <c r="H5" s="1093"/>
      <c r="I5" s="1093"/>
      <c r="J5" s="1093"/>
      <c r="K5" s="1093"/>
      <c r="L5" s="1093"/>
      <c r="M5" s="1093"/>
      <c r="N5" s="1093"/>
      <c r="O5" s="1093"/>
      <c r="P5" s="1093"/>
      <c r="Q5" s="1093"/>
      <c r="R5" s="1093"/>
      <c r="S5" s="1093"/>
    </row>
    <row r="6" spans="1:20" s="1094" customFormat="1" ht="18" hidden="1">
      <c r="A6" s="1091"/>
      <c r="B6" s="1091"/>
      <c r="C6" s="1093"/>
      <c r="D6" s="1093"/>
      <c r="E6" s="1093"/>
      <c r="F6" s="1093"/>
      <c r="G6" s="1093"/>
      <c r="H6" s="1093"/>
      <c r="I6" s="1093"/>
      <c r="J6" s="1093"/>
      <c r="K6" s="1093"/>
      <c r="L6" s="1093"/>
      <c r="M6" s="1093"/>
      <c r="N6" s="1093"/>
      <c r="O6" s="1093"/>
      <c r="P6" s="1093"/>
      <c r="Q6" s="1093"/>
      <c r="R6" s="1093"/>
      <c r="S6" s="1093"/>
    </row>
    <row r="7" spans="1:20" s="1094" customFormat="1" ht="18" hidden="1">
      <c r="A7" s="1091"/>
      <c r="B7" s="1091"/>
      <c r="C7" s="1093"/>
      <c r="D7" s="1093"/>
      <c r="E7" s="1093"/>
      <c r="F7" s="1093"/>
      <c r="G7" s="1093"/>
      <c r="H7" s="1093"/>
      <c r="I7" s="1093"/>
      <c r="J7" s="1093"/>
      <c r="K7" s="1093"/>
      <c r="L7" s="1093"/>
      <c r="M7" s="1093"/>
      <c r="N7" s="1093"/>
      <c r="O7" s="1093"/>
      <c r="P7" s="1093"/>
      <c r="Q7" s="1093"/>
      <c r="R7" s="1093"/>
      <c r="S7" s="1093"/>
    </row>
    <row r="8" spans="1:20" s="715" customFormat="1">
      <c r="A8" s="716" t="s">
        <v>566</v>
      </c>
      <c r="B8" s="717"/>
      <c r="C8" s="714"/>
      <c r="D8" s="714"/>
      <c r="E8" s="714"/>
      <c r="F8" s="714"/>
      <c r="G8" s="714"/>
      <c r="H8" s="714"/>
      <c r="I8" s="714"/>
      <c r="J8" s="714"/>
      <c r="K8" s="714"/>
      <c r="L8" s="714"/>
      <c r="S8" s="718" t="s">
        <v>567</v>
      </c>
    </row>
    <row r="9" spans="1:20" s="166" customFormat="1" ht="23.9" customHeight="1">
      <c r="A9" s="2608" t="s">
        <v>387</v>
      </c>
      <c r="B9" s="2609"/>
      <c r="C9" s="719" t="s">
        <v>568</v>
      </c>
      <c r="D9" s="179"/>
      <c r="E9" s="720"/>
      <c r="F9" s="720" t="s">
        <v>464</v>
      </c>
      <c r="G9" s="721" t="s">
        <v>569</v>
      </c>
      <c r="H9" s="165"/>
      <c r="I9" s="722"/>
      <c r="J9" s="722"/>
      <c r="K9" s="722"/>
      <c r="L9" s="723" t="s">
        <v>570</v>
      </c>
      <c r="M9" s="719" t="s">
        <v>571</v>
      </c>
      <c r="N9" s="724"/>
      <c r="O9" s="724"/>
      <c r="P9" s="179"/>
      <c r="Q9" s="725"/>
      <c r="R9" s="725"/>
      <c r="S9" s="723" t="s">
        <v>572</v>
      </c>
    </row>
    <row r="10" spans="1:20" s="703" customFormat="1" ht="20.25" customHeight="1">
      <c r="A10" s="2610"/>
      <c r="B10" s="2611"/>
      <c r="C10" s="726"/>
      <c r="D10" s="727" t="s">
        <v>573</v>
      </c>
      <c r="E10" s="2332"/>
      <c r="F10" s="723" t="s">
        <v>574</v>
      </c>
      <c r="G10" s="728"/>
      <c r="H10" s="729"/>
      <c r="I10" s="729"/>
      <c r="J10" s="729"/>
      <c r="K10" s="167" t="s">
        <v>390</v>
      </c>
      <c r="L10" s="167" t="s">
        <v>390</v>
      </c>
      <c r="M10" s="730" t="s">
        <v>575</v>
      </c>
      <c r="N10" s="186"/>
      <c r="P10" s="1306" t="s">
        <v>576</v>
      </c>
      <c r="Q10" s="1308"/>
      <c r="S10" s="731"/>
    </row>
    <row r="11" spans="1:20" s="703" customFormat="1" ht="31">
      <c r="A11" s="2610"/>
      <c r="B11" s="2611"/>
      <c r="C11" s="726" t="s">
        <v>577</v>
      </c>
      <c r="D11" s="732" t="s">
        <v>578</v>
      </c>
      <c r="E11" s="733" t="s">
        <v>579</v>
      </c>
      <c r="F11" s="733" t="s">
        <v>580</v>
      </c>
      <c r="G11" s="726" t="s">
        <v>581</v>
      </c>
      <c r="H11" s="734" t="s">
        <v>582</v>
      </c>
      <c r="I11" s="734" t="s">
        <v>583</v>
      </c>
      <c r="J11" s="734" t="s">
        <v>399</v>
      </c>
      <c r="K11" s="1028" t="s">
        <v>584</v>
      </c>
      <c r="L11" s="1028" t="s">
        <v>585</v>
      </c>
      <c r="M11" s="726" t="s">
        <v>586</v>
      </c>
      <c r="N11" s="734" t="s">
        <v>587</v>
      </c>
      <c r="O11" s="1307" t="s">
        <v>588</v>
      </c>
      <c r="P11" s="734" t="s">
        <v>589</v>
      </c>
      <c r="Q11" s="734" t="s">
        <v>399</v>
      </c>
      <c r="R11" s="734" t="s">
        <v>390</v>
      </c>
      <c r="S11" s="734" t="s">
        <v>590</v>
      </c>
    </row>
    <row r="12" spans="1:20" s="703" customFormat="1" ht="62">
      <c r="A12" s="184" t="s">
        <v>395</v>
      </c>
      <c r="B12" s="735"/>
      <c r="C12" s="736" t="s">
        <v>483</v>
      </c>
      <c r="D12" s="701" t="s">
        <v>591</v>
      </c>
      <c r="E12" s="701" t="s">
        <v>592</v>
      </c>
      <c r="F12" s="701" t="s">
        <v>593</v>
      </c>
      <c r="G12" s="701" t="s">
        <v>594</v>
      </c>
      <c r="H12" s="701" t="s">
        <v>595</v>
      </c>
      <c r="I12" s="701" t="s">
        <v>596</v>
      </c>
      <c r="J12" s="701" t="s">
        <v>597</v>
      </c>
      <c r="K12" s="1029" t="s">
        <v>598</v>
      </c>
      <c r="L12" s="1029" t="s">
        <v>599</v>
      </c>
      <c r="M12" s="701" t="s">
        <v>600</v>
      </c>
      <c r="N12" s="701" t="s">
        <v>601</v>
      </c>
      <c r="O12" s="701" t="s">
        <v>602</v>
      </c>
      <c r="P12" s="701" t="s">
        <v>603</v>
      </c>
      <c r="Q12" s="701" t="s">
        <v>604</v>
      </c>
      <c r="R12" s="701" t="s">
        <v>400</v>
      </c>
      <c r="S12" s="701" t="s">
        <v>605</v>
      </c>
      <c r="T12" s="737"/>
    </row>
    <row r="13" spans="1:20" ht="23.9" customHeight="1">
      <c r="A13" s="738">
        <v>2016</v>
      </c>
      <c r="B13" s="739"/>
      <c r="C13" s="1230">
        <v>0.22493709824148378</v>
      </c>
      <c r="D13" s="1231">
        <v>0.75888842457303718</v>
      </c>
      <c r="E13" s="1230" t="s">
        <v>606</v>
      </c>
      <c r="F13" s="1230" t="s">
        <v>606</v>
      </c>
      <c r="G13" s="1416">
        <v>7.4930062599344227</v>
      </c>
      <c r="H13" s="1416">
        <v>5.7554158042046542</v>
      </c>
      <c r="I13" s="1231">
        <v>4.4790134614266952</v>
      </c>
      <c r="J13" s="1231">
        <v>6.8304533393048228</v>
      </c>
      <c r="K13" s="1230">
        <v>5.4035814410682956</v>
      </c>
      <c r="L13" s="1230">
        <v>4.9059789118415891</v>
      </c>
      <c r="M13" s="1232">
        <v>5.4598388567564609</v>
      </c>
      <c r="N13" s="1231">
        <v>5.2990133996465385</v>
      </c>
      <c r="O13" s="1231">
        <v>3.0354955251205462</v>
      </c>
      <c r="P13" s="1230">
        <v>4.7965867487438487</v>
      </c>
      <c r="Q13" s="1231">
        <v>21.984905187229913</v>
      </c>
      <c r="R13" s="1231">
        <v>4.8280412688498071</v>
      </c>
      <c r="S13" s="1232">
        <v>19.714060887612629</v>
      </c>
    </row>
    <row r="14" spans="1:20" s="1061" customFormat="1" ht="17.5" customHeight="1">
      <c r="A14" s="1228">
        <v>2017</v>
      </c>
      <c r="B14" s="1229"/>
      <c r="C14" s="1230">
        <v>0.20952586045057611</v>
      </c>
      <c r="D14" s="1231">
        <v>1.1205502745960598</v>
      </c>
      <c r="E14" s="1230" t="s">
        <v>606</v>
      </c>
      <c r="F14" s="1230" t="s">
        <v>606</v>
      </c>
      <c r="G14" s="1416">
        <v>6.2786941600733153</v>
      </c>
      <c r="H14" s="1416">
        <v>6.40973790292845</v>
      </c>
      <c r="I14" s="1231">
        <v>5.6402067461210628</v>
      </c>
      <c r="J14" s="1231">
        <v>5.9462259099067714</v>
      </c>
      <c r="K14" s="1230">
        <v>5.9878016894142547</v>
      </c>
      <c r="L14" s="1230">
        <v>5.3558650642239076</v>
      </c>
      <c r="M14" s="1232">
        <v>5.2690967533673181</v>
      </c>
      <c r="N14" s="1231">
        <v>5.5537780645503103</v>
      </c>
      <c r="O14" s="1231">
        <v>3.515380444925301</v>
      </c>
      <c r="P14" s="1230">
        <v>4.9579448832672295</v>
      </c>
      <c r="Q14" s="1231">
        <v>21.784623070182271</v>
      </c>
      <c r="R14" s="1231">
        <v>5.0056111634683429</v>
      </c>
      <c r="S14" s="1232">
        <v>19.619789732555223</v>
      </c>
    </row>
    <row r="15" spans="1:20" ht="17.25" customHeight="1">
      <c r="A15" s="738">
        <v>2018</v>
      </c>
      <c r="B15" s="1229"/>
      <c r="C15" s="1230">
        <v>0.21263140882932008</v>
      </c>
      <c r="D15" s="1231">
        <v>1.8078571688335989</v>
      </c>
      <c r="E15" s="1230" t="s">
        <v>606</v>
      </c>
      <c r="F15" s="1230" t="s">
        <v>606</v>
      </c>
      <c r="G15" s="1416">
        <v>6.9596411312786444</v>
      </c>
      <c r="H15" s="1416">
        <v>4.9754568684801024</v>
      </c>
      <c r="I15" s="1231">
        <v>6.5468086395199174</v>
      </c>
      <c r="J15" s="1231">
        <v>6.9965321696692326</v>
      </c>
      <c r="K15" s="1230">
        <v>6.4968899622284697</v>
      </c>
      <c r="L15" s="1230">
        <v>6.3946661590933065</v>
      </c>
      <c r="M15" s="1232">
        <v>5.9250114259217828</v>
      </c>
      <c r="N15" s="1230">
        <v>6.0819650943682504</v>
      </c>
      <c r="O15" s="1231">
        <v>4.6154847048785754</v>
      </c>
      <c r="P15" s="1230">
        <v>5.0999798172974664</v>
      </c>
      <c r="Q15" s="1230">
        <v>20.033874717128793</v>
      </c>
      <c r="R15" s="1230">
        <v>5.1859576032685846</v>
      </c>
      <c r="S15" s="1232">
        <v>20.22315293106638</v>
      </c>
    </row>
    <row r="16" spans="1:20" ht="17.25" customHeight="1">
      <c r="A16" s="738">
        <v>2019</v>
      </c>
      <c r="B16" s="1229"/>
      <c r="C16" s="1230">
        <v>0.22551722974474736</v>
      </c>
      <c r="D16" s="1231">
        <v>1.3119383468681682</v>
      </c>
      <c r="E16" s="1230" t="s">
        <v>606</v>
      </c>
      <c r="F16" s="1230" t="s">
        <v>606</v>
      </c>
      <c r="G16" s="1416">
        <v>6.1895688736941104</v>
      </c>
      <c r="H16" s="1416">
        <v>3.6679800804031331</v>
      </c>
      <c r="I16" s="1231">
        <v>5.7778695712208137</v>
      </c>
      <c r="J16" s="1231">
        <v>6.2397380535792539</v>
      </c>
      <c r="K16" s="1230">
        <v>4.870425881317975</v>
      </c>
      <c r="L16" s="1230">
        <v>4.9698827438585482</v>
      </c>
      <c r="M16" s="1232">
        <v>5.3842467801922282</v>
      </c>
      <c r="N16" s="1230">
        <v>6.2745697610232476</v>
      </c>
      <c r="O16" s="1231">
        <v>4.4980024583921283</v>
      </c>
      <c r="P16" s="1230">
        <v>4.8273501981623212</v>
      </c>
      <c r="Q16" s="1230">
        <v>20.133247002488133</v>
      </c>
      <c r="R16" s="1230">
        <v>4.9118549442238875</v>
      </c>
      <c r="S16" s="1232">
        <v>21.062937414893124</v>
      </c>
    </row>
    <row r="17" spans="1:19" ht="17.25" customHeight="1">
      <c r="A17" s="738">
        <v>2020</v>
      </c>
      <c r="B17" s="1229"/>
      <c r="C17" s="1230">
        <v>0.18019969020984195</v>
      </c>
      <c r="D17" s="1231">
        <v>0.93531013054641798</v>
      </c>
      <c r="E17" s="1230" t="s">
        <v>606</v>
      </c>
      <c r="F17" s="1230" t="s">
        <v>606</v>
      </c>
      <c r="G17" s="1416">
        <v>6.5754592518688817</v>
      </c>
      <c r="H17" s="1416">
        <v>0.74412034783680259</v>
      </c>
      <c r="I17" s="1231">
        <v>5.8192371040683621</v>
      </c>
      <c r="J17" s="1231">
        <v>4.9640028437515582</v>
      </c>
      <c r="K17" s="1230">
        <v>2.3988355926907561</v>
      </c>
      <c r="L17" s="1230">
        <v>3.8942418326198913</v>
      </c>
      <c r="M17" s="1232">
        <v>4.9982467318756152</v>
      </c>
      <c r="N17" s="1230">
        <v>6.4753715179338984</v>
      </c>
      <c r="O17" s="1231">
        <v>3.6696935670393129</v>
      </c>
      <c r="P17" s="1230">
        <v>4.6547683515984799</v>
      </c>
      <c r="Q17" s="1230">
        <v>21.022584277041904</v>
      </c>
      <c r="R17" s="1230">
        <v>4.7801557844697697</v>
      </c>
      <c r="S17" s="1232">
        <v>21.033308422760467</v>
      </c>
    </row>
    <row r="18" spans="1:19" ht="17.25" customHeight="1">
      <c r="A18" s="738">
        <v>2021</v>
      </c>
      <c r="B18" s="1229"/>
      <c r="C18" s="1230">
        <v>0.14601597319041784</v>
      </c>
      <c r="D18" s="1231">
        <v>0.47320712504210705</v>
      </c>
      <c r="E18" s="1230" t="s">
        <v>606</v>
      </c>
      <c r="F18" s="1230" t="s">
        <v>606</v>
      </c>
      <c r="G18" s="1416">
        <v>3.7109389432019912</v>
      </c>
      <c r="H18" s="1416">
        <v>3.1320797313445188</v>
      </c>
      <c r="I18" s="1231">
        <v>4.8371559913613309</v>
      </c>
      <c r="J18" s="1231">
        <v>4.8243739157597831</v>
      </c>
      <c r="K18" s="1230">
        <v>4.1402030355291455</v>
      </c>
      <c r="L18" s="1230">
        <v>4.3137011735169288</v>
      </c>
      <c r="M18" s="1232">
        <v>4.7731469436641074</v>
      </c>
      <c r="N18" s="1230">
        <v>4.7148228526038487</v>
      </c>
      <c r="O18" s="1231">
        <v>2.8810690320245826</v>
      </c>
      <c r="P18" s="1230">
        <v>4.1158172896093097</v>
      </c>
      <c r="Q18" s="1230">
        <v>21.158823705109828</v>
      </c>
      <c r="R18" s="1230">
        <v>4.262952108560965</v>
      </c>
      <c r="S18" s="1232">
        <v>20.994593522953313</v>
      </c>
    </row>
    <row r="19" spans="1:19" ht="17.25" customHeight="1">
      <c r="A19" s="738">
        <v>2022</v>
      </c>
      <c r="B19" s="739"/>
      <c r="C19" s="2406">
        <v>0.14448258427606056</v>
      </c>
      <c r="D19" s="2407">
        <v>2.0955679129739475</v>
      </c>
      <c r="E19" s="2406" t="s">
        <v>606</v>
      </c>
      <c r="F19" s="2406" t="s">
        <v>606</v>
      </c>
      <c r="G19" s="2408">
        <v>9.048055392943045</v>
      </c>
      <c r="H19" s="2408">
        <v>8.2188039058511144</v>
      </c>
      <c r="I19" s="2407">
        <v>8.6848932188877583</v>
      </c>
      <c r="J19" s="2407">
        <v>6.9395196986049834</v>
      </c>
      <c r="K19" s="2406">
        <v>7.2582717615251395</v>
      </c>
      <c r="L19" s="2406">
        <v>7.5916729764453832</v>
      </c>
      <c r="M19" s="1811">
        <v>6.1785745281554254</v>
      </c>
      <c r="N19" s="2406">
        <v>4.9191491729460308</v>
      </c>
      <c r="O19" s="2407">
        <v>2.7874547353071488</v>
      </c>
      <c r="P19" s="2406">
        <v>7.1052952269034853</v>
      </c>
      <c r="Q19" s="2406">
        <v>0.5</v>
      </c>
      <c r="R19" s="2406">
        <v>6.4415867555868376</v>
      </c>
      <c r="S19" s="1811">
        <v>21.226588610781018</v>
      </c>
    </row>
    <row r="20" spans="1:19" ht="17.25" customHeight="1">
      <c r="A20" s="738">
        <v>2023</v>
      </c>
      <c r="B20" s="739"/>
      <c r="C20" s="2406">
        <v>0.24150972969573109</v>
      </c>
      <c r="D20" s="2407">
        <v>2.822144124852632</v>
      </c>
      <c r="E20" s="1230">
        <v>2.7478403738126236</v>
      </c>
      <c r="F20" s="1230">
        <v>3.069885346490846</v>
      </c>
      <c r="G20" s="2408">
        <v>10.201455532143887</v>
      </c>
      <c r="H20" s="2408">
        <v>7.6522539119928146</v>
      </c>
      <c r="I20" s="2407">
        <v>9.3767733517956238</v>
      </c>
      <c r="J20" s="2407">
        <v>10.102131798065233</v>
      </c>
      <c r="K20" s="2406">
        <v>9.2667360163488048</v>
      </c>
      <c r="L20" s="2406">
        <v>9.0135974950987983</v>
      </c>
      <c r="M20" s="1811">
        <v>5.4719484604558417</v>
      </c>
      <c r="N20" s="2406">
        <v>5.6946608734369999</v>
      </c>
      <c r="O20" s="2407">
        <v>8.6572655948258905</v>
      </c>
      <c r="P20" s="2406">
        <v>6.1046424271657989</v>
      </c>
      <c r="Q20" s="2406">
        <v>19.068049267132224</v>
      </c>
      <c r="R20" s="2406">
        <v>6.1430734291067672</v>
      </c>
      <c r="S20" s="1811">
        <v>21.161971950465968</v>
      </c>
    </row>
    <row r="21" spans="1:19" ht="17.25" customHeight="1">
      <c r="A21" s="738">
        <v>2024</v>
      </c>
      <c r="B21" s="739"/>
      <c r="C21" s="2406">
        <v>0.22379568420667423</v>
      </c>
      <c r="D21" s="2407">
        <v>2.3512105064979805</v>
      </c>
      <c r="E21" s="1230">
        <v>2.2943258087953522</v>
      </c>
      <c r="F21" s="1230">
        <v>2.2005299387286597</v>
      </c>
      <c r="G21" s="2408">
        <v>6.6435635203605186</v>
      </c>
      <c r="H21" s="2408">
        <v>6.5910148567563365</v>
      </c>
      <c r="I21" s="2407">
        <v>6.4262486446658587</v>
      </c>
      <c r="J21" s="2407">
        <v>6.5593063436582542</v>
      </c>
      <c r="K21" s="2406">
        <v>6.5559913750279195</v>
      </c>
      <c r="L21" s="2406">
        <v>4.5227988397944827</v>
      </c>
      <c r="M21" s="1811">
        <v>5.2792130444804348</v>
      </c>
      <c r="N21" s="2406">
        <v>4.8409618024466488</v>
      </c>
      <c r="O21" s="2407">
        <v>6.5</v>
      </c>
      <c r="P21" s="2406">
        <v>5.1498775423165402</v>
      </c>
      <c r="Q21" s="2406" t="s">
        <v>606</v>
      </c>
      <c r="R21" s="2406">
        <v>5.1575504663992779</v>
      </c>
      <c r="S21" s="1811">
        <v>21.17844701143455</v>
      </c>
    </row>
    <row r="22" spans="1:19" ht="17.25" customHeight="1">
      <c r="A22" s="1800">
        <v>2025</v>
      </c>
      <c r="B22" s="2276"/>
      <c r="C22" s="2280">
        <f t="shared" ref="C22:S22" si="0">C29</f>
        <v>0.20731435582787755</v>
      </c>
      <c r="D22" s="2281">
        <f t="shared" si="0"/>
        <v>1.9080781430480023</v>
      </c>
      <c r="E22" s="1696">
        <f t="shared" si="0"/>
        <v>1.7286255023026085</v>
      </c>
      <c r="F22" s="1696">
        <f t="shared" si="0"/>
        <v>1.9382274763750591</v>
      </c>
      <c r="G22" s="2282">
        <f t="shared" si="0"/>
        <v>7.5813132930714202</v>
      </c>
      <c r="H22" s="2282">
        <f t="shared" si="0"/>
        <v>5.5144296954051288</v>
      </c>
      <c r="I22" s="2281">
        <f t="shared" si="0"/>
        <v>6.4591939823169779</v>
      </c>
      <c r="J22" s="2281">
        <f t="shared" si="0"/>
        <v>5.5917462824835189</v>
      </c>
      <c r="K22" s="2280">
        <f t="shared" si="0"/>
        <v>5.6573786144805753</v>
      </c>
      <c r="L22" s="2280">
        <f t="shared" si="0"/>
        <v>6.2159971354246055</v>
      </c>
      <c r="M22" s="2283">
        <f t="shared" si="0"/>
        <v>4.5582581864423508</v>
      </c>
      <c r="N22" s="2280">
        <f t="shared" si="0"/>
        <v>5.2972754615444382</v>
      </c>
      <c r="O22" s="2281">
        <f t="shared" si="0"/>
        <v>5.5060844064622243</v>
      </c>
      <c r="P22" s="2280">
        <f t="shared" si="0"/>
        <v>5.3032770464507717</v>
      </c>
      <c r="Q22" s="2280" t="str">
        <f t="shared" si="0"/>
        <v>N/A</v>
      </c>
      <c r="R22" s="2280">
        <f t="shared" si="0"/>
        <v>5.1640006237482581</v>
      </c>
      <c r="S22" s="2283">
        <f t="shared" si="0"/>
        <v>20.887059623336487</v>
      </c>
    </row>
    <row r="23" spans="1:19" ht="21" customHeight="1">
      <c r="A23" s="738">
        <v>2024</v>
      </c>
      <c r="B23" s="1229" t="s">
        <v>243</v>
      </c>
      <c r="C23" s="1230">
        <v>0.24272999405514287</v>
      </c>
      <c r="D23" s="1231">
        <v>2.9027923761985872</v>
      </c>
      <c r="E23" s="1230">
        <v>2.9030375523354821</v>
      </c>
      <c r="F23" s="1230">
        <v>2.8464750888559327</v>
      </c>
      <c r="G23" s="1416">
        <v>8.9765769191410723</v>
      </c>
      <c r="H23" s="1416">
        <v>7.4774812667894439</v>
      </c>
      <c r="I23" s="1231">
        <v>7.9815791029881176</v>
      </c>
      <c r="J23" s="1231">
        <v>7.0102888961826437</v>
      </c>
      <c r="K23" s="1230">
        <v>7.4867725362698954</v>
      </c>
      <c r="L23" s="1230">
        <v>7.740371106974429</v>
      </c>
      <c r="M23" s="1232">
        <v>5.4639125649547191</v>
      </c>
      <c r="N23" s="1230">
        <v>5.1625901218238752</v>
      </c>
      <c r="O23" s="1231">
        <v>7.1407793006678117</v>
      </c>
      <c r="P23" s="1230">
        <v>5.6734408057598893</v>
      </c>
      <c r="Q23" s="1230" t="s">
        <v>606</v>
      </c>
      <c r="R23" s="1230">
        <v>5.6450008738597903</v>
      </c>
      <c r="S23" s="1232">
        <v>21.093956922179299</v>
      </c>
    </row>
    <row r="24" spans="1:19" ht="15" customHeight="1">
      <c r="A24" s="738"/>
      <c r="B24" s="1229" t="s">
        <v>240</v>
      </c>
      <c r="C24" s="1230">
        <v>0.22754359346262354</v>
      </c>
      <c r="D24" s="1231">
        <v>2.7985131964226513</v>
      </c>
      <c r="E24" s="1230">
        <v>2.8211868189212712</v>
      </c>
      <c r="F24" s="1230">
        <v>2.4355558612611565</v>
      </c>
      <c r="G24" s="1416">
        <v>8.6133540346801531</v>
      </c>
      <c r="H24" s="1416">
        <v>6.4716952250856945</v>
      </c>
      <c r="I24" s="1231">
        <v>8.3852994991848124</v>
      </c>
      <c r="J24" s="1231">
        <v>6.2399867312672068</v>
      </c>
      <c r="K24" s="1230">
        <v>6.5410420754638405</v>
      </c>
      <c r="L24" s="1230">
        <v>6.9820383370264238</v>
      </c>
      <c r="M24" s="1232">
        <v>5.1965257087413903</v>
      </c>
      <c r="N24" s="1230">
        <v>4.8353436209964924</v>
      </c>
      <c r="O24" s="1231">
        <v>6.5114877402564479</v>
      </c>
      <c r="P24" s="1230">
        <v>5.1856886684710002</v>
      </c>
      <c r="Q24" s="1230" t="s">
        <v>606</v>
      </c>
      <c r="R24" s="1230">
        <v>5.1826455096659263</v>
      </c>
      <c r="S24" s="1232">
        <v>21.163679075078477</v>
      </c>
    </row>
    <row r="25" spans="1:19" ht="15" customHeight="1">
      <c r="A25" s="738"/>
      <c r="B25" s="1229" t="s">
        <v>241</v>
      </c>
      <c r="C25" s="1230">
        <v>0.22379568420667423</v>
      </c>
      <c r="D25" s="1231">
        <v>2.3512105064979805</v>
      </c>
      <c r="E25" s="1230">
        <v>2.2943258087953522</v>
      </c>
      <c r="F25" s="1230">
        <v>2.2005299387286597</v>
      </c>
      <c r="G25" s="1416">
        <v>6.6435635203605186</v>
      </c>
      <c r="H25" s="1416">
        <v>6.5910148567563365</v>
      </c>
      <c r="I25" s="1231">
        <v>6.4262486446658587</v>
      </c>
      <c r="J25" s="1231">
        <v>6.5593063436582542</v>
      </c>
      <c r="K25" s="1230">
        <v>6.5559913750279195</v>
      </c>
      <c r="L25" s="1230">
        <v>4.5227988397944827</v>
      </c>
      <c r="M25" s="1232">
        <v>5.2792130444804348</v>
      </c>
      <c r="N25" s="1230">
        <v>4.8409618024466488</v>
      </c>
      <c r="O25" s="1231">
        <v>6.5</v>
      </c>
      <c r="P25" s="1230">
        <v>5.1498775423165402</v>
      </c>
      <c r="Q25" s="1230" t="s">
        <v>606</v>
      </c>
      <c r="R25" s="1230">
        <v>5.1575504663992779</v>
      </c>
      <c r="S25" s="1232">
        <v>21.17844701143455</v>
      </c>
    </row>
    <row r="26" spans="1:19" ht="21" customHeight="1">
      <c r="A26" s="738">
        <v>2025</v>
      </c>
      <c r="B26" s="1229" t="s">
        <v>242</v>
      </c>
      <c r="C26" s="1230">
        <v>0.20424780372844314</v>
      </c>
      <c r="D26" s="1231">
        <v>2.1569568665469685</v>
      </c>
      <c r="E26" s="1230">
        <v>2.2084042065940541</v>
      </c>
      <c r="F26" s="1230">
        <v>2.0886229140775878</v>
      </c>
      <c r="G26" s="1416">
        <v>7.6077899926615205</v>
      </c>
      <c r="H26" s="1416">
        <v>4.8108468594943732</v>
      </c>
      <c r="I26" s="1231">
        <v>6.5607997322788085</v>
      </c>
      <c r="J26" s="1231">
        <v>7.995673228089287</v>
      </c>
      <c r="K26" s="1230">
        <v>7.8072850788277925</v>
      </c>
      <c r="L26" s="1230">
        <v>4.8177986744771282</v>
      </c>
      <c r="M26" s="1232">
        <v>5.1761992472998255</v>
      </c>
      <c r="N26" s="1230">
        <v>4.3846474627037129</v>
      </c>
      <c r="O26" s="1231">
        <v>6.0848731513930749</v>
      </c>
      <c r="P26" s="1230">
        <v>4.8461693532660854</v>
      </c>
      <c r="Q26" s="1230" t="s">
        <v>606</v>
      </c>
      <c r="R26" s="1230">
        <v>4.8894369612421249</v>
      </c>
      <c r="S26" s="1811">
        <v>21.052469517291591</v>
      </c>
    </row>
    <row r="27" spans="1:19" ht="15" customHeight="1">
      <c r="A27" s="738"/>
      <c r="B27" s="1229" t="s">
        <v>243</v>
      </c>
      <c r="C27" s="1230">
        <v>0.19870341726279336</v>
      </c>
      <c r="D27" s="1231">
        <v>2.1476951446100152</v>
      </c>
      <c r="E27" s="1230">
        <v>1.9511669101766729</v>
      </c>
      <c r="F27" s="1230">
        <v>2.1509768907584985</v>
      </c>
      <c r="G27" s="1416">
        <v>8.039291938088903</v>
      </c>
      <c r="H27" s="1416">
        <v>6.4424597582757546</v>
      </c>
      <c r="I27" s="1231">
        <v>6.8865673871224091</v>
      </c>
      <c r="J27" s="1231">
        <v>6.9175915551320282</v>
      </c>
      <c r="K27" s="1230">
        <v>6.597520196513238</v>
      </c>
      <c r="L27" s="1230">
        <v>6.991144564038632</v>
      </c>
      <c r="M27" s="1232">
        <v>5.1909032311184031</v>
      </c>
      <c r="N27" s="1230">
        <v>5.3573639225390997</v>
      </c>
      <c r="O27" s="1231">
        <v>5.5172887318765786</v>
      </c>
      <c r="P27" s="1230">
        <v>4.907995819298006</v>
      </c>
      <c r="Q27" s="1230" t="s">
        <v>606</v>
      </c>
      <c r="R27" s="1230">
        <v>4.938767689781181</v>
      </c>
      <c r="S27" s="1811">
        <v>21.063376540277918</v>
      </c>
    </row>
    <row r="28" spans="1:19" ht="15" customHeight="1">
      <c r="A28" s="738"/>
      <c r="B28" s="1229" t="s">
        <v>240</v>
      </c>
      <c r="C28" s="1230">
        <f t="shared" ref="C28:S28" si="1">C35</f>
        <v>0.19844027570018405</v>
      </c>
      <c r="D28" s="1231">
        <f t="shared" si="1"/>
        <v>2.0907100697198406</v>
      </c>
      <c r="E28" s="1230">
        <f t="shared" si="1"/>
        <v>1.8632965112164808</v>
      </c>
      <c r="F28" s="1230">
        <f t="shared" si="1"/>
        <v>2.0101091771880517</v>
      </c>
      <c r="G28" s="1416">
        <f t="shared" si="1"/>
        <v>8.5</v>
      </c>
      <c r="H28" s="1416">
        <f t="shared" si="1"/>
        <v>5.5390605839633489</v>
      </c>
      <c r="I28" s="1231">
        <f t="shared" si="1"/>
        <v>7.4476440350095876</v>
      </c>
      <c r="J28" s="1231">
        <f t="shared" si="1"/>
        <v>6.9247683731168372</v>
      </c>
      <c r="K28" s="1230">
        <f t="shared" si="1"/>
        <v>6.0520034513959535</v>
      </c>
      <c r="L28" s="1230">
        <f t="shared" si="1"/>
        <v>6.3158040666138184</v>
      </c>
      <c r="M28" s="1232">
        <f t="shared" si="1"/>
        <v>5.2570056359857036</v>
      </c>
      <c r="N28" s="1230">
        <f t="shared" si="1"/>
        <v>5.0250618019302911</v>
      </c>
      <c r="O28" s="1231">
        <f t="shared" si="1"/>
        <v>5.6093601686098369</v>
      </c>
      <c r="P28" s="1230">
        <f t="shared" si="1"/>
        <v>4.8047669723258366</v>
      </c>
      <c r="Q28" s="1230" t="str">
        <f t="shared" si="1"/>
        <v>N/A</v>
      </c>
      <c r="R28" s="1230">
        <f t="shared" si="1"/>
        <v>4.8709867170648486</v>
      </c>
      <c r="S28" s="1811">
        <f t="shared" si="1"/>
        <v>20.855640165296695</v>
      </c>
    </row>
    <row r="29" spans="1:19" ht="15" customHeight="1">
      <c r="A29" s="738"/>
      <c r="B29" s="1229" t="s">
        <v>241</v>
      </c>
      <c r="C29" s="1230">
        <f t="shared" ref="C29:S29" si="2">C38</f>
        <v>0.20731435582787755</v>
      </c>
      <c r="D29" s="1231">
        <f t="shared" si="2"/>
        <v>1.9080781430480023</v>
      </c>
      <c r="E29" s="1230">
        <f t="shared" si="2"/>
        <v>1.7286255023026085</v>
      </c>
      <c r="F29" s="1230">
        <f t="shared" si="2"/>
        <v>1.9382274763750591</v>
      </c>
      <c r="G29" s="1416">
        <f t="shared" si="2"/>
        <v>7.5813132930714202</v>
      </c>
      <c r="H29" s="1416">
        <f t="shared" si="2"/>
        <v>5.5144296954051288</v>
      </c>
      <c r="I29" s="1231">
        <f t="shared" si="2"/>
        <v>6.4591939823169779</v>
      </c>
      <c r="J29" s="1231">
        <f t="shared" si="2"/>
        <v>5.5917462824835189</v>
      </c>
      <c r="K29" s="1230">
        <f t="shared" si="2"/>
        <v>5.6573786144805753</v>
      </c>
      <c r="L29" s="1230">
        <f t="shared" si="2"/>
        <v>6.2159971354246055</v>
      </c>
      <c r="M29" s="1232">
        <f t="shared" si="2"/>
        <v>4.5582581864423508</v>
      </c>
      <c r="N29" s="1230">
        <f t="shared" si="2"/>
        <v>5.2972754615444382</v>
      </c>
      <c r="O29" s="1231">
        <f t="shared" si="2"/>
        <v>5.5060844064622243</v>
      </c>
      <c r="P29" s="1230">
        <f t="shared" si="2"/>
        <v>5.3032770464507717</v>
      </c>
      <c r="Q29" s="1230" t="str">
        <f t="shared" si="2"/>
        <v>N/A</v>
      </c>
      <c r="R29" s="1230">
        <f t="shared" si="2"/>
        <v>5.1640006237482581</v>
      </c>
      <c r="S29" s="1811">
        <f t="shared" si="2"/>
        <v>20.887059623336487</v>
      </c>
    </row>
    <row r="30" spans="1:19" ht="21" customHeight="1">
      <c r="A30" s="1800">
        <v>2026</v>
      </c>
      <c r="B30" s="1802" t="s">
        <v>242</v>
      </c>
      <c r="C30" s="1696">
        <f t="shared" ref="C30:S30" si="3">C41</f>
        <v>0.18450203205720334</v>
      </c>
      <c r="D30" s="1697">
        <f t="shared" si="3"/>
        <v>1.8524084688996421</v>
      </c>
      <c r="E30" s="1696">
        <f t="shared" si="3"/>
        <v>2.0115785216296636</v>
      </c>
      <c r="F30" s="1696">
        <f t="shared" si="3"/>
        <v>2.0011417253796924</v>
      </c>
      <c r="G30" s="1698">
        <f t="shared" si="3"/>
        <v>8.2348896103371647</v>
      </c>
      <c r="H30" s="1698">
        <f t="shared" si="3"/>
        <v>5.4829130039390144</v>
      </c>
      <c r="I30" s="1697">
        <f t="shared" si="3"/>
        <v>6.8928395175370438</v>
      </c>
      <c r="J30" s="1697">
        <f t="shared" si="3"/>
        <v>6.4347538558717634</v>
      </c>
      <c r="K30" s="1696">
        <f t="shared" si="3"/>
        <v>5.7441138146038107</v>
      </c>
      <c r="L30" s="1696">
        <f t="shared" si="3"/>
        <v>6.281938040703233</v>
      </c>
      <c r="M30" s="1699">
        <f t="shared" si="3"/>
        <v>5.0147060343395857</v>
      </c>
      <c r="N30" s="1696">
        <f t="shared" si="3"/>
        <v>4.7020697591065037</v>
      </c>
      <c r="O30" s="1697">
        <f t="shared" si="3"/>
        <v>5.5</v>
      </c>
      <c r="P30" s="1696">
        <f t="shared" si="3"/>
        <v>4.776535183122145</v>
      </c>
      <c r="Q30" s="1696" t="str">
        <f t="shared" si="3"/>
        <v>N/A</v>
      </c>
      <c r="R30" s="1696">
        <f t="shared" si="3"/>
        <v>4.8236317035349936</v>
      </c>
      <c r="S30" s="2283">
        <f t="shared" si="3"/>
        <v>20.790520853765006</v>
      </c>
    </row>
    <row r="31" spans="1:19" ht="21" customHeight="1">
      <c r="A31" s="738">
        <v>2025</v>
      </c>
      <c r="B31" s="739" t="s">
        <v>427</v>
      </c>
      <c r="C31" s="2406">
        <v>0.19770986908335231</v>
      </c>
      <c r="D31" s="2407">
        <v>2.1495401868772128</v>
      </c>
      <c r="E31" s="2407">
        <v>2.2736972317214956</v>
      </c>
      <c r="F31" s="2407">
        <v>2.1332809866387943</v>
      </c>
      <c r="G31" s="2408">
        <v>7.8553953293109471</v>
      </c>
      <c r="H31" s="2408">
        <v>5.8150476256149908</v>
      </c>
      <c r="I31" s="2407">
        <v>6.3957123105845604</v>
      </c>
      <c r="J31" s="2407">
        <v>6.9629229462640421</v>
      </c>
      <c r="K31" s="2406">
        <v>6.6728780652243547</v>
      </c>
      <c r="L31" s="2406">
        <v>7.2141587364102842</v>
      </c>
      <c r="M31" s="1811">
        <v>5.1468700107001428</v>
      </c>
      <c r="N31" s="2407">
        <v>4.936767437451385</v>
      </c>
      <c r="O31" s="2407">
        <v>5.164115453493352</v>
      </c>
      <c r="P31" s="1811">
        <v>4.7045706329455674</v>
      </c>
      <c r="Q31" s="2407" t="s">
        <v>606</v>
      </c>
      <c r="R31" s="2407">
        <v>4.8357410726273198</v>
      </c>
      <c r="S31" s="1811">
        <v>21.137101959050455</v>
      </c>
    </row>
    <row r="32" spans="1:19" ht="16.5" customHeight="1">
      <c r="A32" s="738"/>
      <c r="B32" s="739" t="s">
        <v>428</v>
      </c>
      <c r="C32" s="2406">
        <f>'[17]6A'!$B$17</f>
        <v>0.19870341726279336</v>
      </c>
      <c r="D32" s="2407">
        <f>'[17]6A'!$C$20</f>
        <v>2.1476951446100152</v>
      </c>
      <c r="E32" s="2407">
        <f>'[17]6A'!$D$20</f>
        <v>1.9511669101766729</v>
      </c>
      <c r="F32" s="2407">
        <f>'[17]6A'!$E$20</f>
        <v>2.1509768907584985</v>
      </c>
      <c r="G32" s="2408">
        <f>'[17]6A'!$E$61</f>
        <v>8.039291938088903</v>
      </c>
      <c r="H32" s="2408">
        <f>'[17]6A'!$I$61</f>
        <v>6.4424597582757546</v>
      </c>
      <c r="I32" s="2407">
        <f>'[17]6A'!$M$61</f>
        <v>6.8865673871224091</v>
      </c>
      <c r="J32" s="2407">
        <f>'[17]6A'!$Q$61</f>
        <v>6.9175915551320282</v>
      </c>
      <c r="K32" s="2406">
        <f>'[17]6A'!$S$61</f>
        <v>6.597520196513238</v>
      </c>
      <c r="L32" s="2406">
        <f>'[17]6A'!$T$61</f>
        <v>6.991144564038632</v>
      </c>
      <c r="M32" s="1811">
        <f>'[17]6A'!$E$101</f>
        <v>5.1909032311184031</v>
      </c>
      <c r="N32" s="2407">
        <f>'[17]6A'!$I$101</f>
        <v>5.3573639225390997</v>
      </c>
      <c r="O32" s="2407">
        <f>'[17]6A'!$M$101</f>
        <v>5.5172887318765786</v>
      </c>
      <c r="P32" s="1811">
        <f>'[17]6A'!$Q$101</f>
        <v>4.907995819298006</v>
      </c>
      <c r="Q32" s="2422" t="s">
        <v>606</v>
      </c>
      <c r="R32" s="2407">
        <f>'[17]6A'!$T$101</f>
        <v>4.938767689781181</v>
      </c>
      <c r="S32" s="1811">
        <f>'[17]6A'!$R$101</f>
        <v>21.063376540277918</v>
      </c>
    </row>
    <row r="33" spans="1:19" ht="16.5" customHeight="1">
      <c r="A33" s="738"/>
      <c r="B33" s="739" t="s">
        <v>429</v>
      </c>
      <c r="C33" s="2406">
        <f>'[18]6A'!$B$17</f>
        <v>0.19534462820873605</v>
      </c>
      <c r="D33" s="2407">
        <f>'[18]6A'!$C$20</f>
        <v>2.1204023636845637</v>
      </c>
      <c r="E33" s="2407">
        <f>'[18]6A'!$D$20</f>
        <v>2.2109575896194391</v>
      </c>
      <c r="F33" s="2407">
        <f>'[18]6A'!$E$20</f>
        <v>2.0971800529924325</v>
      </c>
      <c r="G33" s="2408">
        <f>'[18]6A'!$E$61</f>
        <v>8.4082392457902984</v>
      </c>
      <c r="H33" s="2408">
        <f>'[18]6A'!$I$61</f>
        <v>6.4960039337307318</v>
      </c>
      <c r="I33" s="2407">
        <f>'[18]6A'!$M$61</f>
        <v>6.0496608584432909</v>
      </c>
      <c r="J33" s="2407">
        <f>'[18]6A'!$Q$61</f>
        <v>7.1818185784837762</v>
      </c>
      <c r="K33" s="2406">
        <f>'[18]6A'!$S$61</f>
        <v>7.1813520101087711</v>
      </c>
      <c r="L33" s="2406">
        <f>'[18]6A'!$T$61</f>
        <v>3.8602723930162339</v>
      </c>
      <c r="M33" s="1811">
        <f>'[18]6A'!$E$101</f>
        <v>5.1194393961276896</v>
      </c>
      <c r="N33" s="2407">
        <f>'[18]6A'!$I$101</f>
        <v>5.2687022887725155</v>
      </c>
      <c r="O33" s="2407">
        <f>'[18]6A'!$M$101</f>
        <v>5.5034785944535116</v>
      </c>
      <c r="P33" s="1811">
        <f>'[18]6A'!$Q$101</f>
        <v>5.0159889116568941</v>
      </c>
      <c r="Q33" s="2422" t="s">
        <v>606</v>
      </c>
      <c r="R33" s="2407">
        <f>'[18]6A'!$T$101</f>
        <v>5.0383692400273041</v>
      </c>
      <c r="S33" s="1811">
        <f>'[18]6A'!$R$101</f>
        <v>20.971282832512873</v>
      </c>
    </row>
    <row r="34" spans="1:19" ht="16.5" customHeight="1">
      <c r="A34" s="738"/>
      <c r="B34" s="739" t="s">
        <v>430</v>
      </c>
      <c r="C34" s="2406">
        <f>'[19]6A'!$B$17</f>
        <v>0.18964901574957505</v>
      </c>
      <c r="D34" s="2407">
        <f>'[19]6A'!$C$20</f>
        <v>2.1239469013761241</v>
      </c>
      <c r="E34" s="2407">
        <f>'[19]6A'!$D$20</f>
        <v>1.9559707844783119</v>
      </c>
      <c r="F34" s="2407">
        <f>'[19]6A'!$E$20</f>
        <v>1.8498043556026853</v>
      </c>
      <c r="G34" s="2408">
        <f>'[19]6A'!$E$61</f>
        <v>7.6748186050173421</v>
      </c>
      <c r="H34" s="2408">
        <f>'[19]6A'!$I$61</f>
        <v>5.5504520914067275</v>
      </c>
      <c r="I34" s="2407">
        <f>'[19]6A'!$M$61</f>
        <v>6.2772730129242129</v>
      </c>
      <c r="J34" s="2407">
        <f>'[19]6A'!$Q$61</f>
        <v>7.693876363725269</v>
      </c>
      <c r="K34" s="2406">
        <f>'[19]6A'!$S$61</f>
        <v>6.1039724355591334</v>
      </c>
      <c r="L34" s="2406">
        <f>'[19]6A'!$T$61</f>
        <v>7.4319283289444078</v>
      </c>
      <c r="M34" s="1811">
        <f>'[19]6A'!$E$101</f>
        <v>5.2003380320048933</v>
      </c>
      <c r="N34" s="2407">
        <f>'[19]6A'!$I$101</f>
        <v>4.7862516405316748</v>
      </c>
      <c r="O34" s="2407">
        <f>'[19]6A'!$M$101</f>
        <v>5.5</v>
      </c>
      <c r="P34" s="1811">
        <f>'[19]6A'!$Q$101</f>
        <v>4.8788703019663284</v>
      </c>
      <c r="Q34" s="2422" t="s">
        <v>606</v>
      </c>
      <c r="R34" s="2407">
        <f>'[19]6A'!$T$101</f>
        <v>4.9335346291373243</v>
      </c>
      <c r="S34" s="1811">
        <f>'[19]6A'!$R$101</f>
        <v>20.858804255031423</v>
      </c>
    </row>
    <row r="35" spans="1:19" ht="16.5" customHeight="1">
      <c r="A35" s="738"/>
      <c r="B35" s="739" t="s">
        <v>431</v>
      </c>
      <c r="C35" s="2406">
        <f>'[20]6A'!$B$17</f>
        <v>0.19844027570018405</v>
      </c>
      <c r="D35" s="2407">
        <f>'[20]6A'!$C$20</f>
        <v>2.0907100697198406</v>
      </c>
      <c r="E35" s="2407">
        <f>'[20]6A'!$D$20</f>
        <v>1.8632965112164808</v>
      </c>
      <c r="F35" s="2407">
        <f>'[20]6A'!$E$20</f>
        <v>2.0101091771880517</v>
      </c>
      <c r="G35" s="2408">
        <f>'[20]6A'!$E$61</f>
        <v>8.5</v>
      </c>
      <c r="H35" s="2408">
        <f>'[20]6A'!$I$61</f>
        <v>5.5390605839633489</v>
      </c>
      <c r="I35" s="2407">
        <f>'[20]6A'!$M$61</f>
        <v>7.4476440350095876</v>
      </c>
      <c r="J35" s="2407">
        <f>'[20]6A'!$Q$61</f>
        <v>6.9247683731168372</v>
      </c>
      <c r="K35" s="2406">
        <f>'[20]6A'!$S$61</f>
        <v>6.0520034513959535</v>
      </c>
      <c r="L35" s="2406">
        <f>'[20]6A'!$T$61</f>
        <v>6.3158040666138184</v>
      </c>
      <c r="M35" s="1811">
        <f>'[20]6A'!$E$101</f>
        <v>5.2570056359857036</v>
      </c>
      <c r="N35" s="2407">
        <f>'[20]6A'!$I$101</f>
        <v>5.0250618019302911</v>
      </c>
      <c r="O35" s="2407">
        <f>'[20]6A'!$M$101</f>
        <v>5.6093601686098369</v>
      </c>
      <c r="P35" s="1811">
        <f>'[20]6A'!$Q$101</f>
        <v>4.8047669723258366</v>
      </c>
      <c r="Q35" s="2422" t="s">
        <v>606</v>
      </c>
      <c r="R35" s="2407">
        <f>'[20]6A'!$T$101</f>
        <v>4.8709867170648486</v>
      </c>
      <c r="S35" s="1811">
        <f>'[20]6A'!$R$101</f>
        <v>20.855640165296695</v>
      </c>
    </row>
    <row r="36" spans="1:19" ht="16.5" customHeight="1">
      <c r="A36" s="738"/>
      <c r="B36" s="739" t="s">
        <v>420</v>
      </c>
      <c r="C36" s="2406">
        <f>'[21]6A'!$B$17</f>
        <v>0.19975959201642851</v>
      </c>
      <c r="D36" s="2407">
        <f>'[21]6A'!$C$20</f>
        <v>1.6586414323645056</v>
      </c>
      <c r="E36" s="2407">
        <f>'[21]6A'!$D$20</f>
        <v>1.8313123866212344</v>
      </c>
      <c r="F36" s="2407">
        <f>'[21]6A'!$E$20</f>
        <v>1.9881735830544431</v>
      </c>
      <c r="G36" s="2408">
        <f>'[21]6A'!$E$61</f>
        <v>7.9322285895952938</v>
      </c>
      <c r="H36" s="2408">
        <f>'[21]6A'!$I$61</f>
        <v>5.4012901560900639</v>
      </c>
      <c r="I36" s="2407">
        <f>'[21]6A'!$M$61</f>
        <v>6.3173697378416334</v>
      </c>
      <c r="J36" s="2407">
        <f>'[21]6A'!$Q$61</f>
        <v>5.6018329101056326</v>
      </c>
      <c r="K36" s="2406">
        <f>'[21]6A'!$S$61</f>
        <v>5.7550374578125831</v>
      </c>
      <c r="L36" s="2406">
        <f>'[21]6A'!$T$61</f>
        <v>6.3496198129993875</v>
      </c>
      <c r="M36" s="1811">
        <f>'[21]6A'!$E$101</f>
        <v>5.174744460299614</v>
      </c>
      <c r="N36" s="2407">
        <f>'[21]6A'!$I$101</f>
        <v>4.9948774212943929</v>
      </c>
      <c r="O36" s="2407">
        <f>'[21]6A'!$M$101</f>
        <v>5.9866190849947101</v>
      </c>
      <c r="P36" s="1811">
        <f>'[21]6A'!$Q$101</f>
        <v>4.775960779523075</v>
      </c>
      <c r="Q36" s="2422" t="s">
        <v>606</v>
      </c>
      <c r="R36" s="2407">
        <f>'[21]6A'!$T$101</f>
        <v>4.8469145996336085</v>
      </c>
      <c r="S36" s="1811">
        <f>'[21]6A'!$R$101</f>
        <v>20.917505618250949</v>
      </c>
    </row>
    <row r="37" spans="1:19" ht="16.5" customHeight="1">
      <c r="A37" s="738"/>
      <c r="B37" s="739" t="s">
        <v>421</v>
      </c>
      <c r="C37" s="2406">
        <f>'[22]6A'!$B$17</f>
        <v>0.20380561803101349</v>
      </c>
      <c r="D37" s="2407">
        <f>'[22]6A'!$C$20</f>
        <v>2.0248730675777655</v>
      </c>
      <c r="E37" s="2407">
        <f>'[22]6A'!$D$20</f>
        <v>2.0546627578564394</v>
      </c>
      <c r="F37" s="2407">
        <f>'[22]6A'!$E$20</f>
        <v>1.9919827046080072</v>
      </c>
      <c r="G37" s="2408">
        <f>'[22]6A'!$E$61</f>
        <v>7.8512752185682224</v>
      </c>
      <c r="H37" s="2408">
        <f>'[22]6A'!$I$61</f>
        <v>6.4124961587347826</v>
      </c>
      <c r="I37" s="2407">
        <f>'[22]6A'!$M$61</f>
        <v>6.5953596298885424</v>
      </c>
      <c r="J37" s="2407">
        <f>'[22]6A'!$Q$61</f>
        <v>5.7543394266461796</v>
      </c>
      <c r="K37" s="2406">
        <f>'[22]6A'!$S$61</f>
        <v>6.1509866635727368</v>
      </c>
      <c r="L37" s="2406">
        <f>'[22]6A'!$T$61</f>
        <v>6.5826779507096997</v>
      </c>
      <c r="M37" s="1811">
        <f>'[22]6A'!$E$101</f>
        <v>5.1593985448716282</v>
      </c>
      <c r="N37" s="2407">
        <f>'[22]6A'!$I$101</f>
        <v>4.9228146675733475</v>
      </c>
      <c r="O37" s="2407">
        <f>'[22]6A'!$M$101</f>
        <v>6.2338706455757773</v>
      </c>
      <c r="P37" s="1811">
        <f>'[22]6A'!$Q$101</f>
        <v>4.8810185433849131</v>
      </c>
      <c r="Q37" s="2422" t="s">
        <v>606</v>
      </c>
      <c r="R37" s="2407">
        <f>'[22]6A'!$T$101</f>
        <v>4.9235713749866576</v>
      </c>
      <c r="S37" s="1811">
        <f>'[22]6A'!$R$101</f>
        <v>20.903482203044149</v>
      </c>
    </row>
    <row r="38" spans="1:19" ht="16.5" customHeight="1">
      <c r="A38" s="738"/>
      <c r="B38" s="739" t="s">
        <v>422</v>
      </c>
      <c r="C38" s="2406">
        <f>'[23]6A'!$B$17</f>
        <v>0.20731435582787755</v>
      </c>
      <c r="D38" s="2407">
        <f>'[23]6A'!$C$20</f>
        <v>1.9080781430480023</v>
      </c>
      <c r="E38" s="2407">
        <f>'[23]6A'!$D$20</f>
        <v>1.7286255023026085</v>
      </c>
      <c r="F38" s="2407">
        <f>'[23]6A'!$E$20</f>
        <v>1.9382274763750591</v>
      </c>
      <c r="G38" s="2408">
        <f>'[23]6A'!$E$61</f>
        <v>7.5813132930714202</v>
      </c>
      <c r="H38" s="2408">
        <f>'[23]6A'!$I$61</f>
        <v>5.5144296954051288</v>
      </c>
      <c r="I38" s="2407">
        <f>'[23]6A'!$M$61</f>
        <v>6.4591939823169779</v>
      </c>
      <c r="J38" s="2407">
        <f>'[23]6A'!$Q$61</f>
        <v>5.5917462824835189</v>
      </c>
      <c r="K38" s="2406">
        <f>'[23]6A'!$S$61</f>
        <v>5.6573786144805753</v>
      </c>
      <c r="L38" s="2406">
        <f>'[23]6A'!$T$61</f>
        <v>6.2159971354246055</v>
      </c>
      <c r="M38" s="1811">
        <f>'[23]6A'!$E$101</f>
        <v>4.5582581864423508</v>
      </c>
      <c r="N38" s="2407">
        <f>'[23]6A'!$I$101</f>
        <v>5.2972754615444382</v>
      </c>
      <c r="O38" s="2407">
        <f>'[23]6A'!$M$101</f>
        <v>5.5060844064622243</v>
      </c>
      <c r="P38" s="1811">
        <f>'[23]6A'!$Q$101</f>
        <v>5.3032770464507717</v>
      </c>
      <c r="Q38" s="2422" t="s">
        <v>606</v>
      </c>
      <c r="R38" s="2407">
        <f>'[23]6A'!$T$101</f>
        <v>5.1640006237482581</v>
      </c>
      <c r="S38" s="1811">
        <f>'[23]6A'!$R$101</f>
        <v>20.887059623336487</v>
      </c>
    </row>
    <row r="39" spans="1:19" ht="21" customHeight="1">
      <c r="A39" s="738">
        <v>2026</v>
      </c>
      <c r="B39" s="739" t="s">
        <v>423</v>
      </c>
      <c r="C39" s="2406">
        <f>'[24]6A'!$B$17</f>
        <v>0.1978784696426204</v>
      </c>
      <c r="D39" s="2407">
        <f>'[24]6A'!$C$20</f>
        <v>1.8958201662768852</v>
      </c>
      <c r="E39" s="2407">
        <f>'[24]6A'!$D$20</f>
        <v>1.940791141378337</v>
      </c>
      <c r="F39" s="2407">
        <f>'[24]6A'!$E$20</f>
        <v>1.9839080343970741</v>
      </c>
      <c r="G39" s="2408">
        <f>'[24]6A'!$E$61</f>
        <v>8.1806116742967916</v>
      </c>
      <c r="H39" s="2408">
        <f>'[24]6A'!$I$61</f>
        <v>5.6209777182471612</v>
      </c>
      <c r="I39" s="2407">
        <f>'[24]6A'!$M$61</f>
        <v>6.7488634917529025</v>
      </c>
      <c r="J39" s="2407">
        <f>'[24]6A'!$Q$61</f>
        <v>5.7713784911499175</v>
      </c>
      <c r="K39" s="2406">
        <f>'[24]6A'!$S$61</f>
        <v>6.1264548030801187</v>
      </c>
      <c r="L39" s="2406">
        <f>'[24]6A'!$T$61</f>
        <v>6.4857481222257078</v>
      </c>
      <c r="M39" s="1811">
        <f>'[24]6A'!$E$101</f>
        <v>4.7619905108632157</v>
      </c>
      <c r="N39" s="2407">
        <f>'[24]6A'!$I$101</f>
        <v>4.8643365974260471</v>
      </c>
      <c r="O39" s="2407">
        <f>'[24]6A'!$M$101</f>
        <v>5.6140127989329871</v>
      </c>
      <c r="P39" s="1811">
        <f>'[24]6A'!$Q$101</f>
        <v>4.8515772341593433</v>
      </c>
      <c r="Q39" s="2422" t="s">
        <v>606</v>
      </c>
      <c r="R39" s="2407">
        <f>'[24]6A'!$T$101</f>
        <v>4.8333793244804202</v>
      </c>
      <c r="S39" s="1811">
        <f>'[24]6A'!$R$101</f>
        <v>20.998037009495828</v>
      </c>
    </row>
    <row r="40" spans="1:19" ht="16.5" customHeight="1">
      <c r="A40" s="738"/>
      <c r="B40" s="739" t="s">
        <v>424</v>
      </c>
      <c r="C40" s="2406">
        <f>'[25]6A'!$B$17</f>
        <v>0.19797218175253914</v>
      </c>
      <c r="D40" s="2407">
        <f>'[25]6A'!$C$20</f>
        <v>1.890034363373855</v>
      </c>
      <c r="E40" s="2407">
        <f>'[25]6A'!$D$20</f>
        <v>1.9892154190325035</v>
      </c>
      <c r="F40" s="2407">
        <f>'[25]6A'!$E$20</f>
        <v>1.9871718086741645</v>
      </c>
      <c r="G40" s="2408">
        <f>'[25]6A'!$E$61</f>
        <v>8.4622246648080583</v>
      </c>
      <c r="H40" s="2408">
        <f>'[25]6A'!$I$61</f>
        <v>5.8529928443025723</v>
      </c>
      <c r="I40" s="2407">
        <f>'[25]6A'!$M$61</f>
        <v>6.938479822117098</v>
      </c>
      <c r="J40" s="2407">
        <f>'[25]6A'!$Q$61</f>
        <v>6.7971193098656393</v>
      </c>
      <c r="K40" s="2406">
        <f>'[25]6A'!$S$61</f>
        <v>7.0893378779158436</v>
      </c>
      <c r="L40" s="2406">
        <f>'[25]6A'!$T$61</f>
        <v>7.0636016106345965</v>
      </c>
      <c r="M40" s="1811">
        <f>'[25]6A'!$E$101</f>
        <v>4.848993205008056</v>
      </c>
      <c r="N40" s="2407">
        <f>'[25]6A'!$I$101</f>
        <v>5.1132219083482022</v>
      </c>
      <c r="O40" s="2407">
        <f>'[25]6A'!$M$101</f>
        <v>6.4007550511984137</v>
      </c>
      <c r="P40" s="1811">
        <f>'[25]6A'!$Q$101</f>
        <v>4.8523889119240513</v>
      </c>
      <c r="Q40" s="2422" t="s">
        <v>606</v>
      </c>
      <c r="R40" s="2407">
        <f>'[25]6A'!$T$101</f>
        <v>4.8561851321661331</v>
      </c>
      <c r="S40" s="1811">
        <f>'[25]6A'!$R$101</f>
        <v>20.839409664529018</v>
      </c>
    </row>
    <row r="41" spans="1:19" ht="16.5" customHeight="1">
      <c r="A41" s="738"/>
      <c r="B41" s="739" t="s">
        <v>425</v>
      </c>
      <c r="C41" s="2406">
        <f>'[26]6A'!$B$17</f>
        <v>0.18450203205720334</v>
      </c>
      <c r="D41" s="2407">
        <f>'[26]6A'!$C$20</f>
        <v>1.8524084688996421</v>
      </c>
      <c r="E41" s="2407">
        <f>'[26]6A'!$D$20</f>
        <v>2.0115785216296636</v>
      </c>
      <c r="F41" s="2407">
        <f>'[26]6A'!$E$20</f>
        <v>2.0011417253796924</v>
      </c>
      <c r="G41" s="2408">
        <f>'[26]6A'!$E$61</f>
        <v>8.2348896103371647</v>
      </c>
      <c r="H41" s="2408">
        <f>'[26]6A'!$I$61</f>
        <v>5.4829130039390144</v>
      </c>
      <c r="I41" s="2407">
        <f>'[26]6A'!$M$61</f>
        <v>6.8928395175370438</v>
      </c>
      <c r="J41" s="2407">
        <f>'[26]6A'!$Q$61</f>
        <v>6.4347538558717634</v>
      </c>
      <c r="K41" s="2406">
        <f>'[26]6A'!$S$61</f>
        <v>5.7441138146038107</v>
      </c>
      <c r="L41" s="2406">
        <f>'[26]6A'!$T$61</f>
        <v>6.281938040703233</v>
      </c>
      <c r="M41" s="1811">
        <f>'[26]6A'!$E$101</f>
        <v>5.0147060343395857</v>
      </c>
      <c r="N41" s="2407">
        <f>'[26]6A'!$I$101</f>
        <v>4.7020697591065037</v>
      </c>
      <c r="O41" s="2407">
        <f>'[26]6A'!$M$101</f>
        <v>5.5</v>
      </c>
      <c r="P41" s="1811">
        <f>'[26]6A'!$Q$101</f>
        <v>4.776535183122145</v>
      </c>
      <c r="Q41" s="2422" t="s">
        <v>606</v>
      </c>
      <c r="R41" s="2407">
        <f>'[26]6A'!$T$101</f>
        <v>4.8236317035349936</v>
      </c>
      <c r="S41" s="1811">
        <f>'[26]6A'!$R$101</f>
        <v>20.790520853765006</v>
      </c>
    </row>
    <row r="42" spans="1:19" ht="16.5" customHeight="1">
      <c r="A42" s="738"/>
      <c r="B42" s="739" t="s">
        <v>426</v>
      </c>
      <c r="C42" s="2406">
        <f>'[27]6A'!$B$17</f>
        <v>0.1756617035188916</v>
      </c>
      <c r="D42" s="2407">
        <f>'[27]6A'!$C$20</f>
        <v>1.8677881183153926</v>
      </c>
      <c r="E42" s="2407">
        <f>'[27]6A'!$D$20</f>
        <v>2.0316798019689655</v>
      </c>
      <c r="F42" s="2407">
        <f>'[27]6A'!$E$20</f>
        <v>1.9671156764576194</v>
      </c>
      <c r="G42" s="2408">
        <f>'[27]6A'!$E$61</f>
        <v>7.5710530511741156</v>
      </c>
      <c r="H42" s="2408">
        <f>'[27]6A'!$I$61</f>
        <v>4.8466186297786109</v>
      </c>
      <c r="I42" s="2407">
        <f>'[27]6A'!$M$61</f>
        <v>7.1332020341071267</v>
      </c>
      <c r="J42" s="2407">
        <f>'[27]6A'!$Q$61</f>
        <v>5.3559758815597736</v>
      </c>
      <c r="K42" s="2406">
        <f>'[27]6A'!$S$61</f>
        <v>5.8336813577509048</v>
      </c>
      <c r="L42" s="2406">
        <f>'[27]6A'!$T$61</f>
        <v>6.4620042673744731</v>
      </c>
      <c r="M42" s="1811">
        <f>'[27]6A'!$E$101</f>
        <v>5.121638398425219</v>
      </c>
      <c r="N42" s="2407">
        <f>'[27]6A'!$I$101</f>
        <v>4.950126980029693</v>
      </c>
      <c r="O42" s="2407">
        <f>'[27]6A'!$M$101</f>
        <v>7.2291364832829643</v>
      </c>
      <c r="P42" s="1811">
        <f>'[27]6A'!$Q$101</f>
        <v>4.7637281705870089</v>
      </c>
      <c r="Q42" s="2422" t="s">
        <v>606</v>
      </c>
      <c r="R42" s="2407">
        <f>'[27]6A'!$T$101</f>
        <v>4.855554708843238</v>
      </c>
      <c r="S42" s="1811">
        <f>'[27]6A'!$R$101</f>
        <v>20.750639655198317</v>
      </c>
    </row>
    <row r="43" spans="1:19" ht="16.5" customHeight="1">
      <c r="A43" s="738"/>
      <c r="B43" s="739" t="s">
        <v>1790</v>
      </c>
      <c r="C43" s="2406">
        <f>'[28]6A'!$B$17</f>
        <v>0.18229690835013998</v>
      </c>
      <c r="D43" s="2407">
        <f>'[28]6A'!$C$20</f>
        <v>2.5586223991848716</v>
      </c>
      <c r="E43" s="2407">
        <f>'[28]6A'!$D$20</f>
        <v>2.5136779831419522</v>
      </c>
      <c r="F43" s="2407">
        <f>'[28]6A'!$E$20</f>
        <v>2.5488685496009964</v>
      </c>
      <c r="G43" s="2408">
        <f>'[28]6A'!$E$61</f>
        <v>8.025516692669461</v>
      </c>
      <c r="H43" s="2408">
        <f>'[28]6A'!$I$61</f>
        <v>5.8298422533336609</v>
      </c>
      <c r="I43" s="2407">
        <f>'[28]6A'!$M$61</f>
        <v>7.3345152861057468</v>
      </c>
      <c r="J43" s="2407">
        <f>'[28]6A'!$Q$61</f>
        <v>7.5518920058110073</v>
      </c>
      <c r="K43" s="2406">
        <f>'[28]6A'!$S$61</f>
        <v>7.1293233378434744</v>
      </c>
      <c r="L43" s="2406">
        <f>'[28]6A'!$T$61</f>
        <v>6.7276302097273906</v>
      </c>
      <c r="M43" s="1811">
        <f>'[28]6A'!$E$101</f>
        <v>4.9959555140167495</v>
      </c>
      <c r="N43" s="2407">
        <f>'[28]6A'!$I$101</f>
        <v>4.9960415378199414</v>
      </c>
      <c r="O43" s="2407">
        <f>'[28]6A'!$M$101</f>
        <v>6.5075741743873428</v>
      </c>
      <c r="P43" s="1811">
        <f>'[28]6A'!$Q$101</f>
        <v>4.8232484929206434</v>
      </c>
      <c r="Q43" s="2422" t="s">
        <v>606</v>
      </c>
      <c r="R43" s="2407">
        <f>'[28]6A'!$T$101</f>
        <v>4.8657495606941623</v>
      </c>
      <c r="S43" s="1811">
        <f>'[28]6A'!$R$101</f>
        <v>20.802076735716437</v>
      </c>
    </row>
    <row r="44" spans="1:19" s="662" customFormat="1" ht="20.25" customHeight="1">
      <c r="A44" s="1262" t="s">
        <v>607</v>
      </c>
      <c r="B44" s="1262"/>
      <c r="C44" s="1262"/>
      <c r="D44" s="1262"/>
      <c r="E44" s="1262"/>
      <c r="F44" s="1262"/>
      <c r="G44" s="1262"/>
      <c r="H44" s="1262"/>
      <c r="I44" s="1262"/>
      <c r="J44" s="1262"/>
      <c r="K44" s="1262"/>
      <c r="L44" s="1262"/>
      <c r="M44" s="1262"/>
      <c r="N44" s="1262"/>
      <c r="O44" s="1262"/>
      <c r="P44" s="1262"/>
      <c r="Q44" s="1262"/>
      <c r="R44" s="1262"/>
      <c r="S44" s="1263" t="s">
        <v>608</v>
      </c>
    </row>
    <row r="45" spans="1:19" s="372" customFormat="1" ht="14.25" customHeight="1">
      <c r="A45" s="372" t="s">
        <v>609</v>
      </c>
      <c r="L45" s="483"/>
      <c r="M45" s="483"/>
      <c r="S45" s="371" t="s">
        <v>610</v>
      </c>
    </row>
    <row r="46" spans="1:19" s="372" customFormat="1" ht="14.25" customHeight="1">
      <c r="A46" s="372" t="s">
        <v>611</v>
      </c>
      <c r="I46" s="740"/>
      <c r="J46" s="740"/>
      <c r="K46" s="740"/>
      <c r="L46" s="741"/>
      <c r="M46" s="483"/>
      <c r="S46" s="371" t="s">
        <v>612</v>
      </c>
    </row>
    <row r="47" spans="1:19" s="715" customFormat="1">
      <c r="A47" s="152" t="s">
        <v>613</v>
      </c>
      <c r="H47" s="712"/>
      <c r="I47" s="712"/>
      <c r="J47" s="712"/>
      <c r="K47" s="712"/>
      <c r="L47" s="713"/>
      <c r="M47" s="712"/>
      <c r="N47" s="712"/>
      <c r="O47" s="712"/>
      <c r="S47" s="2338" t="s">
        <v>614</v>
      </c>
    </row>
    <row r="48" spans="1:19" s="715" customFormat="1">
      <c r="A48" s="152"/>
      <c r="H48" s="712"/>
      <c r="I48" s="712"/>
      <c r="J48" s="712"/>
      <c r="K48" s="712"/>
      <c r="L48" s="713"/>
      <c r="M48" s="712"/>
      <c r="N48" s="712"/>
      <c r="O48" s="712"/>
      <c r="S48" s="2338"/>
    </row>
    <row r="49" spans="1:19">
      <c r="A49" s="686" t="s">
        <v>615</v>
      </c>
      <c r="B49" s="686"/>
      <c r="C49" s="686"/>
      <c r="D49" s="686"/>
      <c r="E49" s="686"/>
      <c r="F49" s="686"/>
      <c r="G49" s="686"/>
      <c r="H49" s="686"/>
      <c r="I49" s="686"/>
      <c r="J49" s="686"/>
      <c r="K49" s="686"/>
      <c r="L49" s="686"/>
      <c r="M49" s="686"/>
      <c r="N49" s="686"/>
      <c r="O49" s="686"/>
      <c r="P49" s="686"/>
      <c r="Q49" s="686"/>
      <c r="R49" s="686"/>
      <c r="S49" s="686"/>
    </row>
    <row r="50" spans="1:19" ht="14.9" customHeight="1">
      <c r="C50" s="742"/>
      <c r="D50" s="742"/>
      <c r="E50" s="742"/>
      <c r="F50" s="742"/>
      <c r="G50" s="742"/>
      <c r="H50" s="742"/>
      <c r="I50" s="742"/>
      <c r="J50" s="742"/>
      <c r="K50" s="742"/>
      <c r="L50" s="742"/>
      <c r="M50" s="742"/>
      <c r="N50" s="742"/>
      <c r="O50" s="742"/>
      <c r="P50" s="742"/>
      <c r="Q50" s="742"/>
      <c r="R50" s="742"/>
      <c r="S50" s="742"/>
    </row>
    <row r="51" spans="1:19" ht="14.9" customHeight="1">
      <c r="G51" s="742"/>
      <c r="H51" s="742"/>
      <c r="I51" s="742"/>
      <c r="J51" s="742"/>
      <c r="K51" s="742"/>
      <c r="L51" s="742"/>
      <c r="M51" s="742"/>
      <c r="N51" s="742"/>
      <c r="O51" s="742"/>
      <c r="P51" s="742"/>
      <c r="Q51" s="742"/>
      <c r="R51" s="742"/>
      <c r="S51" s="742"/>
    </row>
    <row r="52" spans="1:19" ht="14.9" customHeight="1"/>
  </sheetData>
  <mergeCells count="1">
    <mergeCell ref="A9:B11"/>
  </mergeCells>
  <printOptions horizontalCentered="1" verticalCentered="1"/>
  <pageMargins left="0" right="0" top="0" bottom="0" header="0.3" footer="0.3"/>
  <pageSetup paperSize="9" scale="6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0">
    <pageSetUpPr fitToPage="1"/>
  </sheetPr>
  <dimension ref="A1:P37"/>
  <sheetViews>
    <sheetView zoomScale="70" zoomScaleNormal="70" workbookViewId="0">
      <pane ySplit="8" topLeftCell="A26" activePane="bottomLeft" state="frozen"/>
      <selection activeCell="B9" sqref="B9"/>
      <selection pane="bottomLeft" activeCell="I10" sqref="I10"/>
    </sheetView>
  </sheetViews>
  <sheetFormatPr defaultColWidth="9.1796875" defaultRowHeight="15.5"/>
  <cols>
    <col min="1" max="1" width="35" style="1061" customWidth="1"/>
    <col min="2" max="3" width="16.7265625" style="1061" customWidth="1"/>
    <col min="4" max="4" width="14.26953125" style="1061" customWidth="1"/>
    <col min="5" max="5" width="13.453125" style="1061" customWidth="1"/>
    <col min="6" max="6" width="14.1796875" style="1061" customWidth="1"/>
    <col min="7" max="7" width="14.453125" style="1061" customWidth="1"/>
    <col min="8" max="8" width="14.7265625" style="1061" customWidth="1"/>
    <col min="9" max="9" width="10.7265625" style="1061" customWidth="1"/>
    <col min="10" max="10" width="12.453125" style="1061" customWidth="1"/>
    <col min="11" max="11" width="15.7265625" style="1061" customWidth="1"/>
    <col min="12" max="14" width="10.7265625" style="1061" customWidth="1"/>
    <col min="15" max="15" width="32.81640625" style="1061" customWidth="1"/>
    <col min="16" max="16384" width="9.1796875" style="1061"/>
  </cols>
  <sheetData>
    <row r="1" spans="1:16" s="1094" customFormat="1" ht="18">
      <c r="A1" s="1091" t="s">
        <v>616</v>
      </c>
      <c r="B1" s="1092"/>
      <c r="C1" s="1092"/>
      <c r="D1" s="1092"/>
      <c r="E1" s="1092"/>
      <c r="F1" s="1092"/>
      <c r="G1" s="1092"/>
      <c r="H1" s="1092"/>
      <c r="I1" s="1092"/>
      <c r="J1" s="1092"/>
      <c r="K1" s="1092"/>
      <c r="L1" s="1092"/>
      <c r="M1" s="1092"/>
      <c r="N1" s="1092"/>
      <c r="O1" s="1092"/>
    </row>
    <row r="2" spans="1:16" s="1096" customFormat="1" ht="21.75" customHeight="1">
      <c r="A2" s="1077" t="s">
        <v>1795</v>
      </c>
      <c r="B2" s="1097"/>
      <c r="C2" s="1097"/>
      <c r="D2" s="1097"/>
      <c r="E2" s="1097"/>
      <c r="F2" s="1097"/>
      <c r="G2" s="1097"/>
      <c r="H2" s="1097"/>
      <c r="I2" s="1097"/>
      <c r="J2" s="1097"/>
      <c r="K2" s="1097"/>
      <c r="L2" s="1097"/>
      <c r="M2" s="1097"/>
      <c r="N2" s="1097"/>
      <c r="O2" s="1097"/>
    </row>
    <row r="3" spans="1:16" s="1094" customFormat="1" ht="18">
      <c r="A3" s="1091" t="s">
        <v>1796</v>
      </c>
      <c r="B3" s="1092"/>
      <c r="C3" s="1092"/>
      <c r="D3" s="1092"/>
      <c r="E3" s="1092"/>
      <c r="F3" s="1092"/>
      <c r="G3" s="1092"/>
      <c r="H3" s="1092"/>
      <c r="I3" s="1092"/>
      <c r="J3" s="1092"/>
      <c r="K3" s="1092"/>
      <c r="L3" s="1092"/>
      <c r="M3" s="1092"/>
      <c r="N3" s="1092"/>
      <c r="O3" s="1092"/>
    </row>
    <row r="4" spans="1:16" s="1094" customFormat="1" ht="14.25" customHeight="1">
      <c r="A4" s="1369" t="s">
        <v>566</v>
      </c>
      <c r="B4" s="1093"/>
      <c r="C4" s="1093"/>
      <c r="D4" s="1093"/>
      <c r="E4" s="1093"/>
      <c r="F4" s="1093"/>
      <c r="O4" s="1370" t="s">
        <v>567</v>
      </c>
    </row>
    <row r="5" spans="1:16" s="1196" customFormat="1" ht="23.9" customHeight="1">
      <c r="A5" s="2612" t="s">
        <v>413</v>
      </c>
      <c r="B5" s="1371" t="s">
        <v>617</v>
      </c>
      <c r="C5" s="1190"/>
      <c r="D5" s="1372"/>
      <c r="E5" s="1372"/>
      <c r="F5" s="1190"/>
      <c r="G5" s="1373" t="s">
        <v>618</v>
      </c>
      <c r="H5" s="1371" t="s">
        <v>619</v>
      </c>
      <c r="I5" s="1374"/>
      <c r="J5" s="1374"/>
      <c r="K5" s="1198"/>
      <c r="L5" s="1375"/>
      <c r="M5" s="1375"/>
      <c r="N5" s="1373" t="s">
        <v>620</v>
      </c>
      <c r="O5" s="2615" t="s">
        <v>441</v>
      </c>
    </row>
    <row r="6" spans="1:16" s="1383" customFormat="1" ht="20.25" customHeight="1">
      <c r="A6" s="2613"/>
      <c r="B6" s="1376"/>
      <c r="C6" s="1377"/>
      <c r="D6" s="1377"/>
      <c r="E6" s="1377"/>
      <c r="F6" s="1378"/>
      <c r="G6" s="1379"/>
      <c r="H6" s="1380" t="s">
        <v>575</v>
      </c>
      <c r="I6" s="1381"/>
      <c r="J6" s="1381"/>
      <c r="K6" s="1382" t="s">
        <v>576</v>
      </c>
      <c r="L6" s="1396"/>
      <c r="N6" s="1384"/>
      <c r="O6" s="2616"/>
    </row>
    <row r="7" spans="1:16" s="1383" customFormat="1" ht="31">
      <c r="A7" s="2613"/>
      <c r="B7" s="1385" t="s">
        <v>581</v>
      </c>
      <c r="C7" s="1386" t="s">
        <v>582</v>
      </c>
      <c r="D7" s="1386" t="s">
        <v>583</v>
      </c>
      <c r="E7" s="1386" t="s">
        <v>399</v>
      </c>
      <c r="F7" s="1386" t="s">
        <v>390</v>
      </c>
      <c r="G7" s="1386" t="s">
        <v>621</v>
      </c>
      <c r="H7" s="1379" t="s">
        <v>586</v>
      </c>
      <c r="I7" s="1386" t="s">
        <v>587</v>
      </c>
      <c r="J7" s="1386" t="s">
        <v>588</v>
      </c>
      <c r="K7" s="1386" t="s">
        <v>589</v>
      </c>
      <c r="L7" s="1386" t="s">
        <v>399</v>
      </c>
      <c r="M7" s="1386" t="s">
        <v>390</v>
      </c>
      <c r="N7" s="1386" t="s">
        <v>590</v>
      </c>
      <c r="O7" s="2616"/>
    </row>
    <row r="8" spans="1:16" s="1383" customFormat="1" ht="46.5">
      <c r="A8" s="2614"/>
      <c r="B8" s="1387" t="s">
        <v>594</v>
      </c>
      <c r="C8" s="1387" t="s">
        <v>595</v>
      </c>
      <c r="D8" s="1387" t="s">
        <v>596</v>
      </c>
      <c r="E8" s="1387" t="s">
        <v>597</v>
      </c>
      <c r="F8" s="1387" t="s">
        <v>622</v>
      </c>
      <c r="G8" s="1387" t="s">
        <v>623</v>
      </c>
      <c r="H8" s="1387" t="s">
        <v>600</v>
      </c>
      <c r="I8" s="1387" t="s">
        <v>601</v>
      </c>
      <c r="J8" s="1387" t="s">
        <v>602</v>
      </c>
      <c r="K8" s="1387" t="s">
        <v>603</v>
      </c>
      <c r="L8" s="1387" t="s">
        <v>624</v>
      </c>
      <c r="M8" s="1387" t="s">
        <v>400</v>
      </c>
      <c r="N8" s="1387" t="s">
        <v>605</v>
      </c>
      <c r="O8" s="2617"/>
      <c r="P8" s="1388"/>
    </row>
    <row r="9" spans="1:16" ht="30.75" customHeight="1">
      <c r="A9" s="1391" t="s">
        <v>625</v>
      </c>
      <c r="B9" s="2162" t="s">
        <v>606</v>
      </c>
      <c r="C9" s="2162" t="s">
        <v>606</v>
      </c>
      <c r="D9" s="2162" t="s">
        <v>606</v>
      </c>
      <c r="E9" s="2162" t="s">
        <v>606</v>
      </c>
      <c r="F9" s="2162" t="s">
        <v>606</v>
      </c>
      <c r="G9" s="2162" t="s">
        <v>606</v>
      </c>
      <c r="H9" s="2162">
        <v>6.5466926070038909</v>
      </c>
      <c r="I9" s="2162">
        <v>7.5</v>
      </c>
      <c r="J9" s="2162">
        <v>4.5</v>
      </c>
      <c r="K9" s="2162">
        <v>6.945255474452555</v>
      </c>
      <c r="L9" s="2162" t="s">
        <v>606</v>
      </c>
      <c r="M9" s="2162">
        <v>8.4940476190476186</v>
      </c>
      <c r="N9" s="2162">
        <v>19.5</v>
      </c>
      <c r="O9" s="1390" t="s">
        <v>626</v>
      </c>
    </row>
    <row r="10" spans="1:16" ht="21.25" customHeight="1">
      <c r="A10" s="1389" t="s">
        <v>627</v>
      </c>
      <c r="B10" s="2162">
        <v>7.5000000000000009</v>
      </c>
      <c r="C10" s="2162">
        <v>6.6072675334986037</v>
      </c>
      <c r="D10" s="2162" t="s">
        <v>606</v>
      </c>
      <c r="E10" s="2162">
        <v>7.4270928785735437</v>
      </c>
      <c r="F10" s="2162">
        <v>7.1181571156223979</v>
      </c>
      <c r="G10" s="2162" t="s">
        <v>606</v>
      </c>
      <c r="H10" s="2162">
        <v>4.7306033118314765</v>
      </c>
      <c r="I10" s="2162">
        <v>5.0154172878741026</v>
      </c>
      <c r="J10" s="2162" t="s">
        <v>606</v>
      </c>
      <c r="K10" s="2162">
        <v>4.8823697718845098</v>
      </c>
      <c r="L10" s="2162" t="s">
        <v>606</v>
      </c>
      <c r="M10" s="2162">
        <v>4.86205159489558</v>
      </c>
      <c r="N10" s="2162" t="s">
        <v>606</v>
      </c>
      <c r="O10" s="1390" t="s">
        <v>628</v>
      </c>
    </row>
    <row r="11" spans="1:16" ht="21.25" customHeight="1">
      <c r="A11" s="1389" t="s">
        <v>629</v>
      </c>
      <c r="B11" s="2162">
        <v>6.5</v>
      </c>
      <c r="C11" s="2162">
        <v>6.6206774876499646</v>
      </c>
      <c r="D11" s="2162">
        <v>5.4322122963741464</v>
      </c>
      <c r="E11" s="2162">
        <v>0.7857142857142857</v>
      </c>
      <c r="F11" s="2162">
        <v>6.2706616435130682</v>
      </c>
      <c r="G11" s="2162" t="s">
        <v>606</v>
      </c>
      <c r="H11" s="2162" t="s">
        <v>606</v>
      </c>
      <c r="I11" s="2162" t="s">
        <v>606</v>
      </c>
      <c r="J11" s="2162" t="s">
        <v>606</v>
      </c>
      <c r="K11" s="2162" t="s">
        <v>606</v>
      </c>
      <c r="L11" s="2162" t="s">
        <v>606</v>
      </c>
      <c r="M11" s="2162" t="s">
        <v>606</v>
      </c>
      <c r="N11" s="2162" t="s">
        <v>606</v>
      </c>
      <c r="O11" s="1390" t="s">
        <v>630</v>
      </c>
    </row>
    <row r="12" spans="1:16" ht="21.25" customHeight="1">
      <c r="A12" s="1389" t="s">
        <v>631</v>
      </c>
      <c r="B12" s="2162" t="s">
        <v>606</v>
      </c>
      <c r="C12" s="2162" t="s">
        <v>606</v>
      </c>
      <c r="D12" s="2162">
        <v>6.5000000000000009</v>
      </c>
      <c r="E12" s="2162" t="s">
        <v>606</v>
      </c>
      <c r="F12" s="2162">
        <v>6.5000000000000009</v>
      </c>
      <c r="G12" s="2162">
        <v>6.5</v>
      </c>
      <c r="H12" s="2162" t="s">
        <v>606</v>
      </c>
      <c r="I12" s="2162" t="s">
        <v>606</v>
      </c>
      <c r="J12" s="2162" t="s">
        <v>606</v>
      </c>
      <c r="K12" s="2162" t="s">
        <v>606</v>
      </c>
      <c r="L12" s="2162" t="s">
        <v>606</v>
      </c>
      <c r="M12" s="2162" t="s">
        <v>606</v>
      </c>
      <c r="N12" s="2162" t="s">
        <v>606</v>
      </c>
      <c r="O12" s="1390" t="s">
        <v>632</v>
      </c>
    </row>
    <row r="13" spans="1:16" ht="34" customHeight="1">
      <c r="A13" s="1391" t="s">
        <v>633</v>
      </c>
      <c r="B13" s="2162" t="s">
        <v>606</v>
      </c>
      <c r="C13" s="2162" t="s">
        <v>606</v>
      </c>
      <c r="D13" s="2162" t="s">
        <v>606</v>
      </c>
      <c r="E13" s="2162" t="s">
        <v>606</v>
      </c>
      <c r="F13" s="2162" t="s">
        <v>606</v>
      </c>
      <c r="G13" s="2162" t="s">
        <v>606</v>
      </c>
      <c r="H13" s="2162" t="s">
        <v>606</v>
      </c>
      <c r="I13" s="2162" t="s">
        <v>606</v>
      </c>
      <c r="J13" s="2162" t="s">
        <v>606</v>
      </c>
      <c r="K13" s="2162" t="s">
        <v>606</v>
      </c>
      <c r="L13" s="2162" t="s">
        <v>606</v>
      </c>
      <c r="M13" s="2162" t="s">
        <v>606</v>
      </c>
      <c r="N13" s="2162" t="s">
        <v>606</v>
      </c>
      <c r="O13" s="1390" t="s">
        <v>634</v>
      </c>
    </row>
    <row r="14" spans="1:16" ht="21.25" customHeight="1">
      <c r="A14" s="1389" t="s">
        <v>635</v>
      </c>
      <c r="B14" s="2162" t="s">
        <v>606</v>
      </c>
      <c r="C14" s="2162" t="s">
        <v>606</v>
      </c>
      <c r="D14" s="2162" t="s">
        <v>606</v>
      </c>
      <c r="E14" s="2162" t="s">
        <v>606</v>
      </c>
      <c r="F14" s="2162" t="s">
        <v>606</v>
      </c>
      <c r="G14" s="2162" t="s">
        <v>606</v>
      </c>
      <c r="H14" s="2162" t="s">
        <v>606</v>
      </c>
      <c r="I14" s="2162" t="s">
        <v>606</v>
      </c>
      <c r="J14" s="2162" t="s">
        <v>606</v>
      </c>
      <c r="K14" s="2162" t="s">
        <v>606</v>
      </c>
      <c r="L14" s="2162" t="s">
        <v>606</v>
      </c>
      <c r="M14" s="2162" t="s">
        <v>606</v>
      </c>
      <c r="N14" s="2162" t="s">
        <v>606</v>
      </c>
      <c r="O14" s="1390" t="s">
        <v>636</v>
      </c>
    </row>
    <row r="15" spans="1:16" ht="21.25" customHeight="1">
      <c r="A15" s="1389" t="s">
        <v>637</v>
      </c>
      <c r="B15" s="2162">
        <v>8.5173120728929383</v>
      </c>
      <c r="C15" s="2162">
        <v>8.75</v>
      </c>
      <c r="D15" s="2162">
        <v>7.6807744835213292</v>
      </c>
      <c r="E15" s="2162">
        <v>7.6329660225726608</v>
      </c>
      <c r="F15" s="2162">
        <v>7.9503106390589693</v>
      </c>
      <c r="G15" s="2162">
        <v>6.6657502218950926</v>
      </c>
      <c r="H15" s="2162">
        <v>5.3183636657203701</v>
      </c>
      <c r="I15" s="2162">
        <v>4.7631670888928435</v>
      </c>
      <c r="J15" s="2162" t="s">
        <v>606</v>
      </c>
      <c r="K15" s="2162">
        <v>4.6004438445654436</v>
      </c>
      <c r="L15" s="2162" t="s">
        <v>606</v>
      </c>
      <c r="M15" s="2162">
        <v>14.949557106052639</v>
      </c>
      <c r="N15" s="2162">
        <v>20.593496568140175</v>
      </c>
      <c r="O15" s="1390" t="s">
        <v>638</v>
      </c>
    </row>
    <row r="16" spans="1:16" ht="21.25" customHeight="1">
      <c r="A16" s="1389" t="s">
        <v>639</v>
      </c>
      <c r="B16" s="2162" t="s">
        <v>606</v>
      </c>
      <c r="C16" s="2162" t="s">
        <v>606</v>
      </c>
      <c r="D16" s="2162" t="s">
        <v>606</v>
      </c>
      <c r="E16" s="2162" t="s">
        <v>606</v>
      </c>
      <c r="F16" s="2162" t="s">
        <v>606</v>
      </c>
      <c r="G16" s="2162" t="s">
        <v>606</v>
      </c>
      <c r="H16" s="2162" t="s">
        <v>606</v>
      </c>
      <c r="I16" s="2162" t="s">
        <v>606</v>
      </c>
      <c r="J16" s="2162" t="s">
        <v>606</v>
      </c>
      <c r="K16" s="2162" t="s">
        <v>606</v>
      </c>
      <c r="L16" s="2162" t="s">
        <v>606</v>
      </c>
      <c r="M16" s="2162" t="s">
        <v>606</v>
      </c>
      <c r="N16" s="2162" t="s">
        <v>606</v>
      </c>
      <c r="O16" s="1390" t="s">
        <v>640</v>
      </c>
    </row>
    <row r="17" spans="1:15" ht="21.25" customHeight="1">
      <c r="A17" s="1389" t="s">
        <v>641</v>
      </c>
      <c r="B17" s="2162" t="s">
        <v>606</v>
      </c>
      <c r="C17" s="2162" t="s">
        <v>606</v>
      </c>
      <c r="D17" s="2162">
        <v>7.5</v>
      </c>
      <c r="E17" s="2162" t="s">
        <v>606</v>
      </c>
      <c r="F17" s="2162">
        <v>7.5</v>
      </c>
      <c r="G17" s="2162" t="s">
        <v>606</v>
      </c>
      <c r="H17" s="2162" t="s">
        <v>606</v>
      </c>
      <c r="I17" s="2162" t="s">
        <v>606</v>
      </c>
      <c r="J17" s="2162" t="s">
        <v>606</v>
      </c>
      <c r="K17" s="2162">
        <v>5.6777132532085259</v>
      </c>
      <c r="L17" s="2162" t="s">
        <v>606</v>
      </c>
      <c r="M17" s="2162">
        <v>20.923935290509647</v>
      </c>
      <c r="N17" s="2162">
        <v>22</v>
      </c>
      <c r="O17" s="1390" t="s">
        <v>642</v>
      </c>
    </row>
    <row r="18" spans="1:15" ht="21.25" customHeight="1">
      <c r="A18" s="1389" t="s">
        <v>643</v>
      </c>
      <c r="B18" s="2162" t="s">
        <v>606</v>
      </c>
      <c r="C18" s="2162">
        <v>4.5</v>
      </c>
      <c r="D18" s="2162" t="s">
        <v>606</v>
      </c>
      <c r="E18" s="2162" t="s">
        <v>606</v>
      </c>
      <c r="F18" s="2162">
        <v>4.5</v>
      </c>
      <c r="G18" s="2162" t="s">
        <v>606</v>
      </c>
      <c r="H18" s="2162" t="s">
        <v>606</v>
      </c>
      <c r="I18" s="2162" t="s">
        <v>606</v>
      </c>
      <c r="J18" s="2162" t="s">
        <v>606</v>
      </c>
      <c r="K18" s="2162" t="s">
        <v>606</v>
      </c>
      <c r="L18" s="2162" t="s">
        <v>606</v>
      </c>
      <c r="M18" s="2162">
        <v>14.359340114115604</v>
      </c>
      <c r="N18" s="2162">
        <v>14.359340114115604</v>
      </c>
      <c r="O18" s="1390" t="s">
        <v>644</v>
      </c>
    </row>
    <row r="19" spans="1:15" ht="21.25" customHeight="1">
      <c r="A19" s="1389" t="s">
        <v>645</v>
      </c>
      <c r="B19" s="2162" t="s">
        <v>606</v>
      </c>
      <c r="C19" s="2162" t="s">
        <v>606</v>
      </c>
      <c r="D19" s="2162" t="s">
        <v>606</v>
      </c>
      <c r="E19" s="2162" t="s">
        <v>606</v>
      </c>
      <c r="F19" s="2162" t="s">
        <v>606</v>
      </c>
      <c r="G19" s="2162" t="s">
        <v>606</v>
      </c>
      <c r="H19" s="2162" t="s">
        <v>606</v>
      </c>
      <c r="I19" s="2162" t="s">
        <v>606</v>
      </c>
      <c r="J19" s="2162">
        <v>6.5512820512820511</v>
      </c>
      <c r="K19" s="2162" t="s">
        <v>606</v>
      </c>
      <c r="L19" s="2162" t="s">
        <v>606</v>
      </c>
      <c r="M19" s="2162">
        <v>6.5512820512820511</v>
      </c>
      <c r="N19" s="2162" t="s">
        <v>606</v>
      </c>
      <c r="O19" s="1390" t="s">
        <v>646</v>
      </c>
    </row>
    <row r="20" spans="1:15" ht="21.25" customHeight="1">
      <c r="A20" s="1389" t="s">
        <v>647</v>
      </c>
      <c r="B20" s="2162" t="s">
        <v>606</v>
      </c>
      <c r="C20" s="2162" t="s">
        <v>606</v>
      </c>
      <c r="D20" s="2162" t="s">
        <v>606</v>
      </c>
      <c r="E20" s="2162" t="s">
        <v>606</v>
      </c>
      <c r="F20" s="2162" t="s">
        <v>606</v>
      </c>
      <c r="G20" s="2162" t="s">
        <v>606</v>
      </c>
      <c r="H20" s="2162" t="s">
        <v>606</v>
      </c>
      <c r="I20" s="2162" t="s">
        <v>606</v>
      </c>
      <c r="J20" s="2162" t="s">
        <v>606</v>
      </c>
      <c r="K20" s="2162" t="s">
        <v>606</v>
      </c>
      <c r="L20" s="2162" t="s">
        <v>606</v>
      </c>
      <c r="M20" s="2162" t="s">
        <v>606</v>
      </c>
      <c r="N20" s="2162" t="s">
        <v>606</v>
      </c>
      <c r="O20" s="1390" t="s">
        <v>648</v>
      </c>
    </row>
    <row r="21" spans="1:15" ht="21.25" customHeight="1">
      <c r="A21" s="1389" t="s">
        <v>649</v>
      </c>
      <c r="B21" s="2162" t="s">
        <v>606</v>
      </c>
      <c r="C21" s="2162" t="s">
        <v>606</v>
      </c>
      <c r="D21" s="2162" t="s">
        <v>606</v>
      </c>
      <c r="E21" s="2162" t="s">
        <v>606</v>
      </c>
      <c r="F21" s="2162" t="s">
        <v>606</v>
      </c>
      <c r="G21" s="2162" t="s">
        <v>606</v>
      </c>
      <c r="H21" s="2162" t="s">
        <v>606</v>
      </c>
      <c r="I21" s="2162" t="s">
        <v>606</v>
      </c>
      <c r="J21" s="2162">
        <v>5.5</v>
      </c>
      <c r="K21" s="2162" t="s">
        <v>606</v>
      </c>
      <c r="L21" s="2162" t="s">
        <v>606</v>
      </c>
      <c r="M21" s="2162">
        <v>5.5</v>
      </c>
      <c r="N21" s="2162" t="s">
        <v>606</v>
      </c>
      <c r="O21" s="1390" t="s">
        <v>650</v>
      </c>
    </row>
    <row r="22" spans="1:15" ht="21.25" customHeight="1">
      <c r="A22" s="1389" t="s">
        <v>651</v>
      </c>
      <c r="B22" s="2162" t="s">
        <v>606</v>
      </c>
      <c r="C22" s="2162" t="s">
        <v>606</v>
      </c>
      <c r="D22" s="2162" t="s">
        <v>606</v>
      </c>
      <c r="E22" s="2162" t="s">
        <v>606</v>
      </c>
      <c r="F22" s="2162" t="s">
        <v>606</v>
      </c>
      <c r="G22" s="2162" t="s">
        <v>606</v>
      </c>
      <c r="H22" s="2162">
        <v>2.5</v>
      </c>
      <c r="I22" s="2162" t="s">
        <v>606</v>
      </c>
      <c r="J22" s="2162" t="s">
        <v>606</v>
      </c>
      <c r="K22" s="2162" t="s">
        <v>606</v>
      </c>
      <c r="L22" s="2162" t="s">
        <v>606</v>
      </c>
      <c r="M22" s="2162">
        <v>2.5</v>
      </c>
      <c r="N22" s="2162" t="s">
        <v>606</v>
      </c>
      <c r="O22" s="1390" t="s">
        <v>652</v>
      </c>
    </row>
    <row r="23" spans="1:15" ht="21.25" customHeight="1">
      <c r="A23" s="1389" t="s">
        <v>653</v>
      </c>
      <c r="B23" s="2162" t="s">
        <v>606</v>
      </c>
      <c r="C23" s="2162">
        <v>7.5</v>
      </c>
      <c r="D23" s="2162" t="s">
        <v>606</v>
      </c>
      <c r="E23" s="2162" t="s">
        <v>606</v>
      </c>
      <c r="F23" s="2162">
        <v>7.5</v>
      </c>
      <c r="G23" s="2162" t="s">
        <v>606</v>
      </c>
      <c r="H23" s="2162" t="s">
        <v>606</v>
      </c>
      <c r="I23" s="2162" t="s">
        <v>606</v>
      </c>
      <c r="J23" s="2162" t="s">
        <v>606</v>
      </c>
      <c r="K23" s="2162" t="s">
        <v>606</v>
      </c>
      <c r="L23" s="2162" t="s">
        <v>606</v>
      </c>
      <c r="M23" s="2162" t="s">
        <v>606</v>
      </c>
      <c r="N23" s="2162" t="s">
        <v>606</v>
      </c>
      <c r="O23" s="1390" t="s">
        <v>654</v>
      </c>
    </row>
    <row r="24" spans="1:15" ht="21.25" customHeight="1">
      <c r="A24" s="1389" t="s">
        <v>655</v>
      </c>
      <c r="B24" s="2162">
        <v>6.5</v>
      </c>
      <c r="C24" s="2162">
        <v>5.4613584134819986</v>
      </c>
      <c r="D24" s="2162">
        <v>7.2245240761478167</v>
      </c>
      <c r="E24" s="2162">
        <v>6.6427438540840607</v>
      </c>
      <c r="F24" s="2162">
        <v>5.8645757694241185</v>
      </c>
      <c r="G24" s="2162" t="s">
        <v>606</v>
      </c>
      <c r="H24" s="2162" t="s">
        <v>606</v>
      </c>
      <c r="I24" s="2162" t="s">
        <v>606</v>
      </c>
      <c r="J24" s="2162" t="s">
        <v>606</v>
      </c>
      <c r="K24" s="2162" t="s">
        <v>606</v>
      </c>
      <c r="L24" s="2162" t="s">
        <v>606</v>
      </c>
      <c r="M24" s="2162" t="s">
        <v>606</v>
      </c>
      <c r="N24" s="2162" t="s">
        <v>606</v>
      </c>
      <c r="O24" s="1390" t="s">
        <v>656</v>
      </c>
    </row>
    <row r="25" spans="1:15" ht="21.25" customHeight="1">
      <c r="A25" s="1389" t="s">
        <v>657</v>
      </c>
      <c r="B25" s="2162" t="s">
        <v>606</v>
      </c>
      <c r="C25" s="2162" t="s">
        <v>606</v>
      </c>
      <c r="D25" s="2162" t="s">
        <v>606</v>
      </c>
      <c r="E25" s="2162" t="s">
        <v>606</v>
      </c>
      <c r="F25" s="2162" t="s">
        <v>606</v>
      </c>
      <c r="G25" s="2162" t="s">
        <v>606</v>
      </c>
      <c r="H25" s="2162" t="s">
        <v>606</v>
      </c>
      <c r="I25" s="2162" t="s">
        <v>606</v>
      </c>
      <c r="J25" s="2162" t="s">
        <v>606</v>
      </c>
      <c r="K25" s="2162" t="s">
        <v>606</v>
      </c>
      <c r="L25" s="2162" t="s">
        <v>606</v>
      </c>
      <c r="M25" s="2162" t="s">
        <v>606</v>
      </c>
      <c r="N25" s="2162" t="s">
        <v>606</v>
      </c>
      <c r="O25" s="1390" t="s">
        <v>658</v>
      </c>
    </row>
    <row r="26" spans="1:15" ht="21.25" customHeight="1">
      <c r="A26" s="1389" t="s">
        <v>659</v>
      </c>
      <c r="B26" s="2162" t="s">
        <v>606</v>
      </c>
      <c r="C26" s="2162" t="s">
        <v>606</v>
      </c>
      <c r="D26" s="2162" t="s">
        <v>606</v>
      </c>
      <c r="E26" s="2162" t="s">
        <v>606</v>
      </c>
      <c r="F26" s="2162" t="s">
        <v>606</v>
      </c>
      <c r="G26" s="2162" t="s">
        <v>606</v>
      </c>
      <c r="H26" s="2162" t="s">
        <v>606</v>
      </c>
      <c r="I26" s="2162" t="s">
        <v>606</v>
      </c>
      <c r="J26" s="2162" t="s">
        <v>606</v>
      </c>
      <c r="K26" s="2162">
        <v>4.5</v>
      </c>
      <c r="L26" s="2162" t="s">
        <v>606</v>
      </c>
      <c r="M26" s="2162">
        <v>21.730837820717063</v>
      </c>
      <c r="N26" s="2162">
        <v>22</v>
      </c>
      <c r="O26" s="1390" t="s">
        <v>660</v>
      </c>
    </row>
    <row r="27" spans="1:15" ht="21.25" customHeight="1">
      <c r="A27" s="1389" t="s">
        <v>661</v>
      </c>
      <c r="B27" s="2162">
        <v>8.6710526315789469</v>
      </c>
      <c r="C27" s="2162">
        <v>8.3191489361702136</v>
      </c>
      <c r="D27" s="2162">
        <v>8.9772727272727266</v>
      </c>
      <c r="E27" s="2162">
        <v>7.5841013824884795</v>
      </c>
      <c r="F27" s="2162">
        <v>8.2700186219739287</v>
      </c>
      <c r="G27" s="2162" t="s">
        <v>606</v>
      </c>
      <c r="H27" s="2162" t="s">
        <v>606</v>
      </c>
      <c r="I27" s="2162" t="s">
        <v>606</v>
      </c>
      <c r="J27" s="2162" t="s">
        <v>606</v>
      </c>
      <c r="K27" s="2162" t="s">
        <v>606</v>
      </c>
      <c r="L27" s="2162" t="s">
        <v>606</v>
      </c>
      <c r="M27" s="2162" t="s">
        <v>606</v>
      </c>
      <c r="N27" s="2162" t="s">
        <v>606</v>
      </c>
      <c r="O27" s="1390" t="s">
        <v>662</v>
      </c>
    </row>
    <row r="28" spans="1:15" s="1394" customFormat="1" ht="30.25" customHeight="1">
      <c r="A28" s="1392" t="s">
        <v>663</v>
      </c>
      <c r="B28" s="2305">
        <v>8.025516692669461</v>
      </c>
      <c r="C28" s="2305">
        <v>5.8298422533336609</v>
      </c>
      <c r="D28" s="2305">
        <v>7.3345152861057468</v>
      </c>
      <c r="E28" s="2305">
        <v>7.5518920058110073</v>
      </c>
      <c r="F28" s="2305">
        <v>7.1293233378434744</v>
      </c>
      <c r="G28" s="2305">
        <v>6.6655918615918068</v>
      </c>
      <c r="H28" s="2305">
        <v>4.9959555140167495</v>
      </c>
      <c r="I28" s="2305">
        <v>4.9960415378199414</v>
      </c>
      <c r="J28" s="2305">
        <v>6.5075741743873428</v>
      </c>
      <c r="K28" s="2305">
        <v>4.8232484929206434</v>
      </c>
      <c r="L28" s="2305" t="s">
        <v>606</v>
      </c>
      <c r="M28" s="2305">
        <v>4.8657495606941623</v>
      </c>
      <c r="N28" s="2305">
        <v>20.802076735716437</v>
      </c>
      <c r="O28" s="1393" t="s">
        <v>664</v>
      </c>
    </row>
    <row r="29" spans="1:15" s="662" customFormat="1" ht="20.25" customHeight="1">
      <c r="A29" s="1262" t="s">
        <v>665</v>
      </c>
      <c r="B29" s="1262"/>
      <c r="C29" s="1262"/>
      <c r="D29" s="1262"/>
      <c r="E29" s="1262"/>
      <c r="F29" s="1262"/>
      <c r="G29" s="1262"/>
      <c r="H29" s="1262"/>
      <c r="I29" s="1262"/>
      <c r="J29" s="1262"/>
      <c r="K29" s="1262"/>
      <c r="L29" s="1262"/>
      <c r="M29" s="1262"/>
      <c r="N29" s="1262"/>
      <c r="O29" s="1263" t="s">
        <v>666</v>
      </c>
    </row>
    <row r="30" spans="1:15" s="662" customFormat="1" ht="14.25" customHeight="1">
      <c r="A30" s="662" t="s">
        <v>667</v>
      </c>
      <c r="O30" s="1264" t="s">
        <v>668</v>
      </c>
    </row>
    <row r="31" spans="1:15" s="662" customFormat="1" ht="14.25" customHeight="1">
      <c r="A31" s="662" t="s">
        <v>669</v>
      </c>
      <c r="F31" s="889"/>
      <c r="G31" s="889"/>
      <c r="O31" s="1264" t="s">
        <v>670</v>
      </c>
    </row>
    <row r="32" spans="1:15" s="662" customFormat="1" ht="14">
      <c r="A32" s="662" t="s">
        <v>671</v>
      </c>
      <c r="O32" s="1264" t="s">
        <v>672</v>
      </c>
    </row>
    <row r="33" spans="1:15" s="662" customFormat="1" ht="14.25" customHeight="1">
      <c r="A33" s="662" t="s">
        <v>673</v>
      </c>
      <c r="D33" s="1069"/>
      <c r="E33" s="1069"/>
      <c r="F33" s="1265"/>
      <c r="G33" s="889"/>
      <c r="O33" s="1264" t="s">
        <v>674</v>
      </c>
    </row>
    <row r="34" spans="1:15" s="1094" customFormat="1" ht="13.75" customHeight="1">
      <c r="A34" s="662"/>
      <c r="B34" s="662"/>
      <c r="C34" s="662"/>
      <c r="D34" s="662"/>
      <c r="E34" s="1368"/>
      <c r="F34" s="1255"/>
      <c r="G34" s="1368"/>
      <c r="H34" s="1368"/>
      <c r="I34" s="1368"/>
      <c r="J34" s="662"/>
      <c r="K34" s="662"/>
      <c r="L34" s="662"/>
      <c r="M34" s="662"/>
      <c r="N34" s="1264"/>
      <c r="O34" s="1397"/>
    </row>
    <row r="35" spans="1:15">
      <c r="B35" s="1395"/>
      <c r="C35" s="1395"/>
      <c r="D35" s="1395"/>
      <c r="E35" s="1395"/>
      <c r="F35" s="1395"/>
      <c r="G35" s="1395"/>
      <c r="H35" s="1395"/>
      <c r="I35" s="1395"/>
      <c r="J35" s="1395"/>
      <c r="K35" s="1395"/>
      <c r="L35" s="1395"/>
      <c r="M35" s="1395"/>
      <c r="N35" s="1395"/>
    </row>
    <row r="36" spans="1:15">
      <c r="B36" s="1395"/>
      <c r="C36" s="1395"/>
      <c r="D36" s="1395"/>
      <c r="E36" s="1395"/>
      <c r="F36" s="1395"/>
      <c r="G36" s="1395"/>
      <c r="H36" s="1395"/>
      <c r="I36" s="1395"/>
      <c r="J36" s="1395"/>
      <c r="K36" s="1395"/>
      <c r="L36" s="1395"/>
      <c r="M36" s="1395"/>
      <c r="N36" s="1395"/>
    </row>
    <row r="37" spans="1:15" ht="16.5">
      <c r="A37" s="1266" t="s">
        <v>675</v>
      </c>
      <c r="B37" s="1092"/>
      <c r="C37" s="1092"/>
      <c r="D37" s="1092"/>
      <c r="E37" s="1092"/>
      <c r="F37" s="1092"/>
      <c r="G37" s="1092"/>
      <c r="H37" s="1092"/>
      <c r="I37" s="1092"/>
      <c r="J37" s="1092"/>
      <c r="K37" s="1092"/>
      <c r="L37" s="1092"/>
      <c r="M37" s="1092"/>
      <c r="N37" s="1092"/>
      <c r="O37" s="1092"/>
    </row>
  </sheetData>
  <mergeCells count="2">
    <mergeCell ref="A5:A8"/>
    <mergeCell ref="O5:O8"/>
  </mergeCells>
  <printOptions horizontalCentered="1" verticalCentered="1"/>
  <pageMargins left="0" right="0" top="0" bottom="0" header="0.3" footer="0.3"/>
  <pageSetup paperSize="9" scale="6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T52"/>
  <sheetViews>
    <sheetView zoomScale="70" zoomScaleNormal="70" workbookViewId="0">
      <pane ySplit="12" topLeftCell="A35" activePane="bottomLeft" state="frozen"/>
      <selection activeCell="A43" sqref="A43:XFD43"/>
      <selection pane="bottomLeft" activeCell="B44" sqref="B44"/>
    </sheetView>
  </sheetViews>
  <sheetFormatPr defaultColWidth="9.1796875" defaultRowHeight="15.5"/>
  <cols>
    <col min="1" max="2" width="9.7265625" style="152" customWidth="1"/>
    <col min="3" max="6" width="10.7265625" style="152" customWidth="1"/>
    <col min="7" max="7" width="16.26953125" style="152" customWidth="1"/>
    <col min="8" max="8" width="17.26953125" style="152" customWidth="1"/>
    <col min="9" max="9" width="12.453125" style="152" bestFit="1" customWidth="1"/>
    <col min="10" max="10" width="10.7265625" style="152" customWidth="1"/>
    <col min="11" max="12" width="15.1796875" style="152" customWidth="1"/>
    <col min="13" max="13" width="12.7265625" style="152" customWidth="1"/>
    <col min="14" max="15" width="10.7265625" style="152" customWidth="1"/>
    <col min="16" max="16" width="14" style="152" customWidth="1"/>
    <col min="17" max="18" width="10.7265625" style="152" customWidth="1"/>
    <col min="19" max="19" width="14.81640625" style="152" customWidth="1"/>
    <col min="20" max="16384" width="9.1796875" style="152"/>
  </cols>
  <sheetData>
    <row r="1" spans="1:20" s="1094" customFormat="1" ht="18">
      <c r="A1" s="1091" t="s">
        <v>676</v>
      </c>
      <c r="B1" s="1091"/>
      <c r="C1" s="1093"/>
      <c r="D1" s="1093"/>
      <c r="E1" s="1093"/>
      <c r="F1" s="1093"/>
      <c r="G1" s="1093"/>
      <c r="H1" s="1093"/>
      <c r="I1" s="1093"/>
      <c r="J1" s="1093"/>
      <c r="K1" s="1093"/>
      <c r="L1" s="1093"/>
      <c r="M1" s="1093"/>
      <c r="N1" s="1093"/>
      <c r="O1" s="1093"/>
      <c r="P1" s="1093"/>
      <c r="Q1" s="1093"/>
      <c r="R1" s="1093"/>
      <c r="S1" s="1093"/>
    </row>
    <row r="2" spans="1:20" s="1096" customFormat="1" ht="21.75" customHeight="1">
      <c r="A2" s="1077" t="s">
        <v>23</v>
      </c>
      <c r="B2" s="1077"/>
      <c r="C2" s="1095"/>
      <c r="D2" s="1095"/>
      <c r="E2" s="1095"/>
      <c r="F2" s="1095"/>
      <c r="G2" s="1095"/>
      <c r="H2" s="1095"/>
      <c r="I2" s="1095"/>
      <c r="J2" s="1095"/>
      <c r="K2" s="1095"/>
      <c r="L2" s="1095"/>
      <c r="M2" s="1095"/>
      <c r="N2" s="1095"/>
      <c r="O2" s="1095"/>
      <c r="P2" s="1095"/>
      <c r="Q2" s="1095"/>
      <c r="R2" s="1095"/>
      <c r="S2" s="1095"/>
    </row>
    <row r="3" spans="1:20" s="1094" customFormat="1" ht="18">
      <c r="A3" s="1091" t="s">
        <v>22</v>
      </c>
      <c r="B3" s="1091"/>
      <c r="C3" s="1093"/>
      <c r="D3" s="1093"/>
      <c r="E3" s="1093"/>
      <c r="F3" s="1093"/>
      <c r="G3" s="1093"/>
      <c r="H3" s="1093"/>
      <c r="I3" s="1093"/>
      <c r="J3" s="1093"/>
      <c r="K3" s="1093"/>
      <c r="L3" s="1093"/>
      <c r="M3" s="1093"/>
      <c r="N3" s="1093"/>
      <c r="O3" s="1093"/>
      <c r="P3" s="1093"/>
      <c r="Q3" s="1093"/>
      <c r="R3" s="1093"/>
      <c r="S3" s="1093"/>
    </row>
    <row r="4" spans="1:20" s="1094" customFormat="1" ht="18" hidden="1">
      <c r="A4" s="1091"/>
      <c r="B4" s="1091"/>
      <c r="C4" s="1093"/>
      <c r="D4" s="1093"/>
      <c r="E4" s="1093"/>
      <c r="F4" s="1093"/>
      <c r="G4" s="1093"/>
      <c r="H4" s="1093"/>
      <c r="I4" s="1093"/>
      <c r="J4" s="1093"/>
      <c r="K4" s="1093"/>
      <c r="L4" s="1093"/>
      <c r="M4" s="1093"/>
      <c r="N4" s="1093"/>
      <c r="O4" s="1093"/>
      <c r="P4" s="1093"/>
      <c r="Q4" s="1093"/>
      <c r="R4" s="1093"/>
      <c r="S4" s="1093"/>
    </row>
    <row r="5" spans="1:20" s="1094" customFormat="1" ht="18" hidden="1">
      <c r="A5" s="1091"/>
      <c r="B5" s="1091"/>
      <c r="C5" s="1093"/>
      <c r="D5" s="1093"/>
      <c r="E5" s="1093"/>
      <c r="F5" s="1093"/>
      <c r="G5" s="1093"/>
      <c r="H5" s="1093"/>
      <c r="I5" s="1093"/>
      <c r="J5" s="1093"/>
      <c r="K5" s="1093"/>
      <c r="L5" s="1093"/>
      <c r="M5" s="1093"/>
      <c r="N5" s="1093"/>
      <c r="O5" s="1093"/>
      <c r="P5" s="1093"/>
      <c r="Q5" s="1093"/>
      <c r="R5" s="1093"/>
      <c r="S5" s="1093"/>
    </row>
    <row r="6" spans="1:20" s="1094" customFormat="1" ht="18" hidden="1">
      <c r="A6" s="1091"/>
      <c r="B6" s="1091"/>
      <c r="C6" s="1093"/>
      <c r="D6" s="1093"/>
      <c r="E6" s="1093"/>
      <c r="F6" s="1093"/>
      <c r="G6" s="1093"/>
      <c r="H6" s="1093"/>
      <c r="I6" s="1093"/>
      <c r="J6" s="1093"/>
      <c r="K6" s="1093"/>
      <c r="L6" s="1093"/>
      <c r="M6" s="1093"/>
      <c r="N6" s="1093"/>
      <c r="O6" s="1093"/>
      <c r="P6" s="1093"/>
      <c r="Q6" s="1093"/>
      <c r="R6" s="1093"/>
      <c r="S6" s="1093"/>
    </row>
    <row r="7" spans="1:20" s="1094" customFormat="1" ht="18" hidden="1">
      <c r="A7" s="1091"/>
      <c r="B7" s="1091"/>
      <c r="C7" s="1093"/>
      <c r="D7" s="1093"/>
      <c r="E7" s="1093"/>
      <c r="F7" s="1093"/>
      <c r="G7" s="1093"/>
      <c r="H7" s="1093"/>
      <c r="I7" s="1093"/>
      <c r="J7" s="1093"/>
      <c r="K7" s="1093"/>
      <c r="L7" s="1093"/>
      <c r="M7" s="1093"/>
      <c r="N7" s="1093"/>
      <c r="O7" s="1093"/>
      <c r="P7" s="1093"/>
      <c r="Q7" s="1093"/>
      <c r="R7" s="1093"/>
      <c r="S7" s="1093"/>
    </row>
    <row r="8" spans="1:20" s="715" customFormat="1">
      <c r="A8" s="716" t="s">
        <v>566</v>
      </c>
      <c r="B8" s="717"/>
      <c r="C8" s="714"/>
      <c r="D8" s="714"/>
      <c r="E8" s="714"/>
      <c r="F8" s="714"/>
      <c r="G8" s="714"/>
      <c r="H8" s="714"/>
      <c r="I8" s="714"/>
      <c r="J8" s="714"/>
      <c r="K8" s="714"/>
      <c r="L8" s="714"/>
      <c r="S8" s="718" t="s">
        <v>567</v>
      </c>
    </row>
    <row r="9" spans="1:20" s="166" customFormat="1" ht="23.9" customHeight="1">
      <c r="A9" s="2608" t="s">
        <v>387</v>
      </c>
      <c r="B9" s="2609"/>
      <c r="C9" s="719" t="s">
        <v>568</v>
      </c>
      <c r="D9" s="179"/>
      <c r="E9" s="720"/>
      <c r="F9" s="720" t="s">
        <v>464</v>
      </c>
      <c r="G9" s="721" t="s">
        <v>569</v>
      </c>
      <c r="H9" s="165"/>
      <c r="I9" s="722"/>
      <c r="J9" s="722"/>
      <c r="K9" s="722"/>
      <c r="L9" s="723" t="s">
        <v>570</v>
      </c>
      <c r="M9" s="719" t="s">
        <v>571</v>
      </c>
      <c r="N9" s="724"/>
      <c r="O9" s="724"/>
      <c r="P9" s="179"/>
      <c r="Q9" s="725"/>
      <c r="R9" s="725"/>
      <c r="S9" s="723" t="s">
        <v>572</v>
      </c>
    </row>
    <row r="10" spans="1:20" s="703" customFormat="1" ht="20.25" customHeight="1">
      <c r="A10" s="2610"/>
      <c r="B10" s="2611"/>
      <c r="C10" s="726"/>
      <c r="D10" s="727" t="s">
        <v>573</v>
      </c>
      <c r="E10" s="2332"/>
      <c r="F10" s="723" t="s">
        <v>574</v>
      </c>
      <c r="G10" s="728"/>
      <c r="H10" s="729"/>
      <c r="I10" s="729"/>
      <c r="J10" s="729"/>
      <c r="K10" s="167" t="s">
        <v>390</v>
      </c>
      <c r="L10" s="167" t="s">
        <v>390</v>
      </c>
      <c r="M10" s="730" t="s">
        <v>575</v>
      </c>
      <c r="N10" s="186"/>
      <c r="P10" s="1306" t="s">
        <v>576</v>
      </c>
      <c r="Q10" s="1308"/>
      <c r="S10" s="731"/>
    </row>
    <row r="11" spans="1:20" s="703" customFormat="1" ht="31">
      <c r="A11" s="2610"/>
      <c r="B11" s="2611"/>
      <c r="C11" s="726" t="s">
        <v>577</v>
      </c>
      <c r="D11" s="732" t="s">
        <v>578</v>
      </c>
      <c r="E11" s="733" t="s">
        <v>579</v>
      </c>
      <c r="F11" s="733" t="s">
        <v>580</v>
      </c>
      <c r="G11" s="726" t="s">
        <v>581</v>
      </c>
      <c r="H11" s="734" t="s">
        <v>582</v>
      </c>
      <c r="I11" s="734" t="s">
        <v>583</v>
      </c>
      <c r="J11" s="734" t="s">
        <v>399</v>
      </c>
      <c r="K11" s="1028" t="s">
        <v>584</v>
      </c>
      <c r="L11" s="1028" t="s">
        <v>585</v>
      </c>
      <c r="M11" s="726" t="s">
        <v>586</v>
      </c>
      <c r="N11" s="734" t="s">
        <v>587</v>
      </c>
      <c r="O11" s="1307" t="s">
        <v>588</v>
      </c>
      <c r="P11" s="734" t="s">
        <v>589</v>
      </c>
      <c r="Q11" s="734" t="s">
        <v>399</v>
      </c>
      <c r="R11" s="734" t="s">
        <v>390</v>
      </c>
      <c r="S11" s="734" t="s">
        <v>590</v>
      </c>
    </row>
    <row r="12" spans="1:20" s="703" customFormat="1" ht="62">
      <c r="A12" s="184" t="s">
        <v>395</v>
      </c>
      <c r="B12" s="735"/>
      <c r="C12" s="736" t="s">
        <v>483</v>
      </c>
      <c r="D12" s="701" t="s">
        <v>591</v>
      </c>
      <c r="E12" s="701" t="s">
        <v>677</v>
      </c>
      <c r="F12" s="701" t="s">
        <v>593</v>
      </c>
      <c r="G12" s="701" t="s">
        <v>594</v>
      </c>
      <c r="H12" s="701" t="s">
        <v>595</v>
      </c>
      <c r="I12" s="701" t="s">
        <v>596</v>
      </c>
      <c r="J12" s="701" t="s">
        <v>597</v>
      </c>
      <c r="K12" s="1029" t="s">
        <v>598</v>
      </c>
      <c r="L12" s="1029" t="s">
        <v>599</v>
      </c>
      <c r="M12" s="701" t="s">
        <v>600</v>
      </c>
      <c r="N12" s="701" t="s">
        <v>601</v>
      </c>
      <c r="O12" s="701" t="s">
        <v>602</v>
      </c>
      <c r="P12" s="701" t="s">
        <v>603</v>
      </c>
      <c r="Q12" s="701" t="s">
        <v>604</v>
      </c>
      <c r="R12" s="701" t="s">
        <v>400</v>
      </c>
      <c r="S12" s="701" t="s">
        <v>605</v>
      </c>
      <c r="T12" s="737"/>
    </row>
    <row r="13" spans="1:20" ht="23.9" hidden="1" customHeight="1">
      <c r="A13" s="738">
        <v>2016</v>
      </c>
      <c r="B13" s="739"/>
      <c r="C13" s="1230"/>
      <c r="D13" s="1231"/>
      <c r="E13" s="1230"/>
      <c r="F13" s="1230"/>
      <c r="G13" s="1416"/>
      <c r="H13" s="1416"/>
      <c r="I13" s="1231"/>
      <c r="J13" s="1231"/>
      <c r="K13" s="1230"/>
      <c r="L13" s="1230"/>
      <c r="M13" s="1232"/>
      <c r="N13" s="1231"/>
      <c r="O13" s="1231"/>
      <c r="P13" s="1230"/>
      <c r="Q13" s="1231"/>
      <c r="R13" s="1231"/>
      <c r="S13" s="1232"/>
    </row>
    <row r="14" spans="1:20" s="1061" customFormat="1" ht="17.5" hidden="1" customHeight="1">
      <c r="A14" s="1228">
        <v>2017</v>
      </c>
      <c r="B14" s="1229"/>
      <c r="C14" s="1230"/>
      <c r="D14" s="1231"/>
      <c r="E14" s="1230"/>
      <c r="F14" s="1230"/>
      <c r="G14" s="1416"/>
      <c r="H14" s="1416"/>
      <c r="I14" s="1231"/>
      <c r="J14" s="1231"/>
      <c r="K14" s="1230"/>
      <c r="L14" s="1230"/>
      <c r="M14" s="1232"/>
      <c r="N14" s="1231"/>
      <c r="O14" s="1231"/>
      <c r="P14" s="1230"/>
      <c r="Q14" s="1231"/>
      <c r="R14" s="1231"/>
      <c r="S14" s="1232"/>
    </row>
    <row r="15" spans="1:20" ht="17.25" hidden="1" customHeight="1">
      <c r="A15" s="738">
        <v>2018</v>
      </c>
      <c r="B15" s="1229"/>
      <c r="C15" s="1230"/>
      <c r="D15" s="1231"/>
      <c r="E15" s="1230"/>
      <c r="F15" s="1230"/>
      <c r="G15" s="1416"/>
      <c r="H15" s="1416"/>
      <c r="I15" s="1231"/>
      <c r="J15" s="1231"/>
      <c r="K15" s="1230"/>
      <c r="L15" s="1230"/>
      <c r="M15" s="1232"/>
      <c r="N15" s="1230"/>
      <c r="O15" s="1231"/>
      <c r="P15" s="1230"/>
      <c r="Q15" s="1230"/>
      <c r="R15" s="1230"/>
      <c r="S15" s="1232"/>
    </row>
    <row r="16" spans="1:20" ht="17.25" hidden="1" customHeight="1">
      <c r="A16" s="738">
        <v>2019</v>
      </c>
      <c r="B16" s="1229"/>
      <c r="C16" s="1230"/>
      <c r="D16" s="1231"/>
      <c r="E16" s="1230"/>
      <c r="F16" s="1230"/>
      <c r="G16" s="1416"/>
      <c r="H16" s="1416"/>
      <c r="I16" s="1231"/>
      <c r="J16" s="1231"/>
      <c r="K16" s="1230"/>
      <c r="L16" s="1230"/>
      <c r="M16" s="1232"/>
      <c r="N16" s="1230"/>
      <c r="O16" s="1231"/>
      <c r="P16" s="1230"/>
      <c r="Q16" s="1230"/>
      <c r="R16" s="1230"/>
      <c r="S16" s="1232"/>
    </row>
    <row r="17" spans="1:19" ht="17.25" hidden="1" customHeight="1">
      <c r="A17" s="738">
        <v>2020</v>
      </c>
      <c r="B17" s="1229"/>
      <c r="C17" s="1230"/>
      <c r="D17" s="1231"/>
      <c r="E17" s="1230"/>
      <c r="F17" s="1230"/>
      <c r="G17" s="1416"/>
      <c r="H17" s="1416"/>
      <c r="I17" s="1231"/>
      <c r="J17" s="1231"/>
      <c r="K17" s="1230"/>
      <c r="L17" s="1230"/>
      <c r="M17" s="1232"/>
      <c r="N17" s="1230"/>
      <c r="O17" s="1231"/>
      <c r="P17" s="1230"/>
      <c r="Q17" s="1230"/>
      <c r="R17" s="1230"/>
      <c r="S17" s="1232"/>
    </row>
    <row r="18" spans="1:19" ht="17.25" hidden="1" customHeight="1">
      <c r="A18" s="738">
        <v>2021</v>
      </c>
      <c r="B18" s="1229"/>
      <c r="C18" s="1230"/>
      <c r="D18" s="1231"/>
      <c r="E18" s="1230"/>
      <c r="F18" s="1230"/>
      <c r="G18" s="1416"/>
      <c r="H18" s="1416"/>
      <c r="I18" s="1231"/>
      <c r="J18" s="1231"/>
      <c r="K18" s="1230"/>
      <c r="L18" s="1230"/>
      <c r="M18" s="1232"/>
      <c r="N18" s="1230"/>
      <c r="O18" s="1231"/>
      <c r="P18" s="1230"/>
      <c r="Q18" s="1230"/>
      <c r="R18" s="1230"/>
      <c r="S18" s="1232"/>
    </row>
    <row r="19" spans="1:19" ht="17.25" hidden="1" customHeight="1">
      <c r="A19" s="738">
        <v>2022</v>
      </c>
      <c r="B19" s="739"/>
      <c r="C19" s="2406" t="e">
        <v>#REF!</v>
      </c>
      <c r="D19" s="2407" t="e">
        <v>#REF!</v>
      </c>
      <c r="E19" s="2406"/>
      <c r="F19" s="2406"/>
      <c r="G19" s="2408" t="e">
        <v>#REF!</v>
      </c>
      <c r="H19" s="2408" t="e">
        <v>#REF!</v>
      </c>
      <c r="I19" s="2407" t="e">
        <v>#REF!</v>
      </c>
      <c r="J19" s="2407" t="e">
        <v>#REF!</v>
      </c>
      <c r="K19" s="2406" t="e">
        <v>#REF!</v>
      </c>
      <c r="L19" s="2406" t="e">
        <v>#REF!</v>
      </c>
      <c r="M19" s="1811" t="e">
        <v>#REF!</v>
      </c>
      <c r="N19" s="2406" t="e">
        <v>#REF!</v>
      </c>
      <c r="O19" s="2407" t="e">
        <v>#REF!</v>
      </c>
      <c r="P19" s="2406" t="e">
        <v>#REF!</v>
      </c>
      <c r="Q19" s="2406" t="e">
        <v>#REF!</v>
      </c>
      <c r="R19" s="2406" t="e">
        <v>#REF!</v>
      </c>
      <c r="S19" s="1811" t="e">
        <v>#REF!</v>
      </c>
    </row>
    <row r="20" spans="1:19" ht="21" customHeight="1">
      <c r="A20" s="738">
        <v>2023</v>
      </c>
      <c r="B20" s="739"/>
      <c r="C20" s="2406">
        <v>3.9922758122879584E-2</v>
      </c>
      <c r="D20" s="2407">
        <v>1.9625160424073045</v>
      </c>
      <c r="E20" s="2406">
        <v>2.1270398517598497</v>
      </c>
      <c r="F20" s="2406">
        <v>2.5030472262610517</v>
      </c>
      <c r="G20" s="2408">
        <v>7.4814025081724758</v>
      </c>
      <c r="H20" s="2408">
        <v>7.5055387398947966</v>
      </c>
      <c r="I20" s="2407">
        <v>7.0500983053323445</v>
      </c>
      <c r="J20" s="2407">
        <v>6.7962987708302292</v>
      </c>
      <c r="K20" s="2406">
        <v>7.3002657373731985</v>
      </c>
      <c r="L20" s="2406">
        <v>7.3073176523956391</v>
      </c>
      <c r="M20" s="1811">
        <v>6.7028579601038079</v>
      </c>
      <c r="N20" s="2406">
        <v>6.3815433926636702</v>
      </c>
      <c r="O20" s="2407">
        <v>7.0771762156946325</v>
      </c>
      <c r="P20" s="2406">
        <v>6.7183556816790615</v>
      </c>
      <c r="Q20" s="2406">
        <v>5.6669813013124335</v>
      </c>
      <c r="R20" s="2406">
        <v>6.60436986246365</v>
      </c>
      <c r="S20" s="1811">
        <v>18.140051151691296</v>
      </c>
    </row>
    <row r="21" spans="1:19" ht="21" customHeight="1">
      <c r="A21" s="738">
        <v>2024</v>
      </c>
      <c r="B21" s="739"/>
      <c r="C21" s="2406">
        <v>7.1187508755291562E-2</v>
      </c>
      <c r="D21" s="2407">
        <v>2.1521765513803404</v>
      </c>
      <c r="E21" s="2406">
        <v>2.4762423264652726</v>
      </c>
      <c r="F21" s="2406">
        <v>2.6596763745829821</v>
      </c>
      <c r="G21" s="2408">
        <v>7.5514931265496266</v>
      </c>
      <c r="H21" s="2408">
        <v>7.3717383780402974</v>
      </c>
      <c r="I21" s="2407">
        <v>8.18285805610304</v>
      </c>
      <c r="J21" s="2407">
        <v>5.5199595961827379</v>
      </c>
      <c r="K21" s="2406">
        <v>6.965018645530785</v>
      </c>
      <c r="L21" s="2406">
        <v>7.2284532862586603</v>
      </c>
      <c r="M21" s="1811">
        <v>6.3144549429983678</v>
      </c>
      <c r="N21" s="2406">
        <v>6.2113251637655731</v>
      </c>
      <c r="O21" s="2407">
        <v>5.3606651043769515</v>
      </c>
      <c r="P21" s="2406">
        <v>6.093350122649178</v>
      </c>
      <c r="Q21" s="2406">
        <v>6.0539159623782002</v>
      </c>
      <c r="R21" s="2406">
        <v>6.2433035915785213</v>
      </c>
      <c r="S21" s="1811">
        <v>19.286970023009534</v>
      </c>
    </row>
    <row r="22" spans="1:19" ht="21" customHeight="1">
      <c r="A22" s="1800">
        <v>2025</v>
      </c>
      <c r="B22" s="2276"/>
      <c r="C22" s="2280">
        <f t="shared" ref="C22:S22" si="0">C29</f>
        <v>7.0825249191634701E-2</v>
      </c>
      <c r="D22" s="2281">
        <f t="shared" si="0"/>
        <v>1.901619732615818</v>
      </c>
      <c r="E22" s="2280">
        <f t="shared" si="0"/>
        <v>2.3138874730217802</v>
      </c>
      <c r="F22" s="2280">
        <f t="shared" si="0"/>
        <v>2.363100685474202</v>
      </c>
      <c r="G22" s="2282">
        <f t="shared" si="0"/>
        <v>6.8133831091705677</v>
      </c>
      <c r="H22" s="2282">
        <f t="shared" si="0"/>
        <v>7.0582703639143674</v>
      </c>
      <c r="I22" s="2281">
        <f t="shared" si="0"/>
        <v>7.4329159217722767</v>
      </c>
      <c r="J22" s="2281">
        <f t="shared" si="0"/>
        <v>6.9804352173306592</v>
      </c>
      <c r="K22" s="2280">
        <f t="shared" si="0"/>
        <v>7.0691539066463154</v>
      </c>
      <c r="L22" s="2280">
        <f t="shared" si="0"/>
        <v>7.2411910467210481</v>
      </c>
      <c r="M22" s="2283">
        <f t="shared" si="0"/>
        <v>5.3084419362701949</v>
      </c>
      <c r="N22" s="2280">
        <f t="shared" si="0"/>
        <v>5.3872015900711121</v>
      </c>
      <c r="O22" s="2281">
        <f t="shared" si="0"/>
        <v>5.9343888522438233</v>
      </c>
      <c r="P22" s="2280">
        <f t="shared" si="0"/>
        <v>5.471844791684763</v>
      </c>
      <c r="Q22" s="2280">
        <f t="shared" si="0"/>
        <v>5.2391380000930559</v>
      </c>
      <c r="R22" s="2280">
        <f t="shared" si="0"/>
        <v>5.4990273949324964</v>
      </c>
      <c r="S22" s="2283">
        <f t="shared" si="0"/>
        <v>18.161846969695315</v>
      </c>
    </row>
    <row r="23" spans="1:19" ht="21" customHeight="1">
      <c r="A23" s="738">
        <v>2024</v>
      </c>
      <c r="B23" s="1229" t="s">
        <v>243</v>
      </c>
      <c r="C23" s="1230">
        <v>6.3561846738642125E-2</v>
      </c>
      <c r="D23" s="1231">
        <v>2.6307644975444062</v>
      </c>
      <c r="E23" s="1230">
        <v>3.0764328104116503</v>
      </c>
      <c r="F23" s="1230">
        <v>3.3915083298106361</v>
      </c>
      <c r="G23" s="1416">
        <v>7.4227782326710035</v>
      </c>
      <c r="H23" s="1416">
        <v>8.2511202859824078</v>
      </c>
      <c r="I23" s="1231">
        <v>8.4819789857316721</v>
      </c>
      <c r="J23" s="1231">
        <v>7.897998272652389</v>
      </c>
      <c r="K23" s="1230">
        <v>7.8422252915559527</v>
      </c>
      <c r="L23" s="1230">
        <v>7.8534739780394638</v>
      </c>
      <c r="M23" s="1232">
        <v>6.5493091350163075</v>
      </c>
      <c r="N23" s="1230">
        <v>5.4447831922962466</v>
      </c>
      <c r="O23" s="1231">
        <v>6.4639107946288217</v>
      </c>
      <c r="P23" s="1230">
        <v>5.6142392050066041</v>
      </c>
      <c r="Q23" s="1230">
        <v>5.7412195287443986</v>
      </c>
      <c r="R23" s="1230">
        <v>6.0888715629601142</v>
      </c>
      <c r="S23" s="1232">
        <v>18.242122257860469</v>
      </c>
    </row>
    <row r="24" spans="1:19" ht="15" customHeight="1">
      <c r="A24" s="738"/>
      <c r="B24" s="1229" t="s">
        <v>240</v>
      </c>
      <c r="C24" s="1230">
        <v>6.4474307622687022E-2</v>
      </c>
      <c r="D24" s="1231">
        <v>2.4152066573456512</v>
      </c>
      <c r="E24" s="1230">
        <v>2.8417616019730509</v>
      </c>
      <c r="F24" s="1230">
        <v>3.1300791443375715</v>
      </c>
      <c r="G24" s="1416">
        <v>8.3155421953896962</v>
      </c>
      <c r="H24" s="1416">
        <v>7.8415177510941527</v>
      </c>
      <c r="I24" s="1231">
        <v>7.7723115090207511</v>
      </c>
      <c r="J24" s="1231">
        <v>7.6163709060080143</v>
      </c>
      <c r="K24" s="1230">
        <v>7.7505658404426772</v>
      </c>
      <c r="L24" s="1230">
        <v>7.8178180816244813</v>
      </c>
      <c r="M24" s="1232">
        <v>6.0143882255297374</v>
      </c>
      <c r="N24" s="1230">
        <v>6.0616676285906284</v>
      </c>
      <c r="O24" s="1231">
        <v>6.3693682988314491</v>
      </c>
      <c r="P24" s="1230">
        <v>6.1591133583603561</v>
      </c>
      <c r="Q24" s="1230">
        <v>6.0718797925802059</v>
      </c>
      <c r="R24" s="1230">
        <v>6.2570818319298551</v>
      </c>
      <c r="S24" s="1232">
        <v>19.513899516001672</v>
      </c>
    </row>
    <row r="25" spans="1:19" ht="15" customHeight="1">
      <c r="A25" s="738"/>
      <c r="B25" s="1229" t="s">
        <v>241</v>
      </c>
      <c r="C25" s="1230">
        <v>7.1187508755291562E-2</v>
      </c>
      <c r="D25" s="1231">
        <v>2.1521765513803404</v>
      </c>
      <c r="E25" s="1230">
        <v>2.4762423264652726</v>
      </c>
      <c r="F25" s="1230">
        <v>2.6596763745829821</v>
      </c>
      <c r="G25" s="1416">
        <v>7.5514931265496266</v>
      </c>
      <c r="H25" s="1416">
        <v>7.3717383780402974</v>
      </c>
      <c r="I25" s="1231">
        <v>8.18285805610304</v>
      </c>
      <c r="J25" s="1231">
        <v>5.5199595961827379</v>
      </c>
      <c r="K25" s="1230">
        <v>6.965018645530785</v>
      </c>
      <c r="L25" s="1230">
        <v>7.2284532862586603</v>
      </c>
      <c r="M25" s="1232">
        <v>6.3144549429983678</v>
      </c>
      <c r="N25" s="1230">
        <v>6.2113251637655731</v>
      </c>
      <c r="O25" s="1231">
        <v>5.3606651043769515</v>
      </c>
      <c r="P25" s="1230">
        <v>6.093350122649178</v>
      </c>
      <c r="Q25" s="1230">
        <v>6.0539159623782002</v>
      </c>
      <c r="R25" s="1230">
        <v>6.2433035915785213</v>
      </c>
      <c r="S25" s="1232">
        <v>19.286970023009534</v>
      </c>
    </row>
    <row r="26" spans="1:19" ht="21" customHeight="1">
      <c r="A26" s="738">
        <v>2025</v>
      </c>
      <c r="B26" s="1229" t="s">
        <v>242</v>
      </c>
      <c r="C26" s="1230">
        <v>7.0273680873252156E-2</v>
      </c>
      <c r="D26" s="1231">
        <v>2.1093002656926969</v>
      </c>
      <c r="E26" s="1230">
        <v>2.4383818777937942</v>
      </c>
      <c r="F26" s="1230">
        <v>2.6406241406091255</v>
      </c>
      <c r="G26" s="1416">
        <v>6.7492442318529422</v>
      </c>
      <c r="H26" s="1416">
        <v>7.1153583924193384</v>
      </c>
      <c r="I26" s="1231">
        <v>7.2057165876457274</v>
      </c>
      <c r="J26" s="1231">
        <v>5.9557732233379026</v>
      </c>
      <c r="K26" s="1230">
        <v>6.5508340488038153</v>
      </c>
      <c r="L26" s="1230">
        <v>6.7762969463412537</v>
      </c>
      <c r="M26" s="1232">
        <v>4.9312288851155586</v>
      </c>
      <c r="N26" s="1230">
        <v>5.9652008195105566</v>
      </c>
      <c r="O26" s="1231">
        <v>5.1793662131629921</v>
      </c>
      <c r="P26" s="1230">
        <v>5.5020268223107056</v>
      </c>
      <c r="Q26" s="1230">
        <v>5.9100917743279684</v>
      </c>
      <c r="R26" s="1230">
        <v>5.6925117849707867</v>
      </c>
      <c r="S26" s="1232">
        <v>19.555783111752344</v>
      </c>
    </row>
    <row r="27" spans="1:19" ht="15" customHeight="1">
      <c r="A27" s="738"/>
      <c r="B27" s="1229" t="s">
        <v>243</v>
      </c>
      <c r="C27" s="1230">
        <v>6.998536002820778E-2</v>
      </c>
      <c r="D27" s="1231">
        <v>2.0652469040851811</v>
      </c>
      <c r="E27" s="1230">
        <v>2.5474222429589117</v>
      </c>
      <c r="F27" s="1230">
        <v>2.6837541850458515</v>
      </c>
      <c r="G27" s="1416">
        <v>7.0722419832337504</v>
      </c>
      <c r="H27" s="1416">
        <v>8.1463337928738149</v>
      </c>
      <c r="I27" s="1231">
        <v>6.0053727679715792</v>
      </c>
      <c r="J27" s="1231">
        <v>7.0664367928475373</v>
      </c>
      <c r="K27" s="1230">
        <v>6.9472610275935978</v>
      </c>
      <c r="L27" s="1230">
        <v>7.0772207334504085</v>
      </c>
      <c r="M27" s="1232">
        <v>5.1292081373590213</v>
      </c>
      <c r="N27" s="1230">
        <v>5.6769390443696137</v>
      </c>
      <c r="O27" s="1231">
        <v>6.4422328346276929</v>
      </c>
      <c r="P27" s="1230">
        <v>5.2846593752654778</v>
      </c>
      <c r="Q27" s="1230">
        <v>5.7739304314997115</v>
      </c>
      <c r="R27" s="1230">
        <v>5.7642394435130537</v>
      </c>
      <c r="S27" s="1232">
        <v>19.533190880820197</v>
      </c>
    </row>
    <row r="28" spans="1:19" ht="15" customHeight="1">
      <c r="A28" s="738"/>
      <c r="B28" s="1229" t="s">
        <v>240</v>
      </c>
      <c r="C28" s="1230">
        <f t="shared" ref="C28:S28" si="1">C35</f>
        <v>7.1041095499979362E-2</v>
      </c>
      <c r="D28" s="1231">
        <f t="shared" si="1"/>
        <v>1.9810578650108477</v>
      </c>
      <c r="E28" s="1230">
        <f t="shared" si="1"/>
        <v>2.4004020753007764</v>
      </c>
      <c r="F28" s="1230">
        <f t="shared" si="1"/>
        <v>2.5291907588431801</v>
      </c>
      <c r="G28" s="1416">
        <f t="shared" si="1"/>
        <v>7.7005115298605959</v>
      </c>
      <c r="H28" s="1416">
        <f t="shared" si="1"/>
        <v>6.9251697688130944</v>
      </c>
      <c r="I28" s="1231">
        <f t="shared" si="1"/>
        <v>6.7176618723111767</v>
      </c>
      <c r="J28" s="1231">
        <f t="shared" si="1"/>
        <v>6.8391451127305114</v>
      </c>
      <c r="K28" s="1230">
        <f t="shared" si="1"/>
        <v>7.0855114698477806</v>
      </c>
      <c r="L28" s="1230">
        <f t="shared" si="1"/>
        <v>7.2975378784382583</v>
      </c>
      <c r="M28" s="1232">
        <f t="shared" si="1"/>
        <v>5.0734761224267713</v>
      </c>
      <c r="N28" s="1230">
        <f t="shared" si="1"/>
        <v>5.7121180110710821</v>
      </c>
      <c r="O28" s="1231">
        <f t="shared" si="1"/>
        <v>4.8357924438619246</v>
      </c>
      <c r="P28" s="1230">
        <f t="shared" si="1"/>
        <v>5.2366551899740461</v>
      </c>
      <c r="Q28" s="1230">
        <f t="shared" si="1"/>
        <v>5.1761365280206295</v>
      </c>
      <c r="R28" s="1230">
        <f t="shared" si="1"/>
        <v>5.3181538001015936</v>
      </c>
      <c r="S28" s="1811">
        <f t="shared" si="1"/>
        <v>19.511887008799551</v>
      </c>
    </row>
    <row r="29" spans="1:19" ht="15" customHeight="1">
      <c r="A29" s="738"/>
      <c r="B29" s="1229" t="s">
        <v>241</v>
      </c>
      <c r="C29" s="1230">
        <f t="shared" ref="C29:S29" si="2">C38</f>
        <v>7.0825249191634701E-2</v>
      </c>
      <c r="D29" s="1231">
        <f t="shared" si="2"/>
        <v>1.901619732615818</v>
      </c>
      <c r="E29" s="1230">
        <f t="shared" si="2"/>
        <v>2.3138874730217802</v>
      </c>
      <c r="F29" s="1230">
        <f t="shared" si="2"/>
        <v>2.363100685474202</v>
      </c>
      <c r="G29" s="1416">
        <f t="shared" si="2"/>
        <v>6.8133831091705677</v>
      </c>
      <c r="H29" s="1416">
        <f t="shared" si="2"/>
        <v>7.0582703639143674</v>
      </c>
      <c r="I29" s="1231">
        <f t="shared" si="2"/>
        <v>7.4329159217722767</v>
      </c>
      <c r="J29" s="1231">
        <f t="shared" si="2"/>
        <v>6.9804352173306592</v>
      </c>
      <c r="K29" s="1230">
        <f t="shared" si="2"/>
        <v>7.0691539066463154</v>
      </c>
      <c r="L29" s="1230">
        <f t="shared" si="2"/>
        <v>7.2411910467210481</v>
      </c>
      <c r="M29" s="1232">
        <f t="shared" si="2"/>
        <v>5.3084419362701949</v>
      </c>
      <c r="N29" s="1230">
        <f t="shared" si="2"/>
        <v>5.3872015900711121</v>
      </c>
      <c r="O29" s="1231">
        <f t="shared" si="2"/>
        <v>5.9343888522438233</v>
      </c>
      <c r="P29" s="1230">
        <f t="shared" si="2"/>
        <v>5.471844791684763</v>
      </c>
      <c r="Q29" s="1230">
        <f t="shared" si="2"/>
        <v>5.2391380000930559</v>
      </c>
      <c r="R29" s="1230">
        <f t="shared" si="2"/>
        <v>5.4990273949324964</v>
      </c>
      <c r="S29" s="1811">
        <f t="shared" si="2"/>
        <v>18.161846969695315</v>
      </c>
    </row>
    <row r="30" spans="1:19" ht="21" customHeight="1">
      <c r="A30" s="1800">
        <v>2026</v>
      </c>
      <c r="B30" s="1802" t="s">
        <v>242</v>
      </c>
      <c r="C30" s="1696">
        <f t="shared" ref="C30:S30" si="3">C41</f>
        <v>6.3572586890487864E-2</v>
      </c>
      <c r="D30" s="1697">
        <f t="shared" si="3"/>
        <v>1.8761719805886794</v>
      </c>
      <c r="E30" s="1696">
        <f t="shared" si="3"/>
        <v>2.2387425847975</v>
      </c>
      <c r="F30" s="1696">
        <f t="shared" si="3"/>
        <v>2.2986112318806242</v>
      </c>
      <c r="G30" s="1698">
        <f t="shared" si="3"/>
        <v>7.3718267655545944</v>
      </c>
      <c r="H30" s="1698">
        <f t="shared" si="3"/>
        <v>5.5699138820932648</v>
      </c>
      <c r="I30" s="1697">
        <f t="shared" si="3"/>
        <v>7.0329152276549038</v>
      </c>
      <c r="J30" s="1697">
        <f t="shared" si="3"/>
        <v>5.9468380654943793</v>
      </c>
      <c r="K30" s="1696">
        <f t="shared" si="3"/>
        <v>6.1783671541083018</v>
      </c>
      <c r="L30" s="1696">
        <f t="shared" si="3"/>
        <v>6.3605160414978927</v>
      </c>
      <c r="M30" s="1699">
        <f t="shared" si="3"/>
        <v>4.8444622838168616</v>
      </c>
      <c r="N30" s="1696">
        <f t="shared" si="3"/>
        <v>5.0868773852680338</v>
      </c>
      <c r="O30" s="1697">
        <f t="shared" si="3"/>
        <v>5.2679304458129534</v>
      </c>
      <c r="P30" s="1696">
        <f t="shared" si="3"/>
        <v>5.1427330076851439</v>
      </c>
      <c r="Q30" s="1696">
        <f t="shared" si="3"/>
        <v>5.0989100616058751</v>
      </c>
      <c r="R30" s="1696">
        <f t="shared" si="3"/>
        <v>5.2431497216853495</v>
      </c>
      <c r="S30" s="1699">
        <f t="shared" si="3"/>
        <v>19.371103833449745</v>
      </c>
    </row>
    <row r="31" spans="1:19" ht="20.25" customHeight="1">
      <c r="A31" s="738">
        <v>2025</v>
      </c>
      <c r="B31" s="739" t="s">
        <v>427</v>
      </c>
      <c r="C31" s="2406">
        <v>6.7009720949785648E-2</v>
      </c>
      <c r="D31" s="2407">
        <v>2.0485029266166142</v>
      </c>
      <c r="E31" s="2407">
        <v>2.5261038602703438</v>
      </c>
      <c r="F31" s="2407">
        <v>2.6522973981843858</v>
      </c>
      <c r="G31" s="2408">
        <v>6.6536121929336689</v>
      </c>
      <c r="H31" s="2408">
        <v>8.1148371143300633</v>
      </c>
      <c r="I31" s="2407">
        <v>7.0608903134316918</v>
      </c>
      <c r="J31" s="2407">
        <v>6.554584540881863</v>
      </c>
      <c r="K31" s="2406">
        <v>6.7008642091222423</v>
      </c>
      <c r="L31" s="2406">
        <v>6.7972641498773685</v>
      </c>
      <c r="M31" s="1811">
        <v>5.3014660830704452</v>
      </c>
      <c r="N31" s="2407">
        <v>6.1232480532333717</v>
      </c>
      <c r="O31" s="2407">
        <v>4.2570398091184849</v>
      </c>
      <c r="P31" s="1811">
        <v>4.3202346799723932</v>
      </c>
      <c r="Q31" s="2407">
        <v>5.6195413624037576</v>
      </c>
      <c r="R31" s="2407">
        <v>5.0781055374252979</v>
      </c>
      <c r="S31" s="1811">
        <v>19.293623560716124</v>
      </c>
    </row>
    <row r="32" spans="1:19" ht="15.75" customHeight="1">
      <c r="A32" s="738"/>
      <c r="B32" s="739" t="s">
        <v>428</v>
      </c>
      <c r="C32" s="2406">
        <f>'[17]6B'!$B$17</f>
        <v>6.998536002820778E-2</v>
      </c>
      <c r="D32" s="2407">
        <f>'[17]6B'!$C$20</f>
        <v>2.0652469040851811</v>
      </c>
      <c r="E32" s="2407">
        <f>'[17]6B'!$D$20</f>
        <v>2.5474222429589117</v>
      </c>
      <c r="F32" s="2407">
        <f>'[17]6B'!$E$20</f>
        <v>2.6837541850458515</v>
      </c>
      <c r="G32" s="2408">
        <f>'[17]6B'!$E$61</f>
        <v>7.0722419832337504</v>
      </c>
      <c r="H32" s="2408">
        <f>'[17]6B'!$I$61</f>
        <v>8.1463337928738149</v>
      </c>
      <c r="I32" s="2407">
        <f>'[17]6B'!$M$61</f>
        <v>6.0053727679715792</v>
      </c>
      <c r="J32" s="2407">
        <f>'[17]6B'!$Q$61</f>
        <v>7.0664367928475373</v>
      </c>
      <c r="K32" s="2406">
        <f>'[17]6B'!$S$61</f>
        <v>6.9472610275935978</v>
      </c>
      <c r="L32" s="2406">
        <f>'[17]6B'!$T$61</f>
        <v>7.0772207334504085</v>
      </c>
      <c r="M32" s="1811">
        <f>'[17]6B'!$E$101</f>
        <v>5.1292081373590213</v>
      </c>
      <c r="N32" s="2407">
        <f>'[17]6B'!$I$101</f>
        <v>5.6769390443696137</v>
      </c>
      <c r="O32" s="2407">
        <f>'[17]6B'!$M$101</f>
        <v>6.4422328346276929</v>
      </c>
      <c r="P32" s="1811">
        <f>'[17]6B'!$Q$101</f>
        <v>5.2846593752654778</v>
      </c>
      <c r="Q32" s="2407">
        <f>'[17]6B'!$S$101</f>
        <v>5.7739304314997115</v>
      </c>
      <c r="R32" s="2407">
        <f>'[17]6B'!$T$101</f>
        <v>5.7642394435130537</v>
      </c>
      <c r="S32" s="1811">
        <f>'[17]6B'!$R$101</f>
        <v>19.533190880820197</v>
      </c>
    </row>
    <row r="33" spans="1:19" ht="15.75" customHeight="1">
      <c r="A33" s="738"/>
      <c r="B33" s="739" t="s">
        <v>429</v>
      </c>
      <c r="C33" s="2406">
        <f>'[18]6B'!$B$17</f>
        <v>6.9965295542776737E-2</v>
      </c>
      <c r="D33" s="2407">
        <f>'[18]6B'!$C$20</f>
        <v>2.0498767816047523</v>
      </c>
      <c r="E33" s="2407">
        <f>'[18]6B'!$D$20</f>
        <v>2.5280624568053378</v>
      </c>
      <c r="F33" s="2407">
        <f>'[18]6B'!$E$20</f>
        <v>2.659308140894078</v>
      </c>
      <c r="G33" s="2408">
        <f>'[18]6B'!$E$61</f>
        <v>6.9188624413689688</v>
      </c>
      <c r="H33" s="2408">
        <f>'[18]6B'!$I$61</f>
        <v>8.1036338305718321</v>
      </c>
      <c r="I33" s="2407">
        <f>'[18]6B'!$M$61</f>
        <v>6.861157246945254</v>
      </c>
      <c r="J33" s="2407">
        <f>'[18]6B'!$Q$61</f>
        <v>6.8469469269436445</v>
      </c>
      <c r="K33" s="2406">
        <f>'[18]6B'!$S$61</f>
        <v>6.9620100546866039</v>
      </c>
      <c r="L33" s="2406">
        <f>'[18]6B'!$T$61</f>
        <v>7.0783245111283977</v>
      </c>
      <c r="M33" s="1811">
        <f>'[18]6B'!$E$101</f>
        <v>4.9647361227345401</v>
      </c>
      <c r="N33" s="2407">
        <f>'[18]6B'!$I$101</f>
        <v>5.2638008998386869</v>
      </c>
      <c r="O33" s="2407">
        <f>'[18]6B'!$M$101</f>
        <v>5.5839412290277259</v>
      </c>
      <c r="P33" s="1811">
        <f>'[18]6B'!$Q$101</f>
        <v>5.3060324396765406</v>
      </c>
      <c r="Q33" s="2407">
        <f>'[18]6B'!$S$101</f>
        <v>5.3937896496784727</v>
      </c>
      <c r="R33" s="2407">
        <f>'[18]6B'!$T$101</f>
        <v>5.4183819659251515</v>
      </c>
      <c r="S33" s="1811">
        <f>'[18]6B'!$R$101</f>
        <v>19.413547371908294</v>
      </c>
    </row>
    <row r="34" spans="1:19" ht="15.75" customHeight="1">
      <c r="A34" s="738"/>
      <c r="B34" s="739" t="s">
        <v>430</v>
      </c>
      <c r="C34" s="2406">
        <f>'[19]6B'!$B$17</f>
        <v>7.0252265079156273E-2</v>
      </c>
      <c r="D34" s="2407">
        <f>'[19]6B'!$C$20</f>
        <v>1.9964332694963318</v>
      </c>
      <c r="E34" s="2407">
        <f>'[19]6B'!$D$20</f>
        <v>2.4807432063697963</v>
      </c>
      <c r="F34" s="2407">
        <f>'[19]6B'!$E$20</f>
        <v>2.6218846694914939</v>
      </c>
      <c r="G34" s="2408">
        <f>'[19]6B'!$E$61</f>
        <v>7.1973008497470774</v>
      </c>
      <c r="H34" s="2408">
        <f>'[19]6B'!$I$61</f>
        <v>7.7913884616473981</v>
      </c>
      <c r="I34" s="2407">
        <f>'[19]6B'!$M$61</f>
        <v>6.5823178386870582</v>
      </c>
      <c r="J34" s="2407">
        <f>'[19]6B'!$Q$61</f>
        <v>6.0202800218032211</v>
      </c>
      <c r="K34" s="2406">
        <f>'[19]6B'!$S$61</f>
        <v>6.7097405552295353</v>
      </c>
      <c r="L34" s="2406">
        <f>'[19]6B'!$T$61</f>
        <v>7.0260568045091478</v>
      </c>
      <c r="M34" s="1811">
        <f>'[19]6B'!$E$101</f>
        <v>5.567522278911035</v>
      </c>
      <c r="N34" s="2407">
        <f>'[19]6B'!$I$101</f>
        <v>5.6205077848000684</v>
      </c>
      <c r="O34" s="2407">
        <f>'[19]6B'!$M$101</f>
        <v>5.2973428260331668</v>
      </c>
      <c r="P34" s="1811">
        <f>'[19]6B'!$Q$101</f>
        <v>5.1506930939588953</v>
      </c>
      <c r="Q34" s="2407">
        <f>'[19]6B'!$S$101</f>
        <v>5.3217789248639349</v>
      </c>
      <c r="R34" s="2407">
        <f>'[19]6B'!$T$101</f>
        <v>5.4331041715404673</v>
      </c>
      <c r="S34" s="1811">
        <f>'[19]6B'!$R$101</f>
        <v>19.489806046221776</v>
      </c>
    </row>
    <row r="35" spans="1:19" ht="15.75" customHeight="1">
      <c r="A35" s="738"/>
      <c r="B35" s="739" t="s">
        <v>431</v>
      </c>
      <c r="C35" s="2406">
        <f>'[20]6B'!$B$17</f>
        <v>7.1041095499979362E-2</v>
      </c>
      <c r="D35" s="2407">
        <f>'[20]6B'!$C$20</f>
        <v>1.9810578650108477</v>
      </c>
      <c r="E35" s="2407">
        <f>'[20]6B'!$D$20</f>
        <v>2.4004020753007764</v>
      </c>
      <c r="F35" s="2407">
        <f>'[20]6B'!$E$20</f>
        <v>2.5291907588431801</v>
      </c>
      <c r="G35" s="2408">
        <f>'[20]6B'!$E$61</f>
        <v>7.7005115298605959</v>
      </c>
      <c r="H35" s="2408">
        <f>'[20]6B'!$I$61</f>
        <v>6.9251697688130944</v>
      </c>
      <c r="I35" s="2407">
        <f>'[20]6B'!$M$61</f>
        <v>6.7176618723111767</v>
      </c>
      <c r="J35" s="2407">
        <f>'[20]6B'!$Q$61</f>
        <v>6.8391451127305114</v>
      </c>
      <c r="K35" s="2406">
        <f>'[20]6B'!$S$61</f>
        <v>7.0855114698477806</v>
      </c>
      <c r="L35" s="2406">
        <f>'[20]6B'!$T$61</f>
        <v>7.2975378784382583</v>
      </c>
      <c r="M35" s="1811">
        <f>'[20]6B'!$E$101</f>
        <v>5.0734761224267713</v>
      </c>
      <c r="N35" s="2407">
        <f>'[20]6B'!$I$101</f>
        <v>5.7121180110710821</v>
      </c>
      <c r="O35" s="2407">
        <f>'[20]6B'!$M$101</f>
        <v>4.8357924438619246</v>
      </c>
      <c r="P35" s="1811">
        <f>'[20]6B'!$Q$101</f>
        <v>5.2366551899740461</v>
      </c>
      <c r="Q35" s="2407">
        <f>'[20]6B'!$S$101</f>
        <v>5.1761365280206295</v>
      </c>
      <c r="R35" s="2407">
        <f>'[20]6B'!$T$101</f>
        <v>5.3181538001015936</v>
      </c>
      <c r="S35" s="1811">
        <f>'[20]6B'!$R$101</f>
        <v>19.511887008799551</v>
      </c>
    </row>
    <row r="36" spans="1:19" ht="15.75" customHeight="1">
      <c r="A36" s="738"/>
      <c r="B36" s="739" t="s">
        <v>420</v>
      </c>
      <c r="C36" s="2406">
        <f>'[21]6B'!$B$17</f>
        <v>7.0749016511049062E-2</v>
      </c>
      <c r="D36" s="2407">
        <f>'[21]6B'!$C$20</f>
        <v>1.9413204972772444</v>
      </c>
      <c r="E36" s="2407">
        <f>'[21]6B'!$D$20</f>
        <v>2.2788977397342425</v>
      </c>
      <c r="F36" s="2407">
        <f>'[21]6B'!$E$20</f>
        <v>2.3954312559420732</v>
      </c>
      <c r="G36" s="2408">
        <f>'[21]6B'!$E$61</f>
        <v>6.3542382923520142</v>
      </c>
      <c r="H36" s="2408">
        <f>'[21]6B'!$I$61</f>
        <v>7.5493777416445074</v>
      </c>
      <c r="I36" s="2407">
        <f>'[21]6B'!$M$61</f>
        <v>7.6932221537891836</v>
      </c>
      <c r="J36" s="2407">
        <f>'[21]6B'!$Q$61</f>
        <v>5.8060277943705891</v>
      </c>
      <c r="K36" s="2406">
        <f>'[21]6B'!$S$61</f>
        <v>6.3443793175910326</v>
      </c>
      <c r="L36" s="2406">
        <f>'[21]6B'!$T$61</f>
        <v>6.4095847204295264</v>
      </c>
      <c r="M36" s="1811">
        <f>'[21]6B'!$E$101</f>
        <v>5.5272864559014927</v>
      </c>
      <c r="N36" s="2407">
        <f>'[21]6B'!$I$101</f>
        <v>5.7643189509822825</v>
      </c>
      <c r="O36" s="2407">
        <f>'[21]6B'!$M$101</f>
        <v>4.6380474802679501</v>
      </c>
      <c r="P36" s="1811">
        <f>'[21]6B'!$Q$101</f>
        <v>5.2729519117562287</v>
      </c>
      <c r="Q36" s="2407">
        <f>'[21]6B'!$S$101</f>
        <v>5.0291504774318163</v>
      </c>
      <c r="R36" s="2407">
        <f>'[21]6B'!$T$101</f>
        <v>5.3611761618152913</v>
      </c>
      <c r="S36" s="1811">
        <f>'[21]6B'!$R$101</f>
        <v>19.410609413768118</v>
      </c>
    </row>
    <row r="37" spans="1:19" ht="15.75" customHeight="1">
      <c r="A37" s="738"/>
      <c r="B37" s="739" t="s">
        <v>421</v>
      </c>
      <c r="C37" s="2406">
        <f>'[22]6B'!$B$17</f>
        <v>7.1008631813144124E-2</v>
      </c>
      <c r="D37" s="2407">
        <f>'[22]6B'!$C$20</f>
        <v>1.9056902144383328</v>
      </c>
      <c r="E37" s="2407">
        <f>'[22]6B'!$D$20</f>
        <v>2.2614018209685556</v>
      </c>
      <c r="F37" s="2407">
        <f>'[22]6B'!$E$20</f>
        <v>2.3499092179266263</v>
      </c>
      <c r="G37" s="2408">
        <f>'[22]6B'!$E$61</f>
        <v>7.1715188237146057</v>
      </c>
      <c r="H37" s="2408">
        <f>'[22]6B'!$I$61</f>
        <v>7.8749540383181502</v>
      </c>
      <c r="I37" s="2407">
        <f>'[22]6B'!$M$61</f>
        <v>7.2932541406482798</v>
      </c>
      <c r="J37" s="2407">
        <f>'[22]6B'!$Q$61</f>
        <v>6.7058793711866729</v>
      </c>
      <c r="K37" s="2406">
        <f>'[22]6B'!$S$61</f>
        <v>7.0039181585576333</v>
      </c>
      <c r="L37" s="2406">
        <f>'[22]6B'!$T$61</f>
        <v>7.1158674161721489</v>
      </c>
      <c r="M37" s="1811">
        <f>'[22]6B'!$E$101</f>
        <v>4.9629576958972246</v>
      </c>
      <c r="N37" s="2407">
        <f>'[22]6B'!$I$101</f>
        <v>5.7802789486064352</v>
      </c>
      <c r="O37" s="2407">
        <f>'[22]6B'!$M$101</f>
        <v>5.3509145550602506</v>
      </c>
      <c r="P37" s="1811">
        <f>'[22]6B'!$Q$101</f>
        <v>5.7472258875450528</v>
      </c>
      <c r="Q37" s="2407">
        <f>'[22]6B'!$S$101</f>
        <v>5.1550836296680949</v>
      </c>
      <c r="R37" s="2407">
        <f>'[22]6B'!$T$101</f>
        <v>5.4917500142952065</v>
      </c>
      <c r="S37" s="1811">
        <f>'[22]6B'!$R$101</f>
        <v>19.003952799251881</v>
      </c>
    </row>
    <row r="38" spans="1:19" ht="15.75" customHeight="1">
      <c r="A38" s="738"/>
      <c r="B38" s="739" t="s">
        <v>422</v>
      </c>
      <c r="C38" s="2406">
        <f>'[23]6B'!$B$17</f>
        <v>7.0825249191634701E-2</v>
      </c>
      <c r="D38" s="2407">
        <f>'[23]6B'!$C$20</f>
        <v>1.901619732615818</v>
      </c>
      <c r="E38" s="2407">
        <f>'[23]6B'!$D$20</f>
        <v>2.3138874730217802</v>
      </c>
      <c r="F38" s="2407">
        <f>'[23]6B'!$E$20</f>
        <v>2.363100685474202</v>
      </c>
      <c r="G38" s="2408">
        <f>'[23]6B'!$E$61</f>
        <v>6.8133831091705677</v>
      </c>
      <c r="H38" s="2408">
        <f>'[23]6B'!$I$61</f>
        <v>7.0582703639143674</v>
      </c>
      <c r="I38" s="2407">
        <f>'[23]6B'!$M$61</f>
        <v>7.4329159217722767</v>
      </c>
      <c r="J38" s="2407">
        <f>'[23]6B'!$Q$61</f>
        <v>6.9804352173306592</v>
      </c>
      <c r="K38" s="2406">
        <f>'[23]6B'!$S$61</f>
        <v>7.0691539066463154</v>
      </c>
      <c r="L38" s="2406">
        <f>'[23]6B'!$T$61</f>
        <v>7.2411910467210481</v>
      </c>
      <c r="M38" s="1811">
        <f>'[23]6B'!$E$101</f>
        <v>5.3084419362701949</v>
      </c>
      <c r="N38" s="2407">
        <f>'[23]6B'!$I$101</f>
        <v>5.3872015900711121</v>
      </c>
      <c r="O38" s="2407">
        <f>'[23]6B'!$M$101</f>
        <v>5.9343888522438233</v>
      </c>
      <c r="P38" s="1811">
        <f>'[23]6B'!$Q$101</f>
        <v>5.471844791684763</v>
      </c>
      <c r="Q38" s="2407">
        <f>'[23]6B'!$S$101</f>
        <v>5.2391380000930559</v>
      </c>
      <c r="R38" s="2407">
        <f>'[23]6B'!$T$101</f>
        <v>5.4990273949324964</v>
      </c>
      <c r="S38" s="1811">
        <f>'[23]6B'!$R$101</f>
        <v>18.161846969695315</v>
      </c>
    </row>
    <row r="39" spans="1:19" ht="15.75" customHeight="1">
      <c r="A39" s="738">
        <v>2026</v>
      </c>
      <c r="B39" s="739" t="s">
        <v>423</v>
      </c>
      <c r="C39" s="2406">
        <f>'[24]6B'!$B$17</f>
        <v>7.0741167769630658E-2</v>
      </c>
      <c r="D39" s="2407">
        <f>'[24]6B'!$C$20</f>
        <v>1.8785699025460101</v>
      </c>
      <c r="E39" s="2407">
        <f>'[24]6B'!$D$20</f>
        <v>2.2622727508594709</v>
      </c>
      <c r="F39" s="2407">
        <f>'[24]6B'!$E$20</f>
        <v>2.3422506501438929</v>
      </c>
      <c r="G39" s="2408">
        <f>'[24]6B'!$E$61</f>
        <v>6.5227291408816139</v>
      </c>
      <c r="H39" s="2408">
        <f>'[24]6B'!$I$61</f>
        <v>7.0636857654352534</v>
      </c>
      <c r="I39" s="2407">
        <f>'[24]6B'!$M$61</f>
        <v>7.4726611652286206</v>
      </c>
      <c r="J39" s="2407">
        <f>'[24]6B'!$Q$61</f>
        <v>6.6633540704884959</v>
      </c>
      <c r="K39" s="2406">
        <f>'[24]6B'!$S$61</f>
        <v>6.590715614912348</v>
      </c>
      <c r="L39" s="2406">
        <f>'[24]6B'!$T$61</f>
        <v>6.6204693259291743</v>
      </c>
      <c r="M39" s="1811">
        <f>'[24]6B'!$E$101</f>
        <v>5.1446024795886887</v>
      </c>
      <c r="N39" s="2407">
        <f>'[24]6B'!$I$101</f>
        <v>5.982346349999152</v>
      </c>
      <c r="O39" s="2407">
        <f>'[24]6B'!$M$101</f>
        <v>5.3889601860452414</v>
      </c>
      <c r="P39" s="1811">
        <f>'[24]6B'!$Q$101</f>
        <v>5.7982406747327113</v>
      </c>
      <c r="Q39" s="2407">
        <f>'[24]6B'!$S$101</f>
        <v>5.1558749022093666</v>
      </c>
      <c r="R39" s="2407">
        <f>'[24]6B'!$T$101</f>
        <v>5.5337543255699222</v>
      </c>
      <c r="S39" s="1811">
        <f>'[24]6B'!$R$101</f>
        <v>18.815808258004314</v>
      </c>
    </row>
    <row r="40" spans="1:19" ht="15.75" customHeight="1">
      <c r="A40" s="738"/>
      <c r="B40" s="739" t="s">
        <v>424</v>
      </c>
      <c r="C40" s="2406">
        <f>'[25]6B'!$B$17</f>
        <v>7.0279270177912648E-2</v>
      </c>
      <c r="D40" s="2407">
        <f>'[25]6B'!$C$20</f>
        <v>1.8602897977653983</v>
      </c>
      <c r="E40" s="2407">
        <f>'[25]6B'!$D$20</f>
        <v>2.2539322629636542</v>
      </c>
      <c r="F40" s="2407">
        <f>'[25]6B'!$E$20</f>
        <v>2.2856083172751251</v>
      </c>
      <c r="G40" s="2408">
        <f>'[25]6B'!$E$61</f>
        <v>7.0174531520775334</v>
      </c>
      <c r="H40" s="2408">
        <f>'[25]6B'!$I$61</f>
        <v>6.7937383988460418</v>
      </c>
      <c r="I40" s="2407">
        <f>'[25]6B'!$M$61</f>
        <v>7.4669773348196884</v>
      </c>
      <c r="J40" s="2407">
        <f>'[25]6B'!$Q$61</f>
        <v>6.7252055925354046</v>
      </c>
      <c r="K40" s="2406">
        <f>'[25]6B'!$S$61</f>
        <v>6.9763126343367494</v>
      </c>
      <c r="L40" s="2406">
        <f>'[25]6B'!$T$61</f>
        <v>7.063679680160682</v>
      </c>
      <c r="M40" s="1811">
        <f>'[25]6B'!$E$101</f>
        <v>5.8309296693861681</v>
      </c>
      <c r="N40" s="2407">
        <f>'[25]6B'!$I$101</f>
        <v>5.3596768626612468</v>
      </c>
      <c r="O40" s="2407">
        <f>'[25]6B'!$M$101</f>
        <v>4.9668230521095396</v>
      </c>
      <c r="P40" s="1811">
        <f>'[25]6B'!$Q$101</f>
        <v>5.530127962584884</v>
      </c>
      <c r="Q40" s="2407">
        <f>'[25]6B'!$S$101</f>
        <v>5.0688739946768466</v>
      </c>
      <c r="R40" s="2407">
        <f>'[25]6B'!$T$101</f>
        <v>5.4692473065215248</v>
      </c>
      <c r="S40" s="1811">
        <f>'[25]6B'!$R$101</f>
        <v>18.882805536909665</v>
      </c>
    </row>
    <row r="41" spans="1:19" ht="15.75" customHeight="1">
      <c r="A41" s="738"/>
      <c r="B41" s="739" t="s">
        <v>425</v>
      </c>
      <c r="C41" s="2406">
        <f>'[26]6B'!$B$17</f>
        <v>6.3572586890487864E-2</v>
      </c>
      <c r="D41" s="2407">
        <f>'[26]6B'!$C$20</f>
        <v>1.8761719805886794</v>
      </c>
      <c r="E41" s="2407">
        <f>'[26]6B'!$D$20</f>
        <v>2.2387425847975</v>
      </c>
      <c r="F41" s="2407">
        <f>'[26]6B'!$E$20</f>
        <v>2.2986112318806242</v>
      </c>
      <c r="G41" s="2408">
        <f>'[26]6B'!$E$61</f>
        <v>7.3718267655545944</v>
      </c>
      <c r="H41" s="2408">
        <f>'[26]6B'!$I$61</f>
        <v>5.5699138820932648</v>
      </c>
      <c r="I41" s="2407">
        <f>'[26]6B'!$M$61</f>
        <v>7.0329152276549038</v>
      </c>
      <c r="J41" s="2407">
        <f>'[26]6B'!$Q$61</f>
        <v>5.9468380654943793</v>
      </c>
      <c r="K41" s="2406">
        <f>'[26]6B'!$S$61</f>
        <v>6.1783671541083018</v>
      </c>
      <c r="L41" s="2406">
        <f>'[26]6B'!$T$61</f>
        <v>6.3605160414978927</v>
      </c>
      <c r="M41" s="1811">
        <f>'[26]6B'!$E$101</f>
        <v>4.8444622838168616</v>
      </c>
      <c r="N41" s="2407">
        <f>'[26]6B'!$I$101</f>
        <v>5.0868773852680338</v>
      </c>
      <c r="O41" s="2407">
        <f>'[26]6B'!$M$101</f>
        <v>5.2679304458129534</v>
      </c>
      <c r="P41" s="1811">
        <f>'[26]6B'!$Q$101</f>
        <v>5.1427330076851439</v>
      </c>
      <c r="Q41" s="2407">
        <f>'[26]6B'!$S$101</f>
        <v>5.0989100616058751</v>
      </c>
      <c r="R41" s="2407">
        <f>'[26]6B'!$T$101</f>
        <v>5.2431497216853495</v>
      </c>
      <c r="S41" s="1811">
        <f>'[26]6B'!$R$101</f>
        <v>19.371103833449745</v>
      </c>
    </row>
    <row r="42" spans="1:19" ht="15.75" customHeight="1">
      <c r="A42" s="738"/>
      <c r="B42" s="739" t="s">
        <v>426</v>
      </c>
      <c r="C42" s="2406">
        <f>'[27]6B'!$B$17</f>
        <v>6.4351641691984776E-2</v>
      </c>
      <c r="D42" s="2407">
        <f>'[27]6B'!$C$20</f>
        <v>2.2179539668825217</v>
      </c>
      <c r="E42" s="2407">
        <f>'[27]6B'!$D$20</f>
        <v>2.6483560609920098</v>
      </c>
      <c r="F42" s="2407">
        <f>'[27]6B'!$E$20</f>
        <v>2.7072130102667655</v>
      </c>
      <c r="G42" s="2408">
        <f>'[27]6B'!$E$61</f>
        <v>6.5215166893163019</v>
      </c>
      <c r="H42" s="2408">
        <f>'[27]6B'!$I$61</f>
        <v>6.6684476115029945</v>
      </c>
      <c r="I42" s="2407">
        <f>'[27]6B'!$M$61</f>
        <v>7.1997731473034765</v>
      </c>
      <c r="J42" s="2407">
        <f>'[27]6B'!$Q$61</f>
        <v>6.1183728798842907</v>
      </c>
      <c r="K42" s="2406">
        <f>'[27]6B'!$S$61</f>
        <v>6.4886355825022317</v>
      </c>
      <c r="L42" s="2406">
        <f>'[27]6B'!$T$61</f>
        <v>6.5566394767061649</v>
      </c>
      <c r="M42" s="1811">
        <f>'[27]6B'!$E$101</f>
        <v>5.3065457214564073</v>
      </c>
      <c r="N42" s="2407">
        <f>'[27]6B'!$I$101</f>
        <v>6.7583827239402154</v>
      </c>
      <c r="O42" s="2407">
        <f>'[27]6B'!$M$101</f>
        <v>5.5038324402662324</v>
      </c>
      <c r="P42" s="1811">
        <f>'[27]6B'!$Q$101</f>
        <v>5.1137210016018972</v>
      </c>
      <c r="Q42" s="2407">
        <f>'[27]6B'!$S$101</f>
        <v>5.0994446639349622</v>
      </c>
      <c r="R42" s="2407">
        <f>'[27]6B'!$T$101</f>
        <v>5.3995217913437923</v>
      </c>
      <c r="S42" s="1811">
        <f>'[27]6B'!$R$101</f>
        <v>19.398732102766363</v>
      </c>
    </row>
    <row r="43" spans="1:19" ht="15.75" customHeight="1">
      <c r="A43" s="738"/>
      <c r="B43" s="739" t="s">
        <v>427</v>
      </c>
      <c r="C43" s="2406">
        <f>'[28]6B'!$B$17</f>
        <v>6.4814201563200322E-2</v>
      </c>
      <c r="D43" s="2407">
        <f>'[28]6B'!$C$20</f>
        <v>1.9917946435688325</v>
      </c>
      <c r="E43" s="2407">
        <f>'[28]6B'!$D$20</f>
        <v>2.5720260592019737</v>
      </c>
      <c r="F43" s="2407">
        <f>'[28]6B'!$E$20</f>
        <v>2.7256404834306815</v>
      </c>
      <c r="G43" s="2408">
        <f>'[28]6B'!$E$61</f>
        <v>7.4674272207607908</v>
      </c>
      <c r="H43" s="2408">
        <f>'[28]6B'!$I$61</f>
        <v>4.0956258201112741</v>
      </c>
      <c r="I43" s="2407">
        <f>'[28]6B'!$M$61</f>
        <v>6.9216986531949303</v>
      </c>
      <c r="J43" s="2407">
        <f>'[28]6B'!$Q$61</f>
        <v>6.9295477551333304</v>
      </c>
      <c r="K43" s="2406">
        <f>'[28]6B'!$S$61</f>
        <v>6.408576124798933</v>
      </c>
      <c r="L43" s="2406">
        <f>'[28]6B'!$T$61</f>
        <v>6.6221992686712747</v>
      </c>
      <c r="M43" s="1811">
        <f>'[28]6B'!$E$101</f>
        <v>4.8717464923463059</v>
      </c>
      <c r="N43" s="2407">
        <f>'[28]6B'!$I$101</f>
        <v>4.9820058732963464</v>
      </c>
      <c r="O43" s="2407">
        <f>'[28]6B'!$M$101</f>
        <v>5.487847121342174</v>
      </c>
      <c r="P43" s="1811">
        <f>'[28]6B'!$Q$101</f>
        <v>4.8048374529436142</v>
      </c>
      <c r="Q43" s="2407">
        <f>'[28]6B'!$S$101</f>
        <v>5.3067489000751573</v>
      </c>
      <c r="R43" s="2407">
        <f>'[28]6B'!$T$101</f>
        <v>5.2444235808297881</v>
      </c>
      <c r="S43" s="1811">
        <f>'[28]6B'!$R$101</f>
        <v>18.639447135392828</v>
      </c>
    </row>
    <row r="44" spans="1:19" s="662" customFormat="1" ht="20.25" customHeight="1">
      <c r="A44" s="1262" t="s">
        <v>607</v>
      </c>
      <c r="B44" s="1262"/>
      <c r="C44" s="1262"/>
      <c r="D44" s="1262"/>
      <c r="E44" s="1262"/>
      <c r="F44" s="1262"/>
      <c r="G44" s="1262"/>
      <c r="H44" s="1262"/>
      <c r="I44" s="1262"/>
      <c r="J44" s="1262"/>
      <c r="K44" s="1262"/>
      <c r="L44" s="1262"/>
      <c r="M44" s="1262"/>
      <c r="N44" s="1262"/>
      <c r="O44" s="1262"/>
      <c r="P44" s="1262"/>
      <c r="Q44" s="1262"/>
      <c r="R44" s="1262"/>
      <c r="S44" s="1263" t="s">
        <v>608</v>
      </c>
    </row>
    <row r="45" spans="1:19" s="372" customFormat="1" ht="14.25" customHeight="1">
      <c r="A45" s="372" t="s">
        <v>609</v>
      </c>
      <c r="L45" s="483"/>
      <c r="M45" s="483"/>
      <c r="S45" s="371" t="s">
        <v>610</v>
      </c>
    </row>
    <row r="46" spans="1:19" s="372" customFormat="1" ht="14.25" customHeight="1">
      <c r="A46" s="372" t="s">
        <v>611</v>
      </c>
      <c r="I46" s="740"/>
      <c r="J46" s="740"/>
      <c r="K46" s="740"/>
      <c r="L46" s="741"/>
      <c r="M46" s="483"/>
      <c r="S46" s="371" t="s">
        <v>612</v>
      </c>
    </row>
    <row r="47" spans="1:19" s="715" customFormat="1">
      <c r="A47" s="152"/>
      <c r="H47" s="712"/>
      <c r="I47" s="712"/>
      <c r="J47" s="712"/>
      <c r="K47" s="712"/>
      <c r="L47" s="713"/>
      <c r="M47" s="712"/>
      <c r="N47" s="712"/>
      <c r="O47" s="712"/>
      <c r="S47" s="2338"/>
    </row>
    <row r="48" spans="1:19" s="715" customFormat="1">
      <c r="A48" s="152"/>
      <c r="H48" s="712"/>
      <c r="I48" s="712"/>
      <c r="J48" s="712"/>
      <c r="K48" s="712"/>
      <c r="L48" s="713"/>
      <c r="M48" s="712"/>
      <c r="N48" s="712"/>
      <c r="O48" s="712"/>
      <c r="S48" s="2338"/>
    </row>
    <row r="49" spans="1:19">
      <c r="A49" s="686" t="s">
        <v>678</v>
      </c>
      <c r="B49" s="686"/>
      <c r="C49" s="686"/>
      <c r="D49" s="686"/>
      <c r="E49" s="686"/>
      <c r="F49" s="686"/>
      <c r="G49" s="686"/>
      <c r="H49" s="686"/>
      <c r="I49" s="686"/>
      <c r="J49" s="686"/>
      <c r="K49" s="686"/>
      <c r="L49" s="686"/>
      <c r="M49" s="686"/>
      <c r="N49" s="686"/>
      <c r="O49" s="686"/>
      <c r="P49" s="686"/>
      <c r="Q49" s="686"/>
      <c r="R49" s="686"/>
      <c r="S49" s="686"/>
    </row>
    <row r="50" spans="1:19" ht="14.9" customHeight="1">
      <c r="C50" s="742"/>
      <c r="D50" s="742"/>
      <c r="E50" s="742"/>
      <c r="F50" s="742"/>
      <c r="G50" s="742"/>
      <c r="H50" s="742"/>
      <c r="I50" s="742"/>
      <c r="J50" s="742"/>
      <c r="K50" s="742"/>
      <c r="L50" s="742"/>
      <c r="M50" s="742"/>
      <c r="N50" s="742"/>
      <c r="O50" s="742"/>
      <c r="P50" s="742"/>
      <c r="Q50" s="742"/>
      <c r="R50" s="742"/>
      <c r="S50" s="742"/>
    </row>
    <row r="51" spans="1:19" ht="14.9" customHeight="1">
      <c r="G51" s="742"/>
      <c r="H51" s="742"/>
      <c r="I51" s="742"/>
      <c r="J51" s="742"/>
      <c r="K51" s="742"/>
      <c r="L51" s="742"/>
      <c r="M51" s="742"/>
      <c r="N51" s="742"/>
      <c r="O51" s="742"/>
      <c r="P51" s="742"/>
      <c r="Q51" s="742"/>
      <c r="R51" s="742"/>
      <c r="S51" s="742"/>
    </row>
    <row r="52" spans="1:19" ht="14.9" customHeight="1"/>
  </sheetData>
  <mergeCells count="1">
    <mergeCell ref="A9:B11"/>
  </mergeCells>
  <printOptions horizontalCentered="1" verticalCentered="1"/>
  <pageMargins left="0" right="0" top="0" bottom="0" header="0.3" footer="0.3"/>
  <pageSetup paperSize="9" scale="6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4"/>
  <sheetViews>
    <sheetView zoomScale="70" zoomScaleNormal="70" workbookViewId="0">
      <pane ySplit="8" topLeftCell="A9" activePane="bottomLeft" state="frozen"/>
      <selection activeCell="B9" sqref="B9"/>
      <selection pane="bottomLeft" activeCell="B15" sqref="B15"/>
    </sheetView>
  </sheetViews>
  <sheetFormatPr defaultColWidth="9.1796875" defaultRowHeight="15.5"/>
  <cols>
    <col min="1" max="1" width="38.7265625" style="1061" customWidth="1"/>
    <col min="2" max="3" width="16.7265625" style="1061" customWidth="1"/>
    <col min="4" max="4" width="14.26953125" style="1061" customWidth="1"/>
    <col min="5" max="5" width="13.453125" style="1061" customWidth="1"/>
    <col min="6" max="6" width="14.1796875" style="1061" customWidth="1"/>
    <col min="7" max="7" width="14.453125" style="1061" customWidth="1"/>
    <col min="8" max="8" width="14.7265625" style="1061" customWidth="1"/>
    <col min="9" max="9" width="10.7265625" style="1061" customWidth="1"/>
    <col min="10" max="10" width="12.453125" style="1061" customWidth="1"/>
    <col min="11" max="11" width="15.7265625" style="1061" customWidth="1"/>
    <col min="12" max="14" width="10.7265625" style="1061" customWidth="1"/>
    <col min="15" max="15" width="32.81640625" style="1061" customWidth="1"/>
    <col min="16" max="16384" width="9.1796875" style="1061"/>
  </cols>
  <sheetData>
    <row r="1" spans="1:16" s="1094" customFormat="1" ht="18">
      <c r="A1" s="1091" t="s">
        <v>679</v>
      </c>
      <c r="B1" s="1092"/>
      <c r="C1" s="1092"/>
      <c r="D1" s="1092"/>
      <c r="E1" s="1092"/>
      <c r="F1" s="1092"/>
      <c r="G1" s="1092"/>
      <c r="H1" s="1092"/>
      <c r="I1" s="1092"/>
      <c r="J1" s="1092"/>
      <c r="K1" s="1092"/>
      <c r="L1" s="1092"/>
      <c r="M1" s="1092"/>
      <c r="N1" s="1092"/>
      <c r="O1" s="1092"/>
    </row>
    <row r="2" spans="1:16" s="1096" customFormat="1" ht="21.75" customHeight="1">
      <c r="A2" s="1077" t="s">
        <v>1794</v>
      </c>
      <c r="B2" s="1097"/>
      <c r="C2" s="1097"/>
      <c r="D2" s="1097"/>
      <c r="E2" s="1097"/>
      <c r="F2" s="1097"/>
      <c r="G2" s="1097"/>
      <c r="H2" s="1097"/>
      <c r="I2" s="1097"/>
      <c r="J2" s="1097"/>
      <c r="K2" s="1097"/>
      <c r="L2" s="1097"/>
      <c r="M2" s="1097"/>
      <c r="N2" s="1097"/>
      <c r="O2" s="1097"/>
    </row>
    <row r="3" spans="1:16" s="1094" customFormat="1" ht="18">
      <c r="A3" s="1091" t="s">
        <v>1793</v>
      </c>
      <c r="B3" s="1092"/>
      <c r="C3" s="1092"/>
      <c r="D3" s="1092"/>
      <c r="E3" s="1092"/>
      <c r="F3" s="1092"/>
      <c r="G3" s="1092"/>
      <c r="H3" s="1092"/>
      <c r="I3" s="1092"/>
      <c r="J3" s="1092"/>
      <c r="K3" s="1092"/>
      <c r="L3" s="1092"/>
      <c r="M3" s="1092"/>
      <c r="N3" s="1092"/>
      <c r="O3" s="1092"/>
    </row>
    <row r="4" spans="1:16" s="1094" customFormat="1" ht="14.25" customHeight="1">
      <c r="A4" s="1369" t="s">
        <v>566</v>
      </c>
      <c r="B4" s="1093"/>
      <c r="C4" s="1093"/>
      <c r="D4" s="1093"/>
      <c r="E4" s="1093"/>
      <c r="F4" s="1093"/>
      <c r="O4" s="1370" t="s">
        <v>567</v>
      </c>
    </row>
    <row r="5" spans="1:16" s="1196" customFormat="1" ht="23.9" customHeight="1">
      <c r="A5" s="2612" t="s">
        <v>413</v>
      </c>
      <c r="B5" s="1371" t="s">
        <v>617</v>
      </c>
      <c r="C5" s="1190"/>
      <c r="D5" s="1372"/>
      <c r="E5" s="1372"/>
      <c r="F5" s="1190"/>
      <c r="G5" s="1373" t="s">
        <v>618</v>
      </c>
      <c r="H5" s="1371" t="s">
        <v>619</v>
      </c>
      <c r="I5" s="1374"/>
      <c r="J5" s="1374"/>
      <c r="K5" s="1198"/>
      <c r="L5" s="1375"/>
      <c r="M5" s="1375"/>
      <c r="N5" s="1373" t="s">
        <v>620</v>
      </c>
      <c r="O5" s="2615" t="s">
        <v>441</v>
      </c>
    </row>
    <row r="6" spans="1:16" s="1383" customFormat="1" ht="20.25" customHeight="1">
      <c r="A6" s="2613"/>
      <c r="B6" s="1376"/>
      <c r="C6" s="1377"/>
      <c r="D6" s="1377"/>
      <c r="E6" s="1377"/>
      <c r="F6" s="1378"/>
      <c r="G6" s="1379"/>
      <c r="H6" s="1380" t="s">
        <v>575</v>
      </c>
      <c r="I6" s="1381"/>
      <c r="J6" s="1381"/>
      <c r="K6" s="1382" t="s">
        <v>576</v>
      </c>
      <c r="L6" s="1396"/>
      <c r="N6" s="1384"/>
      <c r="O6" s="2616"/>
    </row>
    <row r="7" spans="1:16" s="1383" customFormat="1" ht="31">
      <c r="A7" s="2613"/>
      <c r="B7" s="1385" t="s">
        <v>581</v>
      </c>
      <c r="C7" s="1386" t="s">
        <v>582</v>
      </c>
      <c r="D7" s="1386" t="s">
        <v>583</v>
      </c>
      <c r="E7" s="1386" t="s">
        <v>399</v>
      </c>
      <c r="F7" s="1386" t="s">
        <v>390</v>
      </c>
      <c r="G7" s="1386" t="s">
        <v>621</v>
      </c>
      <c r="H7" s="1379" t="s">
        <v>586</v>
      </c>
      <c r="I7" s="1386" t="s">
        <v>587</v>
      </c>
      <c r="J7" s="1386" t="s">
        <v>588</v>
      </c>
      <c r="K7" s="1386" t="s">
        <v>589</v>
      </c>
      <c r="L7" s="1386" t="s">
        <v>399</v>
      </c>
      <c r="M7" s="1386" t="s">
        <v>390</v>
      </c>
      <c r="N7" s="1386" t="s">
        <v>590</v>
      </c>
      <c r="O7" s="2616"/>
    </row>
    <row r="8" spans="1:16" s="1383" customFormat="1" ht="46.5">
      <c r="A8" s="2614"/>
      <c r="B8" s="1387" t="s">
        <v>594</v>
      </c>
      <c r="C8" s="1387" t="s">
        <v>595</v>
      </c>
      <c r="D8" s="1387" t="s">
        <v>596</v>
      </c>
      <c r="E8" s="1387" t="s">
        <v>597</v>
      </c>
      <c r="F8" s="1387" t="s">
        <v>622</v>
      </c>
      <c r="G8" s="1387" t="s">
        <v>623</v>
      </c>
      <c r="H8" s="1387" t="s">
        <v>600</v>
      </c>
      <c r="I8" s="1387" t="s">
        <v>601</v>
      </c>
      <c r="J8" s="1387" t="s">
        <v>602</v>
      </c>
      <c r="K8" s="1387" t="s">
        <v>603</v>
      </c>
      <c r="L8" s="1387" t="s">
        <v>624</v>
      </c>
      <c r="M8" s="1387" t="s">
        <v>400</v>
      </c>
      <c r="N8" s="1387" t="s">
        <v>605</v>
      </c>
      <c r="O8" s="2617"/>
      <c r="P8" s="1388"/>
    </row>
    <row r="9" spans="1:16" ht="33.75" customHeight="1">
      <c r="A9" s="1391" t="s">
        <v>680</v>
      </c>
      <c r="B9" s="2162">
        <v>7.5274575733662186</v>
      </c>
      <c r="C9" s="1231">
        <v>8.075719345523753</v>
      </c>
      <c r="D9" s="2162">
        <v>8.1365147316823236</v>
      </c>
      <c r="E9" s="2162">
        <v>5.5296213589044694</v>
      </c>
      <c r="F9" s="2162">
        <v>6.3341332693821544</v>
      </c>
      <c r="G9" s="2162" t="s">
        <v>606</v>
      </c>
      <c r="H9" s="2162">
        <v>5.2269619441769919</v>
      </c>
      <c r="I9" s="2162" t="s">
        <v>606</v>
      </c>
      <c r="J9" s="2162" t="s">
        <v>606</v>
      </c>
      <c r="K9" s="2162">
        <v>4.7126124641473153</v>
      </c>
      <c r="L9" s="2162" t="s">
        <v>606</v>
      </c>
      <c r="M9" s="2162">
        <v>10.786100183651504</v>
      </c>
      <c r="N9" s="2162">
        <v>19.5</v>
      </c>
      <c r="O9" s="1390" t="s">
        <v>681</v>
      </c>
    </row>
    <row r="10" spans="1:16" ht="21" customHeight="1">
      <c r="A10" s="1391" t="s">
        <v>682</v>
      </c>
      <c r="B10" s="2162">
        <v>7.3857117669660699</v>
      </c>
      <c r="C10" s="2162">
        <v>4.0372829823944514</v>
      </c>
      <c r="D10" s="2162">
        <v>5.3668176718504244</v>
      </c>
      <c r="E10" s="2162">
        <v>7.2830414387943092</v>
      </c>
      <c r="F10" s="2162">
        <v>5.2907143112113006</v>
      </c>
      <c r="G10" s="2162" t="s">
        <v>606</v>
      </c>
      <c r="H10" s="2162">
        <v>5.008376211601635</v>
      </c>
      <c r="I10" s="2162">
        <v>4.5187822636517803</v>
      </c>
      <c r="J10" s="2162">
        <v>5.4644204368624933</v>
      </c>
      <c r="K10" s="2162">
        <v>4.2640570475925808</v>
      </c>
      <c r="L10" s="2162">
        <v>5.2776154212536159</v>
      </c>
      <c r="M10" s="2162">
        <v>5.1123481765715484</v>
      </c>
      <c r="N10" s="2162">
        <v>17.344865458529839</v>
      </c>
      <c r="O10" s="1390" t="s">
        <v>683</v>
      </c>
    </row>
    <row r="11" spans="1:16" ht="21" customHeight="1">
      <c r="A11" s="1389" t="s">
        <v>684</v>
      </c>
      <c r="B11" s="2162">
        <v>7.5</v>
      </c>
      <c r="C11" s="2162">
        <v>7.8181534002708073</v>
      </c>
      <c r="D11" s="2162">
        <v>8.0502119848813454</v>
      </c>
      <c r="E11" s="2162">
        <v>6.531180382541371</v>
      </c>
      <c r="F11" s="2162">
        <v>6.7392334972511341</v>
      </c>
      <c r="G11" s="2162">
        <v>7.2857142857142856</v>
      </c>
      <c r="H11" s="2162">
        <v>5.7007886837691863</v>
      </c>
      <c r="I11" s="2162">
        <v>4.7032868143398421</v>
      </c>
      <c r="J11" s="2162">
        <v>3.9250519586935169</v>
      </c>
      <c r="K11" s="2162">
        <v>4.8010993048984441</v>
      </c>
      <c r="L11" s="2162" t="s">
        <v>606</v>
      </c>
      <c r="M11" s="2162">
        <v>5.5064668299285628</v>
      </c>
      <c r="N11" s="2162">
        <v>19.5</v>
      </c>
      <c r="O11" s="1390" t="s">
        <v>685</v>
      </c>
    </row>
    <row r="12" spans="1:16" ht="21.25" customHeight="1">
      <c r="A12" s="1389" t="s">
        <v>686</v>
      </c>
      <c r="B12" s="2162">
        <v>7.5</v>
      </c>
      <c r="C12" s="2162">
        <v>7.5</v>
      </c>
      <c r="D12" s="2162">
        <v>7.2159504734158775</v>
      </c>
      <c r="E12" s="2162">
        <v>7.4431203037892866</v>
      </c>
      <c r="F12" s="2162">
        <v>7.4305661335364297</v>
      </c>
      <c r="G12" s="2162" t="s">
        <v>606</v>
      </c>
      <c r="H12" s="2162" t="s">
        <v>606</v>
      </c>
      <c r="I12" s="2162" t="s">
        <v>606</v>
      </c>
      <c r="J12" s="2162" t="s">
        <v>606</v>
      </c>
      <c r="K12" s="2162" t="s">
        <v>606</v>
      </c>
      <c r="L12" s="2162" t="s">
        <v>606</v>
      </c>
      <c r="M12" s="2162" t="s">
        <v>606</v>
      </c>
      <c r="N12" s="2162" t="s">
        <v>606</v>
      </c>
      <c r="O12" s="1390" t="s">
        <v>687</v>
      </c>
    </row>
    <row r="13" spans="1:16" ht="21.25" customHeight="1">
      <c r="A13" s="1389" t="s">
        <v>688</v>
      </c>
      <c r="B13" s="2162" t="s">
        <v>606</v>
      </c>
      <c r="C13" s="2162" t="s">
        <v>606</v>
      </c>
      <c r="D13" s="2162">
        <v>6.9938505037998215</v>
      </c>
      <c r="E13" s="2162">
        <v>7.1425203421492993</v>
      </c>
      <c r="F13" s="2162">
        <v>7.1376299625533042</v>
      </c>
      <c r="G13" s="2162">
        <v>7.066100228121373</v>
      </c>
      <c r="H13" s="2162">
        <v>4.7617714316058146</v>
      </c>
      <c r="I13" s="2162">
        <v>4.5</v>
      </c>
      <c r="J13" s="2162">
        <v>5.706432576122471</v>
      </c>
      <c r="K13" s="2162">
        <v>5.0185982624454333</v>
      </c>
      <c r="L13" s="2162" t="s">
        <v>606</v>
      </c>
      <c r="M13" s="2162">
        <v>5.2829468442024732</v>
      </c>
      <c r="N13" s="2162">
        <v>11.5</v>
      </c>
      <c r="O13" s="1390" t="s">
        <v>689</v>
      </c>
    </row>
    <row r="14" spans="1:16" ht="21.25" customHeight="1">
      <c r="A14" s="1389" t="s">
        <v>690</v>
      </c>
      <c r="B14" s="2162">
        <v>8.5</v>
      </c>
      <c r="C14" s="2162">
        <v>6.8163298920149868</v>
      </c>
      <c r="D14" s="2162">
        <v>7.1279812727254761</v>
      </c>
      <c r="E14" s="2162">
        <v>7.1600894274671187</v>
      </c>
      <c r="F14" s="2162">
        <v>7.19944115796324</v>
      </c>
      <c r="G14" s="2162">
        <v>8.4778376759508838</v>
      </c>
      <c r="H14" s="2162">
        <v>4.3873260299519217</v>
      </c>
      <c r="I14" s="2162">
        <v>6.9961344237386598</v>
      </c>
      <c r="J14" s="2162" t="s">
        <v>606</v>
      </c>
      <c r="K14" s="2162">
        <v>5.2594357690089044</v>
      </c>
      <c r="L14" s="2162">
        <v>9.1950412000950461</v>
      </c>
      <c r="M14" s="2162">
        <v>5.0402128785858338</v>
      </c>
      <c r="N14" s="2162">
        <v>8.6651442567524928</v>
      </c>
      <c r="O14" s="1390" t="s">
        <v>691</v>
      </c>
    </row>
    <row r="15" spans="1:16" s="1394" customFormat="1" ht="30.25" customHeight="1">
      <c r="A15" s="1392" t="s">
        <v>663</v>
      </c>
      <c r="B15" s="2305">
        <v>7.4674272207607908</v>
      </c>
      <c r="C15" s="2305">
        <v>4.0956258201112741</v>
      </c>
      <c r="D15" s="2305">
        <v>6.9216986531949303</v>
      </c>
      <c r="E15" s="2305">
        <v>6.9295477551333304</v>
      </c>
      <c r="F15" s="2305">
        <v>6.408576124798933</v>
      </c>
      <c r="G15" s="2305">
        <v>7.4596351461749419</v>
      </c>
      <c r="H15" s="2305">
        <v>4.8717464923463059</v>
      </c>
      <c r="I15" s="2305">
        <v>4.9820058732963464</v>
      </c>
      <c r="J15" s="2305">
        <v>5.487847121342174</v>
      </c>
      <c r="K15" s="2305">
        <v>4.8048374529436142</v>
      </c>
      <c r="L15" s="2305">
        <v>5.3067489000751573</v>
      </c>
      <c r="M15" s="2305">
        <v>5.2444235808297881</v>
      </c>
      <c r="N15" s="2305">
        <v>18.639447135392828</v>
      </c>
      <c r="O15" s="1393" t="s">
        <v>664</v>
      </c>
    </row>
    <row r="16" spans="1:16" s="662" customFormat="1" ht="20.25" customHeight="1">
      <c r="A16" s="1262" t="s">
        <v>692</v>
      </c>
      <c r="B16" s="1262"/>
      <c r="C16" s="1262"/>
      <c r="D16" s="1262"/>
      <c r="E16" s="1262"/>
      <c r="F16" s="1262"/>
      <c r="G16" s="1262"/>
      <c r="H16" s="1262"/>
      <c r="I16" s="1262"/>
      <c r="J16" s="1262"/>
      <c r="K16" s="1262"/>
      <c r="L16" s="1262"/>
      <c r="M16" s="1262"/>
      <c r="N16" s="1262"/>
      <c r="O16" s="1263" t="s">
        <v>693</v>
      </c>
    </row>
    <row r="17" spans="1:15" s="662" customFormat="1" ht="14.25" customHeight="1">
      <c r="A17" s="662" t="s">
        <v>667</v>
      </c>
      <c r="O17" s="1264" t="s">
        <v>694</v>
      </c>
    </row>
    <row r="18" spans="1:15" s="662" customFormat="1" ht="14.25" customHeight="1">
      <c r="A18" s="662" t="s">
        <v>669</v>
      </c>
      <c r="F18" s="889"/>
      <c r="G18" s="889"/>
      <c r="O18" s="1264" t="s">
        <v>670</v>
      </c>
    </row>
    <row r="19" spans="1:15" s="662" customFormat="1" ht="14">
      <c r="A19" s="662" t="s">
        <v>671</v>
      </c>
      <c r="O19" s="1264" t="s">
        <v>672</v>
      </c>
    </row>
    <row r="20" spans="1:15" s="662" customFormat="1" ht="14.25" customHeight="1">
      <c r="A20" s="662" t="s">
        <v>673</v>
      </c>
      <c r="D20" s="1069"/>
      <c r="E20" s="1069"/>
      <c r="F20" s="1265"/>
      <c r="G20" s="889"/>
      <c r="O20" s="1264" t="s">
        <v>674</v>
      </c>
    </row>
    <row r="21" spans="1:15" s="1094" customFormat="1" ht="13.75" customHeight="1">
      <c r="A21" s="662" t="s">
        <v>695</v>
      </c>
      <c r="B21" s="662"/>
      <c r="C21" s="662"/>
      <c r="D21" s="662"/>
      <c r="E21" s="1368"/>
      <c r="F21" s="1255"/>
      <c r="G21" s="1368"/>
      <c r="H21" s="1368"/>
      <c r="I21" s="1368"/>
      <c r="J21" s="662"/>
      <c r="K21" s="662"/>
      <c r="L21" s="662"/>
      <c r="M21" s="662"/>
      <c r="N21" s="1264"/>
      <c r="O21" s="1397" t="s">
        <v>696</v>
      </c>
    </row>
    <row r="22" spans="1:15">
      <c r="B22" s="1395"/>
      <c r="C22" s="1395"/>
      <c r="D22" s="1395"/>
      <c r="E22" s="1395"/>
      <c r="F22" s="1395"/>
      <c r="G22" s="1395"/>
      <c r="H22" s="1395"/>
      <c r="I22" s="1395"/>
      <c r="J22" s="1395"/>
      <c r="K22" s="1395"/>
      <c r="L22" s="1395"/>
      <c r="M22" s="1395"/>
      <c r="N22" s="1395"/>
    </row>
    <row r="23" spans="1:15">
      <c r="B23" s="1395"/>
      <c r="C23" s="1395"/>
      <c r="D23" s="1395"/>
      <c r="E23" s="1395"/>
      <c r="F23" s="1395"/>
      <c r="G23" s="1395"/>
      <c r="H23" s="1395"/>
      <c r="I23" s="1395"/>
      <c r="J23" s="1395"/>
      <c r="K23" s="1395"/>
      <c r="L23" s="1395"/>
      <c r="M23" s="1395"/>
      <c r="N23" s="1395"/>
    </row>
    <row r="24" spans="1:15" ht="16.5">
      <c r="A24" s="1266" t="s">
        <v>697</v>
      </c>
      <c r="B24" s="1092"/>
      <c r="C24" s="1092"/>
      <c r="D24" s="1092"/>
      <c r="E24" s="1092"/>
      <c r="F24" s="1092"/>
      <c r="G24" s="1092"/>
      <c r="H24" s="1092"/>
      <c r="I24" s="1092"/>
      <c r="J24" s="1092"/>
      <c r="K24" s="1092"/>
      <c r="L24" s="1092"/>
      <c r="M24" s="1092"/>
      <c r="N24" s="1092"/>
      <c r="O24" s="1092"/>
    </row>
  </sheetData>
  <mergeCells count="2">
    <mergeCell ref="A5:A8"/>
    <mergeCell ref="O5:O8"/>
  </mergeCells>
  <printOptions horizontalCentered="1" verticalCentered="1"/>
  <pageMargins left="0" right="0" top="0" bottom="0" header="0.3" footer="0.3"/>
  <pageSetup paperSize="9" scale="5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1"/>
  <dimension ref="A1:G80"/>
  <sheetViews>
    <sheetView zoomScale="79" zoomScaleNormal="79" workbookViewId="0">
      <pane ySplit="11" topLeftCell="A66" activePane="bottomLeft" state="frozen"/>
      <selection activeCell="B9" sqref="B9"/>
      <selection pane="bottomLeft" activeCell="A70" sqref="A70:F75"/>
    </sheetView>
  </sheetViews>
  <sheetFormatPr defaultColWidth="9.1796875" defaultRowHeight="12.5"/>
  <cols>
    <col min="1" max="1" width="18.7265625" style="744" customWidth="1"/>
    <col min="2" max="5" width="17.7265625" style="744" customWidth="1"/>
    <col min="6" max="6" width="22.7265625" style="744" customWidth="1"/>
    <col min="7" max="16384" width="9.1796875" style="744"/>
  </cols>
  <sheetData>
    <row r="1" spans="1:7" s="1100" customFormat="1" ht="18" customHeight="1">
      <c r="A1" s="1098" t="s">
        <v>698</v>
      </c>
      <c r="B1" s="1099"/>
      <c r="C1" s="1099"/>
      <c r="D1" s="1099"/>
      <c r="E1" s="1099"/>
      <c r="F1" s="1099"/>
      <c r="G1" s="2618" t="s">
        <v>699</v>
      </c>
    </row>
    <row r="2" spans="1:7" s="1100" customFormat="1" ht="18">
      <c r="A2" s="1101" t="s">
        <v>27</v>
      </c>
      <c r="B2" s="1099"/>
      <c r="C2" s="1099"/>
      <c r="D2" s="1099"/>
      <c r="E2" s="1099"/>
      <c r="F2" s="1099"/>
      <c r="G2" s="2618"/>
    </row>
    <row r="3" spans="1:7" s="1100" customFormat="1" ht="18">
      <c r="A3" s="1102" t="s">
        <v>26</v>
      </c>
      <c r="B3" s="1099"/>
      <c r="C3" s="1099"/>
      <c r="D3" s="1099"/>
      <c r="E3" s="1099"/>
      <c r="F3" s="1099"/>
      <c r="G3" s="2618"/>
    </row>
    <row r="4" spans="1:7" s="747" customFormat="1" ht="12.75" customHeight="1">
      <c r="A4" s="745"/>
      <c r="B4" s="746"/>
      <c r="C4" s="746"/>
      <c r="D4" s="746"/>
      <c r="E4" s="746"/>
      <c r="F4" s="746"/>
      <c r="G4" s="2618"/>
    </row>
    <row r="5" spans="1:7" ht="15.5">
      <c r="A5" s="748"/>
      <c r="B5" s="749" t="s">
        <v>700</v>
      </c>
      <c r="C5" s="749" t="s">
        <v>342</v>
      </c>
      <c r="D5" s="749" t="s">
        <v>701</v>
      </c>
      <c r="E5" s="749" t="s">
        <v>702</v>
      </c>
      <c r="F5" s="750" t="s">
        <v>290</v>
      </c>
      <c r="G5" s="2618"/>
    </row>
    <row r="6" spans="1:7" ht="15.5">
      <c r="A6" s="751"/>
      <c r="B6" s="752" t="s">
        <v>703</v>
      </c>
      <c r="C6" s="752" t="s">
        <v>704</v>
      </c>
      <c r="D6" s="752" t="s">
        <v>705</v>
      </c>
      <c r="E6" s="752" t="s">
        <v>706</v>
      </c>
      <c r="F6" s="753" t="s">
        <v>707</v>
      </c>
      <c r="G6" s="2618"/>
    </row>
    <row r="7" spans="1:7" ht="15.5">
      <c r="A7" s="751" t="s">
        <v>708</v>
      </c>
      <c r="B7" s="752" t="s">
        <v>709</v>
      </c>
      <c r="C7" s="752" t="s">
        <v>709</v>
      </c>
      <c r="D7" s="752" t="s">
        <v>710</v>
      </c>
      <c r="E7" s="752" t="s">
        <v>711</v>
      </c>
      <c r="F7" s="753" t="s">
        <v>712</v>
      </c>
      <c r="G7" s="2618"/>
    </row>
    <row r="8" spans="1:7" ht="15.5">
      <c r="A8" s="754" t="s">
        <v>713</v>
      </c>
      <c r="B8" s="755" t="s">
        <v>400</v>
      </c>
      <c r="C8" s="755" t="s">
        <v>714</v>
      </c>
      <c r="D8" s="755" t="s">
        <v>715</v>
      </c>
      <c r="E8" s="755" t="s">
        <v>716</v>
      </c>
      <c r="F8" s="756" t="s">
        <v>717</v>
      </c>
      <c r="G8" s="2618"/>
    </row>
    <row r="9" spans="1:7" ht="15.5">
      <c r="A9" s="754" t="s">
        <v>718</v>
      </c>
      <c r="B9" s="755" t="s">
        <v>719</v>
      </c>
      <c r="C9" s="755" t="s">
        <v>720</v>
      </c>
      <c r="D9" s="755" t="s">
        <v>721</v>
      </c>
      <c r="E9" s="755" t="s">
        <v>722</v>
      </c>
      <c r="F9" s="756" t="s">
        <v>723</v>
      </c>
      <c r="G9" s="2618"/>
    </row>
    <row r="10" spans="1:7" ht="15.5">
      <c r="A10" s="754"/>
      <c r="B10" s="755" t="s">
        <v>724</v>
      </c>
      <c r="C10" s="755" t="s">
        <v>725</v>
      </c>
      <c r="D10" s="755" t="s">
        <v>726</v>
      </c>
      <c r="E10" s="755" t="s">
        <v>727</v>
      </c>
      <c r="F10" s="756" t="s">
        <v>728</v>
      </c>
      <c r="G10" s="2618"/>
    </row>
    <row r="11" spans="1:7" s="760" customFormat="1" ht="15.5">
      <c r="A11" s="757"/>
      <c r="B11" s="758" t="s">
        <v>729</v>
      </c>
      <c r="C11" s="758" t="s">
        <v>729</v>
      </c>
      <c r="D11" s="758" t="s">
        <v>730</v>
      </c>
      <c r="E11" s="758" t="s">
        <v>731</v>
      </c>
      <c r="F11" s="759" t="s">
        <v>731</v>
      </c>
      <c r="G11" s="2618"/>
    </row>
    <row r="12" spans="1:7" ht="20.149999999999999" customHeight="1">
      <c r="A12" s="1844" t="s">
        <v>732</v>
      </c>
      <c r="B12" s="1845">
        <v>139.228464</v>
      </c>
      <c r="C12" s="1845">
        <v>70</v>
      </c>
      <c r="D12" s="1846">
        <v>98.703000000000003</v>
      </c>
      <c r="E12" s="1847">
        <v>5.2</v>
      </c>
      <c r="F12" s="1847">
        <v>4.3238000000000003</v>
      </c>
      <c r="G12" s="2618"/>
    </row>
    <row r="13" spans="1:7" ht="13">
      <c r="A13" s="1844" t="s">
        <v>733</v>
      </c>
      <c r="B13" s="1845">
        <v>131.40252899999999</v>
      </c>
      <c r="C13" s="1845">
        <v>70</v>
      </c>
      <c r="D13" s="1846">
        <v>98.710999999999999</v>
      </c>
      <c r="E13" s="1847">
        <v>5.17</v>
      </c>
      <c r="F13" s="1847">
        <v>4.3099999999999996</v>
      </c>
      <c r="G13" s="2618"/>
    </row>
    <row r="14" spans="1:7" ht="12.75" customHeight="1">
      <c r="A14" s="1844" t="s">
        <v>734</v>
      </c>
      <c r="B14" s="1845">
        <v>100</v>
      </c>
      <c r="C14" s="1845">
        <v>100</v>
      </c>
      <c r="D14" s="1846">
        <v>94.936000000000007</v>
      </c>
      <c r="E14" s="1847">
        <v>5.28</v>
      </c>
      <c r="F14" s="1847">
        <v>4.0407000000000002</v>
      </c>
      <c r="G14" s="2618"/>
    </row>
    <row r="15" spans="1:7" ht="12.75" customHeight="1">
      <c r="A15" s="1844" t="s">
        <v>735</v>
      </c>
      <c r="B15" s="1845">
        <v>60.875241000000003</v>
      </c>
      <c r="C15" s="1845">
        <v>35</v>
      </c>
      <c r="D15" s="1846">
        <v>97.363</v>
      </c>
      <c r="E15" s="1847">
        <v>5.36</v>
      </c>
      <c r="F15" s="1847">
        <v>4.2385999999999999</v>
      </c>
      <c r="G15" s="2618"/>
    </row>
    <row r="16" spans="1:7" ht="12.75" customHeight="1">
      <c r="A16" s="1844" t="s">
        <v>736</v>
      </c>
      <c r="B16" s="1845">
        <v>80</v>
      </c>
      <c r="C16" s="1845">
        <v>70</v>
      </c>
      <c r="D16" s="1846">
        <v>98.710999999999999</v>
      </c>
      <c r="E16" s="1847">
        <v>5.17</v>
      </c>
      <c r="F16" s="1847">
        <v>4.3209</v>
      </c>
      <c r="G16" s="2618"/>
    </row>
    <row r="17" spans="1:7" ht="20.25" customHeight="1">
      <c r="A17" s="1844" t="s">
        <v>737</v>
      </c>
      <c r="B17" s="1845">
        <v>89.396146000000002</v>
      </c>
      <c r="C17" s="1845">
        <v>70</v>
      </c>
      <c r="D17" s="1846">
        <v>98.647999999999996</v>
      </c>
      <c r="E17" s="1847">
        <v>5.42</v>
      </c>
      <c r="F17" s="1847">
        <v>4.2906000000000004</v>
      </c>
      <c r="G17" s="2618"/>
    </row>
    <row r="18" spans="1:7" ht="12.75" customHeight="1">
      <c r="A18" s="1844" t="s">
        <v>738</v>
      </c>
      <c r="B18" s="1845">
        <v>100.50918299999999</v>
      </c>
      <c r="C18" s="1845">
        <v>70</v>
      </c>
      <c r="D18" s="1846">
        <v>98.656000000000006</v>
      </c>
      <c r="E18" s="1847">
        <v>5.39</v>
      </c>
      <c r="F18" s="1847">
        <v>4.3175999999999997</v>
      </c>
      <c r="G18" s="2618"/>
    </row>
    <row r="19" spans="1:7" ht="12.75" customHeight="1">
      <c r="A19" s="1844" t="s">
        <v>739</v>
      </c>
      <c r="B19" s="1845">
        <v>100</v>
      </c>
      <c r="C19" s="1845">
        <v>100</v>
      </c>
      <c r="D19" s="1846">
        <v>94.832999999999998</v>
      </c>
      <c r="E19" s="1847">
        <v>5.39</v>
      </c>
      <c r="F19" s="1847">
        <v>3.9762</v>
      </c>
      <c r="G19" s="2618"/>
    </row>
    <row r="20" spans="1:7" ht="12.75" customHeight="1">
      <c r="A20" s="1844" t="s">
        <v>740</v>
      </c>
      <c r="B20" s="1845">
        <v>88.010138999999995</v>
      </c>
      <c r="C20" s="1845">
        <v>70</v>
      </c>
      <c r="D20" s="1846">
        <v>98.650999999999996</v>
      </c>
      <c r="E20" s="1847">
        <v>5.41</v>
      </c>
      <c r="F20" s="1847">
        <v>4.3254999999999999</v>
      </c>
      <c r="G20" s="2618"/>
    </row>
    <row r="21" spans="1:7" ht="12.75" customHeight="1">
      <c r="A21" s="1844" t="s">
        <v>741</v>
      </c>
      <c r="B21" s="1845">
        <v>62.645757000000003</v>
      </c>
      <c r="C21" s="1845">
        <v>35</v>
      </c>
      <c r="D21" s="1846">
        <v>97.332999999999998</v>
      </c>
      <c r="E21" s="1847">
        <v>5.42</v>
      </c>
      <c r="F21" s="1847">
        <v>4.2019000000000002</v>
      </c>
      <c r="G21" s="2618"/>
    </row>
    <row r="22" spans="1:7" ht="12.75" customHeight="1">
      <c r="A22" s="1844" t="s">
        <v>742</v>
      </c>
      <c r="B22" s="1845">
        <v>70</v>
      </c>
      <c r="C22" s="1845">
        <v>70</v>
      </c>
      <c r="D22" s="1846">
        <v>98.613</v>
      </c>
      <c r="E22" s="1847">
        <v>5.56</v>
      </c>
      <c r="F22" s="1847">
        <v>4.3141999999999996</v>
      </c>
      <c r="G22" s="2618"/>
    </row>
    <row r="23" spans="1:7" ht="20.25" customHeight="1">
      <c r="A23" s="1844" t="s">
        <v>743</v>
      </c>
      <c r="B23" s="1845">
        <v>106.26742</v>
      </c>
      <c r="C23" s="1845">
        <v>70</v>
      </c>
      <c r="D23" s="1846">
        <v>98.655000000000001</v>
      </c>
      <c r="E23" s="1847">
        <v>5.39</v>
      </c>
      <c r="F23" s="1847">
        <v>4.3212000000000002</v>
      </c>
      <c r="G23" s="2618"/>
    </row>
    <row r="24" spans="1:7" ht="12.75" customHeight="1">
      <c r="A24" s="1844" t="s">
        <v>744</v>
      </c>
      <c r="B24" s="1845">
        <v>116.57256099999999</v>
      </c>
      <c r="C24" s="1845">
        <v>70</v>
      </c>
      <c r="D24" s="1846">
        <v>98.703999999999994</v>
      </c>
      <c r="E24" s="1847">
        <v>5.2</v>
      </c>
      <c r="F24" s="1847">
        <v>4.1946000000000003</v>
      </c>
      <c r="G24" s="2618"/>
    </row>
    <row r="25" spans="1:7" ht="12.75" customHeight="1">
      <c r="A25" s="1844" t="s">
        <v>745</v>
      </c>
      <c r="B25" s="1845">
        <v>250.28024199999999</v>
      </c>
      <c r="C25" s="1845">
        <v>100</v>
      </c>
      <c r="D25" s="1846">
        <v>95.15</v>
      </c>
      <c r="E25" s="1847">
        <v>5.04</v>
      </c>
      <c r="F25" s="1847">
        <v>3.8222999999999998</v>
      </c>
      <c r="G25" s="2618"/>
    </row>
    <row r="26" spans="1:7" ht="12.75" customHeight="1">
      <c r="A26" s="1844" t="s">
        <v>746</v>
      </c>
      <c r="B26" s="1845">
        <v>129.53598199999999</v>
      </c>
      <c r="C26" s="1845">
        <v>35</v>
      </c>
      <c r="D26" s="1846">
        <v>97.45</v>
      </c>
      <c r="E26" s="1847">
        <v>5.18</v>
      </c>
      <c r="F26" s="1847">
        <v>4.0654000000000003</v>
      </c>
      <c r="G26" s="2618"/>
    </row>
    <row r="27" spans="1:7" ht="12.75" customHeight="1">
      <c r="A27" s="1844" t="s">
        <v>747</v>
      </c>
      <c r="B27" s="1845">
        <v>98.030921000000006</v>
      </c>
      <c r="C27" s="1845">
        <v>70</v>
      </c>
      <c r="D27" s="1846">
        <v>98.71</v>
      </c>
      <c r="E27" s="1847">
        <v>5.17</v>
      </c>
      <c r="F27" s="1847">
        <v>4.2226999999999997</v>
      </c>
      <c r="G27" s="2618"/>
    </row>
    <row r="28" spans="1:7" ht="20.25" customHeight="1">
      <c r="A28" s="1844" t="s">
        <v>748</v>
      </c>
      <c r="B28" s="1845">
        <v>130.108879</v>
      </c>
      <c r="C28" s="1845">
        <v>70</v>
      </c>
      <c r="D28" s="1846">
        <v>98.727999999999994</v>
      </c>
      <c r="E28" s="1847">
        <v>5.0999999999999996</v>
      </c>
      <c r="F28" s="1847">
        <v>4.1711</v>
      </c>
      <c r="G28" s="2618"/>
    </row>
    <row r="29" spans="1:7" ht="12.75" customHeight="1">
      <c r="A29" s="1844" t="s">
        <v>749</v>
      </c>
      <c r="B29" s="1845">
        <v>138.60515100000001</v>
      </c>
      <c r="C29" s="1845">
        <v>70</v>
      </c>
      <c r="D29" s="1846">
        <v>98.751999999999995</v>
      </c>
      <c r="E29" s="1847">
        <v>5</v>
      </c>
      <c r="F29" s="1847">
        <v>4.0206</v>
      </c>
      <c r="G29" s="2618"/>
    </row>
    <row r="30" spans="1:7" ht="12.75" customHeight="1">
      <c r="A30" s="1844" t="s">
        <v>750</v>
      </c>
      <c r="B30" s="1845">
        <v>114.82243</v>
      </c>
      <c r="C30" s="1845">
        <v>100</v>
      </c>
      <c r="D30" s="1846">
        <v>95.224000000000004</v>
      </c>
      <c r="E30" s="1847">
        <v>4.96</v>
      </c>
      <c r="F30" s="1847">
        <v>3.6070000000000002</v>
      </c>
      <c r="G30" s="2618"/>
    </row>
    <row r="31" spans="1:7" ht="12.75" customHeight="1">
      <c r="A31" s="1844" t="s">
        <v>751</v>
      </c>
      <c r="B31" s="1845">
        <v>35</v>
      </c>
      <c r="C31" s="1845">
        <v>35</v>
      </c>
      <c r="D31" s="1846">
        <v>97.436000000000007</v>
      </c>
      <c r="E31" s="1847">
        <v>5.2</v>
      </c>
      <c r="F31" s="1847">
        <v>3.8544999999999998</v>
      </c>
      <c r="G31" s="2618"/>
    </row>
    <row r="32" spans="1:7" ht="12.75" customHeight="1">
      <c r="A32" s="1844" t="s">
        <v>752</v>
      </c>
      <c r="B32" s="1845">
        <v>70</v>
      </c>
      <c r="C32" s="1845">
        <v>70</v>
      </c>
      <c r="D32" s="1846">
        <v>98.759</v>
      </c>
      <c r="E32" s="1847">
        <v>4.97</v>
      </c>
      <c r="F32" s="1847">
        <v>4.0125000000000002</v>
      </c>
      <c r="G32" s="2618"/>
    </row>
    <row r="33" spans="1:7" ht="20.25" customHeight="1">
      <c r="A33" s="1844" t="s">
        <v>753</v>
      </c>
      <c r="B33" s="1845">
        <v>80</v>
      </c>
      <c r="C33" s="1845">
        <v>70</v>
      </c>
      <c r="D33" s="1846">
        <v>98.747</v>
      </c>
      <c r="E33" s="1847">
        <v>5.0199999999999996</v>
      </c>
      <c r="F33" s="1847">
        <v>4.0015000000000001</v>
      </c>
      <c r="G33" s="2618"/>
    </row>
    <row r="34" spans="1:7" ht="12.75" customHeight="1">
      <c r="A34" s="1844" t="s">
        <v>754</v>
      </c>
      <c r="B34" s="1845">
        <v>94.290999999999997</v>
      </c>
      <c r="C34" s="1845">
        <v>70</v>
      </c>
      <c r="D34" s="1846">
        <v>98.751000000000005</v>
      </c>
      <c r="E34" s="1847">
        <v>5</v>
      </c>
      <c r="F34" s="1847">
        <v>3.9045000000000001</v>
      </c>
      <c r="G34" s="2618"/>
    </row>
    <row r="35" spans="1:7" ht="12.75" customHeight="1">
      <c r="A35" s="1844" t="s">
        <v>755</v>
      </c>
      <c r="B35" s="1845">
        <v>105.08</v>
      </c>
      <c r="C35" s="1845">
        <v>100</v>
      </c>
      <c r="D35" s="1846">
        <v>95.168000000000006</v>
      </c>
      <c r="E35" s="1847">
        <v>5.0199999999999996</v>
      </c>
      <c r="F35" s="1847">
        <v>3.5943000000000001</v>
      </c>
      <c r="G35" s="2618"/>
    </row>
    <row r="36" spans="1:7" ht="12.75" customHeight="1">
      <c r="A36" s="1844" t="s">
        <v>756</v>
      </c>
      <c r="B36" s="1845">
        <v>70.5</v>
      </c>
      <c r="C36" s="1845">
        <v>70</v>
      </c>
      <c r="D36" s="1846">
        <v>98.744</v>
      </c>
      <c r="E36" s="1847">
        <v>5.03</v>
      </c>
      <c r="F36" s="1847">
        <v>3.87</v>
      </c>
      <c r="G36" s="2618"/>
    </row>
    <row r="37" spans="1:7" ht="12.75" customHeight="1">
      <c r="A37" s="1844" t="s">
        <v>757</v>
      </c>
      <c r="B37" s="1845">
        <v>70.531999999999996</v>
      </c>
      <c r="C37" s="1845">
        <v>70</v>
      </c>
      <c r="D37" s="1846">
        <v>98.707999999999998</v>
      </c>
      <c r="E37" s="1847">
        <v>5.18</v>
      </c>
      <c r="F37" s="1847">
        <v>3.8593999999999999</v>
      </c>
      <c r="G37" s="2618"/>
    </row>
    <row r="38" spans="1:7" ht="20.149999999999999" customHeight="1">
      <c r="A38" s="1844" t="s">
        <v>1725</v>
      </c>
      <c r="B38" s="1845">
        <v>35</v>
      </c>
      <c r="C38" s="1845">
        <v>35</v>
      </c>
      <c r="D38" s="1846">
        <v>97.4</v>
      </c>
      <c r="E38" s="1847">
        <v>5.28</v>
      </c>
      <c r="F38" s="1847">
        <v>3.7282000000000002</v>
      </c>
      <c r="G38" s="2618"/>
    </row>
    <row r="39" spans="1:7" ht="12.65" customHeight="1">
      <c r="A39" s="1844" t="s">
        <v>1726</v>
      </c>
      <c r="B39" s="1845">
        <v>96.187152999999995</v>
      </c>
      <c r="C39" s="1845">
        <v>70</v>
      </c>
      <c r="D39" s="1846">
        <v>98.748999999999995</v>
      </c>
      <c r="E39" s="1847">
        <v>5.01</v>
      </c>
      <c r="F39" s="1847">
        <v>3.7980999999999998</v>
      </c>
      <c r="G39" s="2618"/>
    </row>
    <row r="40" spans="1:7" ht="12.75" customHeight="1">
      <c r="A40" s="1844" t="s">
        <v>1727</v>
      </c>
      <c r="B40" s="1845">
        <v>75.599999999999994</v>
      </c>
      <c r="C40" s="1845">
        <v>70</v>
      </c>
      <c r="D40" s="1846">
        <v>98.763000000000005</v>
      </c>
      <c r="E40" s="1847">
        <v>4.95</v>
      </c>
      <c r="F40" s="1847">
        <v>3.8748</v>
      </c>
      <c r="G40" s="2618"/>
    </row>
    <row r="41" spans="1:7" ht="12.75" customHeight="1">
      <c r="A41" s="1844" t="s">
        <v>1728</v>
      </c>
      <c r="B41" s="1845">
        <v>150.73289600000001</v>
      </c>
      <c r="C41" s="1845">
        <v>100</v>
      </c>
      <c r="D41" s="1846">
        <v>95.319000000000003</v>
      </c>
      <c r="E41" s="1847">
        <v>4.8600000000000003</v>
      </c>
      <c r="F41" s="1847">
        <v>3.5958000000000001</v>
      </c>
      <c r="G41" s="2618"/>
    </row>
    <row r="42" spans="1:7" ht="12.75" customHeight="1">
      <c r="A42" s="1844" t="s">
        <v>1729</v>
      </c>
      <c r="B42" s="1845">
        <v>67.589515000000006</v>
      </c>
      <c r="C42" s="1845">
        <v>35</v>
      </c>
      <c r="D42" s="1846">
        <v>97.53</v>
      </c>
      <c r="E42" s="1847">
        <v>5.01</v>
      </c>
      <c r="F42" s="1847">
        <v>3.7993000000000001</v>
      </c>
      <c r="G42" s="2618"/>
    </row>
    <row r="43" spans="1:7" ht="12.75" customHeight="1">
      <c r="A43" s="1844" t="s">
        <v>1730</v>
      </c>
      <c r="B43" s="1845">
        <v>100.926429</v>
      </c>
      <c r="C43" s="1845">
        <v>70</v>
      </c>
      <c r="D43" s="1846">
        <v>98.763000000000005</v>
      </c>
      <c r="E43" s="1847">
        <v>4.95</v>
      </c>
      <c r="F43" s="1847">
        <v>3.8786</v>
      </c>
      <c r="G43" s="2618"/>
    </row>
    <row r="44" spans="1:7" ht="20.149999999999999" customHeight="1">
      <c r="A44" s="1844" t="s">
        <v>1732</v>
      </c>
      <c r="B44" s="1845">
        <v>75.437880000000007</v>
      </c>
      <c r="C44" s="1845">
        <v>70</v>
      </c>
      <c r="D44" s="1846">
        <v>98.775999999999996</v>
      </c>
      <c r="E44" s="1847">
        <v>4.9000000000000004</v>
      </c>
      <c r="F44" s="1847">
        <v>3.7873999999999999</v>
      </c>
      <c r="G44" s="2618"/>
    </row>
    <row r="45" spans="1:7" ht="12.65" customHeight="1">
      <c r="A45" s="1844" t="s">
        <v>1733</v>
      </c>
      <c r="B45" s="1845">
        <v>70.5</v>
      </c>
      <c r="C45" s="1845">
        <v>70</v>
      </c>
      <c r="D45" s="1846">
        <v>98.772999999999996</v>
      </c>
      <c r="E45" s="1847">
        <v>4.91</v>
      </c>
      <c r="F45" s="1847">
        <v>3.7063000000000001</v>
      </c>
      <c r="G45" s="2618"/>
    </row>
    <row r="46" spans="1:7" ht="12.75" customHeight="1">
      <c r="A46" s="1844" t="s">
        <v>1734</v>
      </c>
      <c r="B46" s="1845">
        <v>129.76075599999999</v>
      </c>
      <c r="C46" s="1845">
        <v>100</v>
      </c>
      <c r="D46" s="1846">
        <v>95.34</v>
      </c>
      <c r="E46" s="1847">
        <v>4.83</v>
      </c>
      <c r="F46" s="1847">
        <v>3.6019999999999999</v>
      </c>
      <c r="G46" s="2618"/>
    </row>
    <row r="47" spans="1:7" ht="12.75" customHeight="1">
      <c r="A47" s="1844" t="s">
        <v>1735</v>
      </c>
      <c r="B47" s="1845">
        <v>35.5</v>
      </c>
      <c r="C47" s="1845">
        <v>35</v>
      </c>
      <c r="D47" s="1846">
        <v>97.534000000000006</v>
      </c>
      <c r="E47" s="1847">
        <v>5</v>
      </c>
      <c r="F47" s="1847">
        <v>3.6227999999999998</v>
      </c>
      <c r="G47" s="2618"/>
    </row>
    <row r="48" spans="1:7" ht="12.75" customHeight="1">
      <c r="A48" s="1844" t="s">
        <v>1736</v>
      </c>
      <c r="B48" s="1845">
        <v>123.80958099999999</v>
      </c>
      <c r="C48" s="1845">
        <v>70</v>
      </c>
      <c r="D48" s="1846">
        <v>98.790999999999997</v>
      </c>
      <c r="E48" s="1847">
        <v>4.84</v>
      </c>
      <c r="F48" s="1847">
        <v>3.6850000000000001</v>
      </c>
      <c r="G48" s="2618"/>
    </row>
    <row r="49" spans="1:7" ht="12.75" customHeight="1">
      <c r="A49" s="1844" t="s">
        <v>1737</v>
      </c>
      <c r="B49" s="1845">
        <v>99.841132000000002</v>
      </c>
      <c r="C49" s="1845">
        <v>70</v>
      </c>
      <c r="D49" s="1846">
        <v>98.790999999999997</v>
      </c>
      <c r="E49" s="1847">
        <v>4.84</v>
      </c>
      <c r="F49" s="1847">
        <v>3.6856</v>
      </c>
      <c r="G49" s="2618"/>
    </row>
    <row r="50" spans="1:7" ht="20.25" customHeight="1">
      <c r="A50" s="1844" t="s">
        <v>1776</v>
      </c>
      <c r="B50" s="1845">
        <v>91.662685999999994</v>
      </c>
      <c r="C50" s="1845">
        <v>70</v>
      </c>
      <c r="D50" s="1846">
        <v>98.795000000000002</v>
      </c>
      <c r="E50" s="1847">
        <v>4.82</v>
      </c>
      <c r="F50" s="1847">
        <v>3.4449000000000001</v>
      </c>
      <c r="G50" s="2618"/>
    </row>
    <row r="51" spans="1:7" ht="12.75" customHeight="1">
      <c r="A51" s="1844" t="s">
        <v>1777</v>
      </c>
      <c r="B51" s="1845">
        <v>199.15594899999999</v>
      </c>
      <c r="C51" s="1845">
        <v>100</v>
      </c>
      <c r="D51" s="1846">
        <v>98.484999999999999</v>
      </c>
      <c r="E51" s="1847">
        <v>4.68</v>
      </c>
      <c r="F51" s="1847">
        <v>3.4761000000000002</v>
      </c>
      <c r="G51" s="2618"/>
    </row>
    <row r="52" spans="1:7" ht="12.75" customHeight="1">
      <c r="A52" s="1844" t="s">
        <v>1778</v>
      </c>
      <c r="B52" s="1845">
        <v>129.92472000000001</v>
      </c>
      <c r="C52" s="1845">
        <v>70</v>
      </c>
      <c r="D52" s="1846">
        <v>98.8</v>
      </c>
      <c r="E52" s="1847">
        <v>4.8</v>
      </c>
      <c r="F52" s="1847">
        <v>3.6697000000000002</v>
      </c>
      <c r="G52" s="2618"/>
    </row>
    <row r="53" spans="1:7" ht="12.75" customHeight="1">
      <c r="A53" s="1844" t="s">
        <v>1779</v>
      </c>
      <c r="B53" s="1845">
        <v>88.462162000000006</v>
      </c>
      <c r="C53" s="1845">
        <v>35</v>
      </c>
      <c r="D53" s="1846">
        <v>97.634</v>
      </c>
      <c r="E53" s="1847">
        <v>4.79</v>
      </c>
      <c r="F53" s="1847">
        <v>3.6337000000000002</v>
      </c>
      <c r="G53" s="2618"/>
    </row>
    <row r="54" spans="1:7" ht="12.75" customHeight="1">
      <c r="A54" s="1844" t="s">
        <v>1780</v>
      </c>
      <c r="B54" s="1845">
        <v>90.893032000000005</v>
      </c>
      <c r="C54" s="1845">
        <v>70</v>
      </c>
      <c r="D54" s="1846">
        <v>98.796999999999997</v>
      </c>
      <c r="E54" s="1847">
        <v>4.82</v>
      </c>
      <c r="F54" s="1847">
        <v>3.6701000000000001</v>
      </c>
      <c r="G54" s="2618"/>
    </row>
    <row r="55" spans="1:7" ht="20.149999999999999" customHeight="1">
      <c r="A55" s="1844" t="s">
        <v>1771</v>
      </c>
      <c r="B55" s="1845">
        <v>75.75</v>
      </c>
      <c r="C55" s="1845">
        <v>70</v>
      </c>
      <c r="D55" s="1846">
        <v>98.787999999999997</v>
      </c>
      <c r="E55" s="1847">
        <v>4.8499999999999996</v>
      </c>
      <c r="F55" s="1847">
        <v>3.6602000000000001</v>
      </c>
      <c r="G55" s="2618"/>
    </row>
    <row r="56" spans="1:7" ht="12.75" customHeight="1">
      <c r="A56" s="1844" t="s">
        <v>1772</v>
      </c>
      <c r="B56" s="1845">
        <v>81.983514</v>
      </c>
      <c r="C56" s="1845">
        <v>70</v>
      </c>
      <c r="D56" s="1846">
        <v>98.787000000000006</v>
      </c>
      <c r="E56" s="1847">
        <v>4.8600000000000003</v>
      </c>
      <c r="F56" s="1847">
        <v>3.6553</v>
      </c>
      <c r="G56" s="2618"/>
    </row>
    <row r="57" spans="1:7" ht="12.75" customHeight="1">
      <c r="A57" s="1844" t="s">
        <v>1773</v>
      </c>
      <c r="B57" s="1845">
        <v>105</v>
      </c>
      <c r="C57" s="1845">
        <v>100</v>
      </c>
      <c r="D57" s="1846">
        <v>95.534000000000006</v>
      </c>
      <c r="E57" s="1847">
        <v>4.62</v>
      </c>
      <c r="F57" s="1847">
        <v>3.4409000000000001</v>
      </c>
      <c r="G57" s="2618"/>
    </row>
    <row r="58" spans="1:7" ht="12.75" customHeight="1">
      <c r="A58" s="1844" t="s">
        <v>1774</v>
      </c>
      <c r="B58" s="1845">
        <v>35</v>
      </c>
      <c r="C58" s="1845">
        <v>35</v>
      </c>
      <c r="D58" s="1846">
        <v>97.546000000000006</v>
      </c>
      <c r="E58" s="1847">
        <v>4.9800000000000004</v>
      </c>
      <c r="F58" s="1847">
        <v>3.5865</v>
      </c>
      <c r="G58" s="2618"/>
    </row>
    <row r="59" spans="1:7" ht="12.75" customHeight="1">
      <c r="A59" s="1844" t="s">
        <v>1775</v>
      </c>
      <c r="B59" s="1845">
        <v>70</v>
      </c>
      <c r="C59" s="1845">
        <v>70</v>
      </c>
      <c r="D59" s="1846">
        <v>98.771000000000001</v>
      </c>
      <c r="E59" s="1847">
        <v>4.92</v>
      </c>
      <c r="F59" s="1847">
        <v>3.6648000000000001</v>
      </c>
      <c r="G59" s="2618"/>
    </row>
    <row r="60" spans="1:7" ht="20.149999999999999" customHeight="1">
      <c r="A60" s="1844" t="s">
        <v>1766</v>
      </c>
      <c r="B60" s="1845">
        <v>70</v>
      </c>
      <c r="C60" s="1845">
        <v>70</v>
      </c>
      <c r="D60" s="1846">
        <v>98.754000000000005</v>
      </c>
      <c r="E60" s="1847">
        <v>4.99</v>
      </c>
      <c r="F60" s="1847">
        <v>3.6657000000000002</v>
      </c>
      <c r="G60" s="2618"/>
    </row>
    <row r="61" spans="1:7" ht="12.75" customHeight="1">
      <c r="A61" s="1844" t="s">
        <v>1767</v>
      </c>
      <c r="B61" s="1845">
        <v>70.050712000000004</v>
      </c>
      <c r="C61" s="1845">
        <v>70</v>
      </c>
      <c r="D61" s="1846">
        <v>98.736000000000004</v>
      </c>
      <c r="E61" s="1847">
        <v>5.0599999999999996</v>
      </c>
      <c r="F61" s="1847">
        <v>3.6833</v>
      </c>
      <c r="G61" s="2618"/>
    </row>
    <row r="62" spans="1:7" ht="12.75" customHeight="1">
      <c r="A62" s="1844" t="s">
        <v>1768</v>
      </c>
      <c r="B62" s="1845">
        <v>122.021095</v>
      </c>
      <c r="C62" s="1845">
        <v>100</v>
      </c>
      <c r="D62" s="1846">
        <v>95.325000000000003</v>
      </c>
      <c r="E62" s="1847">
        <v>4.8499999999999996</v>
      </c>
      <c r="F62" s="1847">
        <v>3.6322000000000001</v>
      </c>
      <c r="G62" s="2618"/>
    </row>
    <row r="63" spans="1:7" ht="12.75" customHeight="1">
      <c r="A63" s="1844" t="s">
        <v>1769</v>
      </c>
      <c r="B63" s="1845">
        <v>35</v>
      </c>
      <c r="C63" s="1845">
        <v>35</v>
      </c>
      <c r="D63" s="1846">
        <v>97.417000000000002</v>
      </c>
      <c r="E63" s="1847">
        <v>5.24</v>
      </c>
      <c r="F63" s="1847">
        <v>3.6676000000000002</v>
      </c>
      <c r="G63" s="2618"/>
    </row>
    <row r="64" spans="1:7" ht="12.75" customHeight="1">
      <c r="A64" s="1844" t="s">
        <v>1770</v>
      </c>
      <c r="B64" s="1845">
        <v>70</v>
      </c>
      <c r="C64" s="1845">
        <v>70</v>
      </c>
      <c r="D64" s="1846">
        <v>98.665000000000006</v>
      </c>
      <c r="E64" s="1847">
        <v>5.35</v>
      </c>
      <c r="F64" s="1847">
        <v>3.7</v>
      </c>
      <c r="G64" s="2618"/>
    </row>
    <row r="65" spans="1:7" ht="20.149999999999999" customHeight="1">
      <c r="A65" s="1844" t="s">
        <v>1785</v>
      </c>
      <c r="B65" s="1845">
        <v>123.917203</v>
      </c>
      <c r="C65" s="1845">
        <v>70</v>
      </c>
      <c r="D65" s="1846">
        <v>98.676000000000002</v>
      </c>
      <c r="E65" s="1847">
        <v>5.31</v>
      </c>
      <c r="F65" s="1847">
        <v>3.6996000000000002</v>
      </c>
      <c r="G65" s="2618"/>
    </row>
    <row r="66" spans="1:7" ht="12.75" customHeight="1">
      <c r="A66" s="1844" t="s">
        <v>1786</v>
      </c>
      <c r="B66" s="1845">
        <v>164.688794</v>
      </c>
      <c r="C66" s="1845">
        <v>70</v>
      </c>
      <c r="D66" s="1846">
        <v>98.694000000000003</v>
      </c>
      <c r="E66" s="1847">
        <v>5.24</v>
      </c>
      <c r="F66" s="1847">
        <v>3.669</v>
      </c>
      <c r="G66" s="2618"/>
    </row>
    <row r="67" spans="1:7" ht="12.75" customHeight="1">
      <c r="A67" s="1844" t="s">
        <v>1787</v>
      </c>
      <c r="B67" s="1845">
        <v>145.508208</v>
      </c>
      <c r="C67" s="1845">
        <v>100</v>
      </c>
      <c r="D67" s="1846">
        <v>95.073999999999998</v>
      </c>
      <c r="E67" s="1847">
        <v>5.12</v>
      </c>
      <c r="F67" s="1847">
        <v>3.7027000000000001</v>
      </c>
      <c r="G67" s="2618"/>
    </row>
    <row r="68" spans="1:7" ht="12.75" customHeight="1">
      <c r="A68" s="1844" t="s">
        <v>1788</v>
      </c>
      <c r="B68" s="1845">
        <v>98.673371000000003</v>
      </c>
      <c r="C68" s="1845">
        <v>70</v>
      </c>
      <c r="D68" s="1846">
        <v>98.701999999999998</v>
      </c>
      <c r="E68" s="1847">
        <v>5.2</v>
      </c>
      <c r="F68" s="1847">
        <v>3.6720999999999999</v>
      </c>
      <c r="G68" s="2618"/>
    </row>
    <row r="69" spans="1:7" ht="12.75" customHeight="1">
      <c r="A69" s="1844" t="s">
        <v>1789</v>
      </c>
      <c r="B69" s="1845">
        <v>70</v>
      </c>
      <c r="C69" s="1845">
        <v>70</v>
      </c>
      <c r="D69" s="1846">
        <v>98.707999999999998</v>
      </c>
      <c r="E69" s="1847">
        <v>5.18</v>
      </c>
      <c r="F69" s="1847">
        <v>3.6701000000000001</v>
      </c>
      <c r="G69" s="2618"/>
    </row>
    <row r="70" spans="1:7" ht="20.149999999999999" customHeight="1">
      <c r="A70" s="1844" t="s">
        <v>1797</v>
      </c>
      <c r="B70" s="1845">
        <v>35</v>
      </c>
      <c r="C70" s="1845">
        <v>35</v>
      </c>
      <c r="D70" s="1846">
        <v>97.397000000000006</v>
      </c>
      <c r="E70" s="1847">
        <v>5.29</v>
      </c>
      <c r="F70" s="1847">
        <v>3.6686000000000001</v>
      </c>
      <c r="G70" s="2618"/>
    </row>
    <row r="71" spans="1:7" ht="12.75" customHeight="1">
      <c r="A71" s="1844" t="s">
        <v>1798</v>
      </c>
      <c r="B71" s="1845">
        <v>70.150000000000006</v>
      </c>
      <c r="C71" s="1845">
        <v>70</v>
      </c>
      <c r="D71" s="1846">
        <v>98.674000000000007</v>
      </c>
      <c r="E71" s="1847">
        <v>5.32</v>
      </c>
      <c r="F71" s="1847">
        <v>3.6581000000000001</v>
      </c>
      <c r="G71" s="2618"/>
    </row>
    <row r="72" spans="1:7" ht="12.75" customHeight="1">
      <c r="A72" s="1844" t="s">
        <v>1799</v>
      </c>
      <c r="B72" s="1845">
        <v>125.458911</v>
      </c>
      <c r="C72" s="1845">
        <v>70</v>
      </c>
      <c r="D72" s="1846">
        <v>98.683999999999997</v>
      </c>
      <c r="E72" s="1847">
        <v>5.28</v>
      </c>
      <c r="F72" s="1847">
        <v>3.6410999999999998</v>
      </c>
      <c r="G72" s="2618"/>
    </row>
    <row r="73" spans="1:7" ht="12.75" customHeight="1">
      <c r="A73" s="1844" t="s">
        <v>1800</v>
      </c>
      <c r="B73" s="1845">
        <v>110.377</v>
      </c>
      <c r="C73" s="1845">
        <v>100</v>
      </c>
      <c r="D73" s="1846">
        <v>94.924999999999997</v>
      </c>
      <c r="E73" s="1847">
        <v>5.29</v>
      </c>
      <c r="F73" s="1847">
        <v>3.831</v>
      </c>
      <c r="G73" s="2618"/>
    </row>
    <row r="74" spans="1:7" ht="12.75" customHeight="1">
      <c r="A74" s="1844" t="s">
        <v>1801</v>
      </c>
      <c r="B74" s="1845">
        <v>38.049325000000003</v>
      </c>
      <c r="C74" s="1845">
        <v>35</v>
      </c>
      <c r="D74" s="1846">
        <v>97.355000000000004</v>
      </c>
      <c r="E74" s="1847">
        <v>5.37</v>
      </c>
      <c r="F74" s="1847">
        <v>3.6943000000000001</v>
      </c>
      <c r="G74" s="2618"/>
    </row>
    <row r="75" spans="1:7" ht="12.75" customHeight="1">
      <c r="A75" s="1844" t="s">
        <v>1802</v>
      </c>
      <c r="B75" s="1845">
        <v>70.5</v>
      </c>
      <c r="C75" s="1845">
        <v>70</v>
      </c>
      <c r="D75" s="1846">
        <v>98.679000000000002</v>
      </c>
      <c r="E75" s="1847">
        <v>5.3</v>
      </c>
      <c r="F75" s="1847">
        <v>3.6562000000000001</v>
      </c>
      <c r="G75" s="2618"/>
    </row>
    <row r="76" spans="1:7" ht="20.25" customHeight="1">
      <c r="A76" s="2554"/>
      <c r="B76" s="761"/>
      <c r="C76" s="761"/>
      <c r="D76" s="761"/>
      <c r="E76" s="761"/>
      <c r="F76" s="761"/>
    </row>
    <row r="77" spans="1:7" ht="12.75" customHeight="1">
      <c r="A77" s="2508"/>
    </row>
    <row r="78" spans="1:7" ht="12.75" customHeight="1">
      <c r="A78" s="2508"/>
    </row>
    <row r="79" spans="1:7" ht="12.75" customHeight="1">
      <c r="A79" s="2508"/>
    </row>
    <row r="80" spans="1:7" ht="12.75" customHeight="1">
      <c r="A80" s="2508"/>
    </row>
  </sheetData>
  <mergeCells count="1">
    <mergeCell ref="G1:G75"/>
  </mergeCells>
  <printOptions horizontalCentered="1" verticalCentered="1"/>
  <pageMargins left="0.39" right="0" top="0" bottom="0" header="0.3" footer="0"/>
  <pageSetup scale="6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2">
    <tabColor rgb="FFFF0000"/>
  </sheetPr>
  <dimension ref="A1:S50"/>
  <sheetViews>
    <sheetView zoomScale="75" zoomScaleNormal="75" workbookViewId="0">
      <pane xSplit="2" ySplit="12" topLeftCell="C37" activePane="bottomRight" state="frozen"/>
      <selection activeCell="B44" sqref="B44"/>
      <selection pane="topRight" activeCell="B44" sqref="B44"/>
      <selection pane="bottomLeft" activeCell="B44" sqref="B44"/>
      <selection pane="bottomRight" activeCell="Q43" sqref="Q43"/>
    </sheetView>
  </sheetViews>
  <sheetFormatPr defaultColWidth="9.1796875" defaultRowHeight="12.5"/>
  <cols>
    <col min="1" max="2" width="9.7265625" style="18" customWidth="1"/>
    <col min="3" max="8" width="11.7265625" style="18" customWidth="1"/>
    <col min="9" max="9" width="13.7265625" style="18" customWidth="1"/>
    <col min="10" max="15" width="11.7265625" style="18" customWidth="1"/>
    <col min="16" max="17" width="13.81640625" style="18" customWidth="1"/>
    <col min="18" max="18" width="9.26953125" style="18" bestFit="1" customWidth="1"/>
    <col min="19" max="16384" width="9.1796875" style="18"/>
  </cols>
  <sheetData>
    <row r="1" spans="1:19" s="915" customFormat="1" ht="19">
      <c r="A1" s="1311" t="s">
        <v>758</v>
      </c>
      <c r="B1" s="1092"/>
      <c r="C1" s="1114"/>
      <c r="D1" s="1114"/>
      <c r="E1" s="1114"/>
      <c r="F1" s="1114"/>
      <c r="G1" s="1114"/>
      <c r="H1" s="1114"/>
      <c r="I1" s="1114"/>
      <c r="J1" s="1114"/>
      <c r="K1" s="1114"/>
      <c r="L1" s="1114"/>
      <c r="M1" s="1114"/>
      <c r="N1" s="1114"/>
      <c r="O1" s="1114"/>
      <c r="P1" s="1114"/>
      <c r="Q1" s="1114"/>
    </row>
    <row r="2" spans="1:19" s="915" customFormat="1" ht="19">
      <c r="A2" s="1312" t="s">
        <v>29</v>
      </c>
      <c r="B2" s="1092"/>
      <c r="C2" s="1114"/>
      <c r="D2" s="1114"/>
      <c r="E2" s="1114"/>
      <c r="F2" s="1114"/>
      <c r="G2" s="1114"/>
      <c r="H2" s="1114"/>
      <c r="I2" s="1114"/>
      <c r="J2" s="1114"/>
      <c r="K2" s="1114"/>
      <c r="L2" s="1114"/>
      <c r="M2" s="1114"/>
      <c r="N2" s="1114"/>
      <c r="O2" s="1114"/>
      <c r="P2" s="1114"/>
      <c r="Q2" s="1114"/>
    </row>
    <row r="3" spans="1:19" s="915" customFormat="1" ht="19">
      <c r="A3" s="1311" t="s">
        <v>28</v>
      </c>
      <c r="B3" s="1092"/>
      <c r="C3" s="1114"/>
      <c r="D3" s="1114"/>
      <c r="E3" s="1114"/>
      <c r="F3" s="1114"/>
      <c r="G3" s="1114"/>
      <c r="H3" s="1114"/>
      <c r="I3" s="1114"/>
      <c r="J3" s="1114"/>
      <c r="K3" s="1114"/>
      <c r="L3" s="1114"/>
      <c r="M3" s="1114"/>
      <c r="N3" s="1114"/>
      <c r="O3" s="1114"/>
      <c r="P3" s="1114"/>
      <c r="Q3" s="1114"/>
    </row>
    <row r="4" spans="1:19" ht="18" hidden="1" customHeight="1">
      <c r="A4" s="1313"/>
      <c r="B4" s="686"/>
    </row>
    <row r="5" spans="1:19" ht="18" hidden="1" customHeight="1">
      <c r="A5" s="1313"/>
      <c r="B5" s="686"/>
    </row>
    <row r="6" spans="1:19" ht="18" hidden="1" customHeight="1">
      <c r="A6" s="1313"/>
      <c r="B6" s="686"/>
    </row>
    <row r="7" spans="1:19" s="185" customFormat="1" ht="15.5">
      <c r="A7" s="152" t="s">
        <v>377</v>
      </c>
      <c r="B7" s="686"/>
      <c r="P7" s="629"/>
      <c r="Q7" s="1314" t="s">
        <v>378</v>
      </c>
    </row>
    <row r="8" spans="1:19" s="1322" customFormat="1" ht="23.25" customHeight="1">
      <c r="A8" s="1315"/>
      <c r="B8" s="1316"/>
      <c r="C8" s="1317" t="s">
        <v>759</v>
      </c>
      <c r="D8" s="2018"/>
      <c r="E8" s="1318"/>
      <c r="F8" s="1319"/>
      <c r="G8" s="2018"/>
      <c r="H8" s="1319"/>
      <c r="I8" s="1320" t="s">
        <v>760</v>
      </c>
      <c r="J8" s="1317" t="s">
        <v>1754</v>
      </c>
      <c r="K8" s="2018"/>
      <c r="L8" s="1319"/>
      <c r="M8" s="1319"/>
      <c r="N8" s="2018"/>
      <c r="O8" s="1319"/>
      <c r="P8" s="1320" t="s">
        <v>761</v>
      </c>
      <c r="Q8" s="1321"/>
    </row>
    <row r="9" spans="1:19" s="1322" customFormat="1" ht="19.5" customHeight="1">
      <c r="A9" s="1323"/>
      <c r="C9" s="1324" t="s">
        <v>340</v>
      </c>
      <c r="D9" s="1325"/>
      <c r="E9" s="1326"/>
      <c r="F9" s="1324" t="s">
        <v>342</v>
      </c>
      <c r="G9" s="1325"/>
      <c r="H9" s="1326"/>
      <c r="I9" s="2016"/>
      <c r="J9" s="1327" t="s">
        <v>1764</v>
      </c>
      <c r="K9" s="1325"/>
      <c r="L9" s="1326"/>
      <c r="M9" s="1328" t="s">
        <v>344</v>
      </c>
      <c r="N9" s="1325"/>
      <c r="O9" s="1326"/>
      <c r="P9" s="2016"/>
      <c r="Q9" s="2017"/>
    </row>
    <row r="10" spans="1:19" s="1322" customFormat="1" ht="19.5" customHeight="1">
      <c r="A10" s="695" t="s">
        <v>387</v>
      </c>
      <c r="B10" s="696"/>
      <c r="C10" s="1329" t="s">
        <v>1755</v>
      </c>
      <c r="D10" s="1330"/>
      <c r="E10" s="1331"/>
      <c r="F10" s="1329" t="s">
        <v>762</v>
      </c>
      <c r="G10" s="1332"/>
      <c r="H10" s="1331"/>
      <c r="I10" s="1333" t="s">
        <v>763</v>
      </c>
      <c r="J10" s="1334" t="s">
        <v>1757</v>
      </c>
      <c r="K10" s="1335"/>
      <c r="L10" s="1336"/>
      <c r="M10" s="1334" t="s">
        <v>1756</v>
      </c>
      <c r="N10" s="1335"/>
      <c r="O10" s="1336"/>
      <c r="P10" s="1337" t="s">
        <v>763</v>
      </c>
      <c r="Q10" s="1337" t="s">
        <v>390</v>
      </c>
    </row>
    <row r="11" spans="1:19" s="1322" customFormat="1" ht="21.25" customHeight="1">
      <c r="A11" s="1338" t="s">
        <v>395</v>
      </c>
      <c r="B11" s="1339"/>
      <c r="C11" s="2017" t="s">
        <v>764</v>
      </c>
      <c r="D11" s="2017" t="s">
        <v>765</v>
      </c>
      <c r="E11" s="2017" t="s">
        <v>766</v>
      </c>
      <c r="F11" s="2017" t="s">
        <v>764</v>
      </c>
      <c r="G11" s="2017" t="s">
        <v>765</v>
      </c>
      <c r="H11" s="2017" t="s">
        <v>766</v>
      </c>
      <c r="I11" s="2017" t="s">
        <v>767</v>
      </c>
      <c r="J11" s="2017" t="s">
        <v>764</v>
      </c>
      <c r="K11" s="2017" t="s">
        <v>765</v>
      </c>
      <c r="L11" s="2017" t="s">
        <v>766</v>
      </c>
      <c r="M11" s="2017" t="s">
        <v>764</v>
      </c>
      <c r="N11" s="2017" t="s">
        <v>765</v>
      </c>
      <c r="O11" s="2017" t="s">
        <v>766</v>
      </c>
      <c r="P11" s="2017" t="s">
        <v>767</v>
      </c>
      <c r="Q11" s="2017" t="s">
        <v>768</v>
      </c>
    </row>
    <row r="12" spans="1:19" s="1322" customFormat="1" ht="15.5">
      <c r="A12" s="1323"/>
      <c r="B12" s="1340"/>
      <c r="C12" s="2017" t="s">
        <v>769</v>
      </c>
      <c r="D12" s="2014" t="s">
        <v>770</v>
      </c>
      <c r="E12" s="998" t="s">
        <v>771</v>
      </c>
      <c r="F12" s="998" t="s">
        <v>769</v>
      </c>
      <c r="G12" s="2015" t="s">
        <v>770</v>
      </c>
      <c r="H12" s="998" t="s">
        <v>771</v>
      </c>
      <c r="I12" s="1341" t="s">
        <v>771</v>
      </c>
      <c r="J12" s="998" t="s">
        <v>769</v>
      </c>
      <c r="K12" s="2015" t="s">
        <v>770</v>
      </c>
      <c r="L12" s="998" t="s">
        <v>771</v>
      </c>
      <c r="M12" s="998" t="s">
        <v>769</v>
      </c>
      <c r="N12" s="2015" t="s">
        <v>770</v>
      </c>
      <c r="O12" s="998" t="s">
        <v>771</v>
      </c>
      <c r="P12" s="1342" t="s">
        <v>771</v>
      </c>
      <c r="Q12" s="1341"/>
    </row>
    <row r="13" spans="1:19" s="152" customFormat="1" ht="20.25" customHeight="1">
      <c r="A13" s="1343">
        <v>2016</v>
      </c>
      <c r="B13" s="1344"/>
      <c r="C13" s="1345">
        <v>150</v>
      </c>
      <c r="D13" s="1345">
        <v>1386.6</v>
      </c>
      <c r="E13" s="2450">
        <v>5103.6000000000004</v>
      </c>
      <c r="F13" s="1359">
        <v>4020</v>
      </c>
      <c r="G13" s="1358">
        <v>4095</v>
      </c>
      <c r="H13" s="2450">
        <v>1785</v>
      </c>
      <c r="I13" s="1346">
        <v>6888.6</v>
      </c>
      <c r="J13" s="1345">
        <v>512</v>
      </c>
      <c r="K13" s="1345">
        <v>851.56</v>
      </c>
      <c r="L13" s="2450">
        <v>1687.56</v>
      </c>
      <c r="M13" s="1345">
        <v>516</v>
      </c>
      <c r="N13" s="1345">
        <v>516</v>
      </c>
      <c r="O13" s="1345">
        <v>129</v>
      </c>
      <c r="P13" s="2450">
        <v>1816.8</v>
      </c>
      <c r="Q13" s="1347">
        <v>8705.4</v>
      </c>
    </row>
    <row r="14" spans="1:19" s="152" customFormat="1" ht="15.5">
      <c r="A14" s="1348">
        <v>2017</v>
      </c>
      <c r="B14" s="1349"/>
      <c r="C14" s="1350">
        <v>300</v>
      </c>
      <c r="D14" s="1353">
        <v>1622</v>
      </c>
      <c r="E14" s="1353">
        <v>6425.6</v>
      </c>
      <c r="F14" s="1353">
        <v>4130</v>
      </c>
      <c r="G14" s="1353">
        <v>4405</v>
      </c>
      <c r="H14" s="1353">
        <v>2060</v>
      </c>
      <c r="I14" s="1352">
        <v>8485.6</v>
      </c>
      <c r="J14" s="1351">
        <v>472</v>
      </c>
      <c r="K14" s="1351">
        <v>756.6</v>
      </c>
      <c r="L14" s="1354">
        <v>1972.1599999999999</v>
      </c>
      <c r="M14" s="1351">
        <v>516</v>
      </c>
      <c r="N14" s="1351">
        <v>516</v>
      </c>
      <c r="O14" s="1351">
        <v>129</v>
      </c>
      <c r="P14" s="1353">
        <v>2101.4</v>
      </c>
      <c r="Q14" s="1353">
        <v>10587</v>
      </c>
    </row>
    <row r="15" spans="1:19" s="514" customFormat="1" ht="16.5" customHeight="1">
      <c r="A15" s="1355">
        <v>2018</v>
      </c>
      <c r="B15" s="1356"/>
      <c r="C15" s="1357">
        <v>100</v>
      </c>
      <c r="D15" s="1357">
        <v>638</v>
      </c>
      <c r="E15" s="1353">
        <v>6963.6</v>
      </c>
      <c r="F15" s="1359">
        <v>4370</v>
      </c>
      <c r="G15" s="1358">
        <v>4420</v>
      </c>
      <c r="H15" s="1358">
        <v>2110</v>
      </c>
      <c r="I15" s="1358">
        <v>9073.6</v>
      </c>
      <c r="J15" s="1357">
        <v>694</v>
      </c>
      <c r="K15" s="1357">
        <v>976</v>
      </c>
      <c r="L15" s="1358">
        <v>2254.16</v>
      </c>
      <c r="M15" s="1358">
        <v>516</v>
      </c>
      <c r="N15" s="1357">
        <v>516</v>
      </c>
      <c r="O15" s="1357">
        <v>129</v>
      </c>
      <c r="P15" s="1358">
        <v>2383.4</v>
      </c>
      <c r="Q15" s="1358">
        <v>11457</v>
      </c>
      <c r="S15" s="152"/>
    </row>
    <row r="16" spans="1:19" s="514" customFormat="1" ht="16.5" customHeight="1">
      <c r="A16" s="1355">
        <v>2019</v>
      </c>
      <c r="B16" s="1356"/>
      <c r="C16" s="1357">
        <v>485</v>
      </c>
      <c r="D16" s="1357">
        <v>861</v>
      </c>
      <c r="E16" s="1353">
        <v>7339.6</v>
      </c>
      <c r="F16" s="1359">
        <v>4420</v>
      </c>
      <c r="G16" s="1358">
        <v>4420</v>
      </c>
      <c r="H16" s="1358">
        <v>2110</v>
      </c>
      <c r="I16" s="1358">
        <v>9449.6</v>
      </c>
      <c r="J16" s="1357">
        <v>475.6</v>
      </c>
      <c r="K16" s="1357">
        <v>688</v>
      </c>
      <c r="L16" s="1358">
        <v>2466.56</v>
      </c>
      <c r="M16" s="1358">
        <v>516</v>
      </c>
      <c r="N16" s="1357">
        <v>516</v>
      </c>
      <c r="O16" s="1357">
        <v>129</v>
      </c>
      <c r="P16" s="1358">
        <v>2595.8000000000002</v>
      </c>
      <c r="Q16" s="1358">
        <v>12045.4</v>
      </c>
      <c r="S16" s="152"/>
    </row>
    <row r="17" spans="1:19" s="514" customFormat="1" ht="16.5" customHeight="1">
      <c r="A17" s="1355">
        <v>2020</v>
      </c>
      <c r="B17" s="1356"/>
      <c r="C17" s="1357">
        <v>920</v>
      </c>
      <c r="D17" s="1357">
        <v>1202</v>
      </c>
      <c r="E17" s="1353">
        <v>7621.6</v>
      </c>
      <c r="F17" s="1359">
        <v>4110</v>
      </c>
      <c r="G17" s="1358">
        <v>4110</v>
      </c>
      <c r="H17" s="1358">
        <v>2110</v>
      </c>
      <c r="I17" s="1358">
        <v>9731.6</v>
      </c>
      <c r="J17" s="1357">
        <v>286</v>
      </c>
      <c r="K17" s="1357">
        <v>1038</v>
      </c>
      <c r="L17" s="1358">
        <v>3218.56</v>
      </c>
      <c r="M17" s="1358">
        <v>473</v>
      </c>
      <c r="N17" s="1357">
        <v>473</v>
      </c>
      <c r="O17" s="1357">
        <v>129</v>
      </c>
      <c r="P17" s="1358">
        <v>3347.8</v>
      </c>
      <c r="Q17" s="1358">
        <v>13079.400000000001</v>
      </c>
      <c r="S17" s="152"/>
    </row>
    <row r="18" spans="1:19" s="514" customFormat="1" ht="16.5" customHeight="1">
      <c r="A18" s="1355">
        <v>2021</v>
      </c>
      <c r="B18" s="1356"/>
      <c r="C18" s="1357">
        <v>866.6</v>
      </c>
      <c r="D18" s="1357">
        <v>2304</v>
      </c>
      <c r="E18" s="1353">
        <v>9059</v>
      </c>
      <c r="F18" s="1359">
        <v>4420</v>
      </c>
      <c r="G18" s="1358">
        <v>4420</v>
      </c>
      <c r="H18" s="1358">
        <v>2110</v>
      </c>
      <c r="I18" s="1358">
        <v>11169</v>
      </c>
      <c r="J18" s="1357">
        <v>600</v>
      </c>
      <c r="K18" s="1357">
        <v>500</v>
      </c>
      <c r="L18" s="1358">
        <v>3118.56</v>
      </c>
      <c r="M18" s="1358">
        <v>516</v>
      </c>
      <c r="N18" s="1357">
        <v>516</v>
      </c>
      <c r="O18" s="1357">
        <v>129</v>
      </c>
      <c r="P18" s="1358">
        <v>3247.8</v>
      </c>
      <c r="Q18" s="1358">
        <v>14416.8</v>
      </c>
      <c r="S18" s="152"/>
    </row>
    <row r="19" spans="1:19" s="152" customFormat="1" ht="16.5" customHeight="1">
      <c r="A19" s="1982">
        <v>2022</v>
      </c>
      <c r="B19" s="739"/>
      <c r="C19" s="2403">
        <v>1252</v>
      </c>
      <c r="D19" s="2403">
        <v>876</v>
      </c>
      <c r="E19" s="1353">
        <v>8683</v>
      </c>
      <c r="F19" s="2404">
        <v>4420</v>
      </c>
      <c r="G19" s="2405">
        <v>4320</v>
      </c>
      <c r="H19" s="2405">
        <v>2010</v>
      </c>
      <c r="I19" s="2405">
        <v>10693</v>
      </c>
      <c r="J19" s="2403">
        <v>312</v>
      </c>
      <c r="K19" s="2403">
        <v>443.6</v>
      </c>
      <c r="L19" s="2405">
        <v>3250.16</v>
      </c>
      <c r="M19" s="2405">
        <v>516</v>
      </c>
      <c r="N19" s="2403">
        <v>516</v>
      </c>
      <c r="O19" s="2403">
        <v>129</v>
      </c>
      <c r="P19" s="2405">
        <v>3379.8</v>
      </c>
      <c r="Q19" s="2405">
        <v>14072.8</v>
      </c>
    </row>
    <row r="20" spans="1:19" s="152" customFormat="1" ht="16.5" customHeight="1">
      <c r="A20" s="1982">
        <v>2023</v>
      </c>
      <c r="B20" s="739"/>
      <c r="C20" s="2403">
        <v>1640</v>
      </c>
      <c r="D20" s="2403">
        <v>2292</v>
      </c>
      <c r="E20" s="1353">
        <v>9335</v>
      </c>
      <c r="F20" s="2404">
        <v>4320</v>
      </c>
      <c r="G20" s="2405">
        <v>4420</v>
      </c>
      <c r="H20" s="2405">
        <v>2110</v>
      </c>
      <c r="I20" s="2405">
        <v>11445</v>
      </c>
      <c r="J20" s="2403">
        <v>312</v>
      </c>
      <c r="K20" s="2403">
        <v>688</v>
      </c>
      <c r="L20" s="2405">
        <v>3626.16</v>
      </c>
      <c r="M20" s="2405">
        <v>516</v>
      </c>
      <c r="N20" s="2403">
        <v>516</v>
      </c>
      <c r="O20" s="2403">
        <v>129</v>
      </c>
      <c r="P20" s="2405">
        <v>3755.16</v>
      </c>
      <c r="Q20" s="2405">
        <v>15200.16</v>
      </c>
    </row>
    <row r="21" spans="1:19" s="152" customFormat="1" ht="16.5" customHeight="1">
      <c r="A21" s="1982">
        <v>2024</v>
      </c>
      <c r="B21" s="739"/>
      <c r="C21" s="2403">
        <v>620</v>
      </c>
      <c r="D21" s="2403">
        <v>1748</v>
      </c>
      <c r="E21" s="1353">
        <v>10463</v>
      </c>
      <c r="F21" s="2404">
        <v>4420</v>
      </c>
      <c r="G21" s="2405">
        <v>4420</v>
      </c>
      <c r="H21" s="2405">
        <v>2110</v>
      </c>
      <c r="I21" s="2405">
        <v>12573</v>
      </c>
      <c r="J21" s="2403">
        <v>1064</v>
      </c>
      <c r="K21" s="2403">
        <v>1346</v>
      </c>
      <c r="L21" s="2405">
        <v>3908.16</v>
      </c>
      <c r="M21" s="2405">
        <v>516</v>
      </c>
      <c r="N21" s="2403">
        <v>516</v>
      </c>
      <c r="O21" s="2403">
        <v>129</v>
      </c>
      <c r="P21" s="2405">
        <v>4037.16</v>
      </c>
      <c r="Q21" s="2405">
        <v>16610.16</v>
      </c>
    </row>
    <row r="22" spans="1:19" s="152" customFormat="1" ht="16.5" customHeight="1">
      <c r="A22" s="2275">
        <v>2025</v>
      </c>
      <c r="B22" s="2276"/>
      <c r="C22" s="2277">
        <f>SUM(C26:C29)</f>
        <v>688</v>
      </c>
      <c r="D22" s="2277">
        <f>SUM(D26:D29)</f>
        <v>1976</v>
      </c>
      <c r="E22" s="1703">
        <f>E21-C22+D22</f>
        <v>11751</v>
      </c>
      <c r="F22" s="2278">
        <f>SUM(F26:F29)</f>
        <v>4490</v>
      </c>
      <c r="G22" s="2279">
        <f>SUM(G26:G29)</f>
        <v>4490</v>
      </c>
      <c r="H22" s="2279">
        <f>H21-F22+G22</f>
        <v>2110</v>
      </c>
      <c r="I22" s="2279">
        <f>E22+H22</f>
        <v>13861</v>
      </c>
      <c r="J22" s="2277">
        <f>SUM(J26:J29)</f>
        <v>1457.6</v>
      </c>
      <c r="K22" s="2277">
        <f>SUM(K26:K29)</f>
        <v>2937.2</v>
      </c>
      <c r="L22" s="2279">
        <f>L21-J22+K22</f>
        <v>5387.76</v>
      </c>
      <c r="M22" s="2279">
        <f>SUM(M26:M29)</f>
        <v>537</v>
      </c>
      <c r="N22" s="2277">
        <f>SUM(N26:N29)</f>
        <v>558</v>
      </c>
      <c r="O22" s="2277">
        <f>O21-M22+N22</f>
        <v>150</v>
      </c>
      <c r="P22" s="2279">
        <f>L22+O22</f>
        <v>5537.76</v>
      </c>
      <c r="Q22" s="2279">
        <f>P22+I22</f>
        <v>19398.760000000002</v>
      </c>
    </row>
    <row r="23" spans="1:19" s="514" customFormat="1" ht="21" customHeight="1">
      <c r="A23" s="1355">
        <v>2024</v>
      </c>
      <c r="B23" s="1356" t="s">
        <v>243</v>
      </c>
      <c r="C23" s="1357">
        <v>285</v>
      </c>
      <c r="D23" s="1357">
        <v>0</v>
      </c>
      <c r="E23" s="1353">
        <v>9711</v>
      </c>
      <c r="F23" s="1359">
        <v>1105</v>
      </c>
      <c r="G23" s="1358">
        <v>1105</v>
      </c>
      <c r="H23" s="1358">
        <v>2110</v>
      </c>
      <c r="I23" s="1358">
        <v>11821</v>
      </c>
      <c r="J23" s="1357">
        <v>78</v>
      </c>
      <c r="K23" s="1357">
        <v>78</v>
      </c>
      <c r="L23" s="1358">
        <v>3626.2</v>
      </c>
      <c r="M23" s="1358">
        <v>129</v>
      </c>
      <c r="N23" s="1357">
        <v>129</v>
      </c>
      <c r="O23" s="1357">
        <v>129</v>
      </c>
      <c r="P23" s="1358">
        <v>3755.2</v>
      </c>
      <c r="Q23" s="1358">
        <v>15576.2</v>
      </c>
    </row>
    <row r="24" spans="1:19" s="514" customFormat="1" ht="15" customHeight="1">
      <c r="A24" s="1355"/>
      <c r="B24" s="1356" t="s">
        <v>240</v>
      </c>
      <c r="C24" s="1357">
        <v>150</v>
      </c>
      <c r="D24" s="1357">
        <v>526</v>
      </c>
      <c r="E24" s="1353">
        <v>10087</v>
      </c>
      <c r="F24" s="1359">
        <v>1105</v>
      </c>
      <c r="G24" s="1358">
        <v>1105</v>
      </c>
      <c r="H24" s="1358">
        <v>2110</v>
      </c>
      <c r="I24" s="1358">
        <v>12197</v>
      </c>
      <c r="J24" s="1357">
        <v>78</v>
      </c>
      <c r="K24" s="1357">
        <v>78</v>
      </c>
      <c r="L24" s="1358">
        <v>3626.2</v>
      </c>
      <c r="M24" s="1358">
        <v>129</v>
      </c>
      <c r="N24" s="1357">
        <v>129</v>
      </c>
      <c r="O24" s="1357">
        <v>129</v>
      </c>
      <c r="P24" s="1358">
        <v>3755.2</v>
      </c>
      <c r="Q24" s="1358">
        <v>15952.2</v>
      </c>
    </row>
    <row r="25" spans="1:19" s="514" customFormat="1" ht="15" customHeight="1">
      <c r="A25" s="1355"/>
      <c r="B25" s="1356" t="s">
        <v>241</v>
      </c>
      <c r="C25" s="1357">
        <v>185</v>
      </c>
      <c r="D25" s="1357">
        <v>561</v>
      </c>
      <c r="E25" s="1353">
        <v>10463</v>
      </c>
      <c r="F25" s="1359">
        <v>1105</v>
      </c>
      <c r="G25" s="1358">
        <v>1105</v>
      </c>
      <c r="H25" s="1358">
        <v>2110</v>
      </c>
      <c r="I25" s="1358">
        <v>12573</v>
      </c>
      <c r="J25" s="1357">
        <v>454</v>
      </c>
      <c r="K25" s="1357">
        <v>736</v>
      </c>
      <c r="L25" s="1358">
        <v>3908.2</v>
      </c>
      <c r="M25" s="1358">
        <v>129</v>
      </c>
      <c r="N25" s="1357">
        <v>129</v>
      </c>
      <c r="O25" s="1357">
        <v>129</v>
      </c>
      <c r="P25" s="1358">
        <v>4037.2</v>
      </c>
      <c r="Q25" s="1358">
        <v>16610.2</v>
      </c>
    </row>
    <row r="26" spans="1:19" s="514" customFormat="1" ht="21" customHeight="1">
      <c r="A26" s="1355">
        <v>2025</v>
      </c>
      <c r="B26" s="1356" t="s">
        <v>242</v>
      </c>
      <c r="C26" s="1357">
        <v>150</v>
      </c>
      <c r="D26" s="1357">
        <v>200</v>
      </c>
      <c r="E26" s="1353">
        <v>10513</v>
      </c>
      <c r="F26" s="1359">
        <v>1105</v>
      </c>
      <c r="G26" s="1358">
        <v>1105</v>
      </c>
      <c r="H26" s="1358">
        <v>2110</v>
      </c>
      <c r="I26" s="1358">
        <v>12623</v>
      </c>
      <c r="J26" s="1357">
        <v>647.6</v>
      </c>
      <c r="K26" s="1357">
        <v>78</v>
      </c>
      <c r="L26" s="1358">
        <v>3338.6</v>
      </c>
      <c r="M26" s="1358">
        <v>129</v>
      </c>
      <c r="N26" s="1357">
        <v>129</v>
      </c>
      <c r="O26" s="1357">
        <v>129</v>
      </c>
      <c r="P26" s="1358">
        <v>3467.6</v>
      </c>
      <c r="Q26" s="1358">
        <v>16090.6</v>
      </c>
    </row>
    <row r="27" spans="1:19" s="514" customFormat="1" ht="15" customHeight="1">
      <c r="A27" s="1355"/>
      <c r="B27" s="1356" t="s">
        <v>243</v>
      </c>
      <c r="C27" s="1357">
        <v>200</v>
      </c>
      <c r="D27" s="1357">
        <v>782</v>
      </c>
      <c r="E27" s="1353">
        <v>11095</v>
      </c>
      <c r="F27" s="1359">
        <v>1105</v>
      </c>
      <c r="G27" s="1358">
        <v>1105</v>
      </c>
      <c r="H27" s="1358">
        <v>2110</v>
      </c>
      <c r="I27" s="1358">
        <v>13205</v>
      </c>
      <c r="J27" s="1357">
        <v>78</v>
      </c>
      <c r="K27" s="1357">
        <v>736</v>
      </c>
      <c r="L27" s="1358">
        <v>3996.6</v>
      </c>
      <c r="M27" s="1358">
        <v>129</v>
      </c>
      <c r="N27" s="1357">
        <v>129</v>
      </c>
      <c r="O27" s="1357">
        <v>129</v>
      </c>
      <c r="P27" s="1358">
        <v>4125.6000000000004</v>
      </c>
      <c r="Q27" s="1358">
        <v>17330.599999999999</v>
      </c>
    </row>
    <row r="28" spans="1:19" s="514" customFormat="1" ht="15" customHeight="1">
      <c r="A28" s="1355"/>
      <c r="B28" s="1356" t="s">
        <v>240</v>
      </c>
      <c r="C28" s="1357">
        <f>SUM(C33:C35)</f>
        <v>338</v>
      </c>
      <c r="D28" s="1357">
        <f>SUM(D33:D35)</f>
        <v>618</v>
      </c>
      <c r="E28" s="1353">
        <f>E27-C28+D28</f>
        <v>11375</v>
      </c>
      <c r="F28" s="1359">
        <f>SUM(F33:F35)</f>
        <v>1105</v>
      </c>
      <c r="G28" s="1358">
        <f>SUM(G33:G35)</f>
        <v>1105</v>
      </c>
      <c r="H28" s="1358">
        <f>H27-F28+G28</f>
        <v>2110</v>
      </c>
      <c r="I28" s="1358">
        <f>E28+H28</f>
        <v>13485</v>
      </c>
      <c r="J28" s="1357">
        <f>SUM(J33:J35)</f>
        <v>278</v>
      </c>
      <c r="K28" s="1357">
        <f>SUM(K33:K35)</f>
        <v>1191.2</v>
      </c>
      <c r="L28" s="1358">
        <f>L27-J28+K28</f>
        <v>4909.8</v>
      </c>
      <c r="M28" s="1358">
        <f>SUM(M33:M35)</f>
        <v>129</v>
      </c>
      <c r="N28" s="1357">
        <f>SUM(N33:N35)</f>
        <v>150</v>
      </c>
      <c r="O28" s="1357">
        <f>O27-M28+N28</f>
        <v>150</v>
      </c>
      <c r="P28" s="1358">
        <f>L28+O28</f>
        <v>5059.8</v>
      </c>
      <c r="Q28" s="1358">
        <f>I28+P28</f>
        <v>18544.8</v>
      </c>
    </row>
    <row r="29" spans="1:19" s="514" customFormat="1" ht="15" customHeight="1">
      <c r="A29" s="1355"/>
      <c r="B29" s="1356" t="s">
        <v>241</v>
      </c>
      <c r="C29" s="1357">
        <f>SUM(C36:C38)</f>
        <v>0</v>
      </c>
      <c r="D29" s="1357">
        <f>SUM(D36:D38)</f>
        <v>376</v>
      </c>
      <c r="E29" s="1353">
        <f>E28-C29+D29</f>
        <v>11751</v>
      </c>
      <c r="F29" s="1359">
        <f>SUM(F36:F38)</f>
        <v>1175</v>
      </c>
      <c r="G29" s="1358">
        <f>SUM(G36:G38)</f>
        <v>1175</v>
      </c>
      <c r="H29" s="1358">
        <f>H28-F29+G29</f>
        <v>2110</v>
      </c>
      <c r="I29" s="1358">
        <f>E29+H29</f>
        <v>13861</v>
      </c>
      <c r="J29" s="1357">
        <f>SUM(J36:J38)</f>
        <v>454</v>
      </c>
      <c r="K29" s="1357">
        <f>SUM(K36:K38)</f>
        <v>932</v>
      </c>
      <c r="L29" s="1358">
        <f>L28-J29+K29</f>
        <v>5387.8</v>
      </c>
      <c r="M29" s="1358">
        <f>SUM(M36:M38)</f>
        <v>150</v>
      </c>
      <c r="N29" s="1357">
        <f>SUM(N36:N38)</f>
        <v>150</v>
      </c>
      <c r="O29" s="1357">
        <f>O28-M29+N29</f>
        <v>150</v>
      </c>
      <c r="P29" s="1358">
        <f>L29+O29</f>
        <v>5537.8</v>
      </c>
      <c r="Q29" s="1358">
        <f>I29+P29</f>
        <v>19398.8</v>
      </c>
    </row>
    <row r="30" spans="1:19" s="514" customFormat="1" ht="21" customHeight="1">
      <c r="A30" s="1700">
        <v>2026</v>
      </c>
      <c r="B30" s="1701" t="s">
        <v>242</v>
      </c>
      <c r="C30" s="1702">
        <f>SUM(C39:C41)</f>
        <v>996</v>
      </c>
      <c r="D30" s="1702">
        <f>SUM(D39:D41)</f>
        <v>926.8</v>
      </c>
      <c r="E30" s="1703">
        <f>E29-C30+D30</f>
        <v>11681.8</v>
      </c>
      <c r="F30" s="1704">
        <f>SUM(F39:F41)</f>
        <v>1035</v>
      </c>
      <c r="G30" s="1705">
        <f>SUM(G39:G41)</f>
        <v>1035</v>
      </c>
      <c r="H30" s="1705">
        <f>H29-F30+G30</f>
        <v>2110</v>
      </c>
      <c r="I30" s="1705">
        <f>E30+H30</f>
        <v>13791.8</v>
      </c>
      <c r="J30" s="1702">
        <f>SUM(J39:J41)</f>
        <v>102</v>
      </c>
      <c r="K30" s="1702">
        <f>SUM(K39:K41)</f>
        <v>540.79999999999995</v>
      </c>
      <c r="L30" s="1705">
        <f>L29-J30+K30</f>
        <v>5826.6</v>
      </c>
      <c r="M30" s="1705">
        <f>SUM(M39:M41)</f>
        <v>150</v>
      </c>
      <c r="N30" s="1702">
        <f>SUM(N39:N41)</f>
        <v>150</v>
      </c>
      <c r="O30" s="1702">
        <f>O29-M30+N30</f>
        <v>150</v>
      </c>
      <c r="P30" s="1705">
        <f>L30+O30</f>
        <v>5976.6</v>
      </c>
      <c r="Q30" s="1705">
        <f>I30+P30</f>
        <v>19768.400000000001</v>
      </c>
    </row>
    <row r="31" spans="1:19" s="152" customFormat="1" ht="21" customHeight="1">
      <c r="A31" s="1982">
        <v>2025</v>
      </c>
      <c r="B31" s="739" t="s">
        <v>427</v>
      </c>
      <c r="C31" s="2403">
        <v>200</v>
      </c>
      <c r="D31" s="2403">
        <v>532</v>
      </c>
      <c r="E31" s="1353">
        <v>11095</v>
      </c>
      <c r="F31" s="2404">
        <v>380</v>
      </c>
      <c r="G31" s="2403">
        <v>380</v>
      </c>
      <c r="H31" s="2405">
        <v>2110</v>
      </c>
      <c r="I31" s="2405">
        <v>13205</v>
      </c>
      <c r="J31" s="2403">
        <v>26</v>
      </c>
      <c r="K31" s="2403">
        <v>684</v>
      </c>
      <c r="L31" s="2405">
        <v>3996.6</v>
      </c>
      <c r="M31" s="2405">
        <v>43</v>
      </c>
      <c r="N31" s="2403">
        <v>43</v>
      </c>
      <c r="O31" s="2403">
        <v>129</v>
      </c>
      <c r="P31" s="2405">
        <v>4125.6000000000004</v>
      </c>
      <c r="Q31" s="2405">
        <v>17330.599999999999</v>
      </c>
      <c r="R31" s="152">
        <v>0</v>
      </c>
    </row>
    <row r="32" spans="1:19" s="152" customFormat="1" ht="15.75" customHeight="1">
      <c r="A32" s="1982"/>
      <c r="B32" s="739" t="s">
        <v>428</v>
      </c>
      <c r="C32" s="2403">
        <v>0</v>
      </c>
      <c r="D32" s="2403">
        <v>0</v>
      </c>
      <c r="E32" s="1353">
        <f t="shared" ref="E32:E42" si="0">E31-C32+D32</f>
        <v>11095</v>
      </c>
      <c r="F32" s="2404">
        <v>345</v>
      </c>
      <c r="G32" s="2403">
        <v>345</v>
      </c>
      <c r="H32" s="2405">
        <f t="shared" ref="H32:H42" si="1">H31-F32+G32</f>
        <v>2110</v>
      </c>
      <c r="I32" s="2405">
        <f t="shared" ref="I32:I42" si="2">E32+H32</f>
        <v>13205</v>
      </c>
      <c r="J32" s="2403">
        <v>26</v>
      </c>
      <c r="K32" s="2403">
        <v>26</v>
      </c>
      <c r="L32" s="2405">
        <f t="shared" ref="L32:L42" si="3">L31-J32+K32</f>
        <v>3996.6</v>
      </c>
      <c r="M32" s="2405">
        <v>43</v>
      </c>
      <c r="N32" s="2403">
        <v>43</v>
      </c>
      <c r="O32" s="2403">
        <f t="shared" ref="O32:O42" si="4">O31-M32+N32</f>
        <v>129</v>
      </c>
      <c r="P32" s="2405">
        <f t="shared" ref="P32:P42" si="5">L32+O32</f>
        <v>4125.6000000000004</v>
      </c>
      <c r="Q32" s="2405">
        <f t="shared" ref="Q32:Q42" si="6">I32+P32</f>
        <v>17330.599999999999</v>
      </c>
      <c r="R32" s="152">
        <f>G32-SUM('11'!C17:C21)</f>
        <v>0</v>
      </c>
    </row>
    <row r="33" spans="1:18" s="152" customFormat="1" ht="15.75" customHeight="1">
      <c r="A33" s="1982"/>
      <c r="B33" s="739" t="s">
        <v>429</v>
      </c>
      <c r="C33" s="2403">
        <v>150</v>
      </c>
      <c r="D33" s="2403">
        <v>250</v>
      </c>
      <c r="E33" s="1353">
        <f t="shared" si="0"/>
        <v>11195</v>
      </c>
      <c r="F33" s="2404">
        <v>415</v>
      </c>
      <c r="G33" s="2403">
        <v>415</v>
      </c>
      <c r="H33" s="2405">
        <f t="shared" si="1"/>
        <v>2110</v>
      </c>
      <c r="I33" s="2405">
        <f t="shared" si="2"/>
        <v>13305</v>
      </c>
      <c r="J33" s="2403">
        <v>252</v>
      </c>
      <c r="K33" s="2403">
        <v>828.4</v>
      </c>
      <c r="L33" s="2405">
        <f t="shared" si="3"/>
        <v>4573</v>
      </c>
      <c r="M33" s="2405">
        <v>43</v>
      </c>
      <c r="N33" s="2403">
        <v>50</v>
      </c>
      <c r="O33" s="2403">
        <f t="shared" si="4"/>
        <v>136</v>
      </c>
      <c r="P33" s="2405">
        <f t="shared" si="5"/>
        <v>4709</v>
      </c>
      <c r="Q33" s="2405">
        <f t="shared" si="6"/>
        <v>18014</v>
      </c>
      <c r="R33" s="152">
        <f>G33-SUM('11'!C22:C27)</f>
        <v>0</v>
      </c>
    </row>
    <row r="34" spans="1:18" s="152" customFormat="1" ht="15.75" customHeight="1">
      <c r="A34" s="1982"/>
      <c r="B34" s="739" t="s">
        <v>430</v>
      </c>
      <c r="C34" s="2403">
        <v>188</v>
      </c>
      <c r="D34" s="2403">
        <v>188</v>
      </c>
      <c r="E34" s="1353">
        <f t="shared" si="0"/>
        <v>11195</v>
      </c>
      <c r="F34" s="2404">
        <v>345</v>
      </c>
      <c r="G34" s="2403">
        <v>345</v>
      </c>
      <c r="H34" s="2405">
        <f t="shared" si="1"/>
        <v>2110</v>
      </c>
      <c r="I34" s="2405">
        <f t="shared" si="2"/>
        <v>13305</v>
      </c>
      <c r="J34" s="2403">
        <v>0</v>
      </c>
      <c r="K34" s="2403">
        <v>200</v>
      </c>
      <c r="L34" s="2405">
        <f t="shared" si="3"/>
        <v>4773</v>
      </c>
      <c r="M34" s="2405">
        <v>43</v>
      </c>
      <c r="N34" s="2403">
        <v>50</v>
      </c>
      <c r="O34" s="2403">
        <f t="shared" si="4"/>
        <v>143</v>
      </c>
      <c r="P34" s="2405">
        <f t="shared" si="5"/>
        <v>4916</v>
      </c>
      <c r="Q34" s="2405">
        <f t="shared" si="6"/>
        <v>18221</v>
      </c>
      <c r="R34" s="152">
        <f>G34-SUM('11'!C28:C32)</f>
        <v>0</v>
      </c>
    </row>
    <row r="35" spans="1:18" s="152" customFormat="1" ht="15.75" customHeight="1">
      <c r="A35" s="1982"/>
      <c r="B35" s="739" t="s">
        <v>431</v>
      </c>
      <c r="C35" s="2403">
        <v>0</v>
      </c>
      <c r="D35" s="2403">
        <v>180</v>
      </c>
      <c r="E35" s="1353">
        <f t="shared" si="0"/>
        <v>11375</v>
      </c>
      <c r="F35" s="2404">
        <v>345</v>
      </c>
      <c r="G35" s="2403">
        <v>345</v>
      </c>
      <c r="H35" s="2405">
        <f t="shared" si="1"/>
        <v>2110</v>
      </c>
      <c r="I35" s="2405">
        <f t="shared" si="2"/>
        <v>13485</v>
      </c>
      <c r="J35" s="2403">
        <v>26</v>
      </c>
      <c r="K35" s="2403">
        <v>162.80000000000001</v>
      </c>
      <c r="L35" s="2405">
        <f t="shared" si="3"/>
        <v>4909.8</v>
      </c>
      <c r="M35" s="2405">
        <v>43</v>
      </c>
      <c r="N35" s="2403">
        <v>50</v>
      </c>
      <c r="O35" s="2403">
        <f t="shared" si="4"/>
        <v>150</v>
      </c>
      <c r="P35" s="2405">
        <f t="shared" si="5"/>
        <v>5059.8</v>
      </c>
      <c r="Q35" s="2405">
        <f t="shared" si="6"/>
        <v>18544.8</v>
      </c>
      <c r="R35" s="152">
        <f>G35-SUM('11'!C28:C32)</f>
        <v>0</v>
      </c>
    </row>
    <row r="36" spans="1:18" s="152" customFormat="1" ht="15.75" customHeight="1">
      <c r="A36" s="1982"/>
      <c r="B36" s="739" t="s">
        <v>420</v>
      </c>
      <c r="C36" s="2403">
        <v>0</v>
      </c>
      <c r="D36" s="2403">
        <v>376</v>
      </c>
      <c r="E36" s="1353">
        <f t="shared" si="0"/>
        <v>11751</v>
      </c>
      <c r="F36" s="2404">
        <v>380</v>
      </c>
      <c r="G36" s="2403">
        <v>380</v>
      </c>
      <c r="H36" s="2405">
        <f t="shared" si="1"/>
        <v>2110</v>
      </c>
      <c r="I36" s="2405">
        <f t="shared" si="2"/>
        <v>13861</v>
      </c>
      <c r="J36" s="2403">
        <v>428</v>
      </c>
      <c r="K36" s="2403">
        <v>664</v>
      </c>
      <c r="L36" s="2405">
        <f t="shared" si="3"/>
        <v>5145.8</v>
      </c>
      <c r="M36" s="2405">
        <v>50</v>
      </c>
      <c r="N36" s="2403">
        <v>50</v>
      </c>
      <c r="O36" s="2403">
        <f t="shared" si="4"/>
        <v>150</v>
      </c>
      <c r="P36" s="2405">
        <f t="shared" si="5"/>
        <v>5295.8</v>
      </c>
      <c r="Q36" s="2405">
        <f t="shared" si="6"/>
        <v>19156.8</v>
      </c>
      <c r="R36" s="152">
        <f>G36-SUM('11'!C33:C37)</f>
        <v>0</v>
      </c>
    </row>
    <row r="37" spans="1:18" s="152" customFormat="1" ht="15.75" customHeight="1">
      <c r="A37" s="1982"/>
      <c r="B37" s="739" t="s">
        <v>421</v>
      </c>
      <c r="C37" s="2403">
        <v>0</v>
      </c>
      <c r="D37" s="2403">
        <v>0</v>
      </c>
      <c r="E37" s="1353">
        <f t="shared" si="0"/>
        <v>11751</v>
      </c>
      <c r="F37" s="2404">
        <v>380</v>
      </c>
      <c r="G37" s="2403">
        <v>380</v>
      </c>
      <c r="H37" s="2405">
        <f t="shared" si="1"/>
        <v>2110</v>
      </c>
      <c r="I37" s="2405">
        <f t="shared" si="2"/>
        <v>13861</v>
      </c>
      <c r="J37" s="2403">
        <v>0</v>
      </c>
      <c r="K37" s="2403">
        <v>0</v>
      </c>
      <c r="L37" s="2405">
        <f t="shared" si="3"/>
        <v>5145.8</v>
      </c>
      <c r="M37" s="2405">
        <v>50</v>
      </c>
      <c r="N37" s="2403">
        <v>50</v>
      </c>
      <c r="O37" s="2403">
        <f t="shared" si="4"/>
        <v>150</v>
      </c>
      <c r="P37" s="2405">
        <f t="shared" si="5"/>
        <v>5295.8</v>
      </c>
      <c r="Q37" s="2405">
        <f t="shared" si="6"/>
        <v>19156.8</v>
      </c>
      <c r="R37" s="152">
        <f>G37-SUM('11'!C38:C43)</f>
        <v>0</v>
      </c>
    </row>
    <row r="38" spans="1:18" s="152" customFormat="1" ht="15.75" customHeight="1">
      <c r="A38" s="1982"/>
      <c r="B38" s="739" t="s">
        <v>422</v>
      </c>
      <c r="C38" s="2403">
        <v>0</v>
      </c>
      <c r="D38" s="2403">
        <v>0</v>
      </c>
      <c r="E38" s="1353">
        <f t="shared" si="0"/>
        <v>11751</v>
      </c>
      <c r="F38" s="2404">
        <v>415</v>
      </c>
      <c r="G38" s="2403">
        <v>415</v>
      </c>
      <c r="H38" s="2405">
        <f t="shared" si="1"/>
        <v>2110</v>
      </c>
      <c r="I38" s="2405">
        <f t="shared" si="2"/>
        <v>13861</v>
      </c>
      <c r="J38" s="2403">
        <v>26</v>
      </c>
      <c r="K38" s="2403">
        <v>268</v>
      </c>
      <c r="L38" s="2405">
        <f t="shared" si="3"/>
        <v>5387.8</v>
      </c>
      <c r="M38" s="2405">
        <v>50</v>
      </c>
      <c r="N38" s="2403">
        <v>50</v>
      </c>
      <c r="O38" s="2403">
        <f t="shared" si="4"/>
        <v>150</v>
      </c>
      <c r="P38" s="2405">
        <f t="shared" si="5"/>
        <v>5537.8</v>
      </c>
      <c r="Q38" s="2405">
        <f t="shared" si="6"/>
        <v>19398.8</v>
      </c>
      <c r="R38" s="152">
        <f>G38-SUM('11'!C49:C54)</f>
        <v>0</v>
      </c>
    </row>
    <row r="39" spans="1:18" s="152" customFormat="1" ht="21" customHeight="1">
      <c r="A39" s="1982">
        <v>2026</v>
      </c>
      <c r="B39" s="739" t="s">
        <v>423</v>
      </c>
      <c r="C39" s="2403">
        <f>100+188+(1125*0.376)</f>
        <v>711</v>
      </c>
      <c r="D39" s="2403">
        <f>150+188</f>
        <v>338</v>
      </c>
      <c r="E39" s="1353">
        <f t="shared" si="0"/>
        <v>11378</v>
      </c>
      <c r="F39" s="2404">
        <v>345</v>
      </c>
      <c r="G39" s="2403">
        <v>345</v>
      </c>
      <c r="H39" s="2405">
        <f t="shared" si="1"/>
        <v>2110</v>
      </c>
      <c r="I39" s="2405">
        <f t="shared" si="2"/>
        <v>13488</v>
      </c>
      <c r="J39" s="2403">
        <f>26+26</f>
        <v>52</v>
      </c>
      <c r="K39" s="2403">
        <f>30+50+50</f>
        <v>130</v>
      </c>
      <c r="L39" s="2405">
        <f t="shared" si="3"/>
        <v>5465.8</v>
      </c>
      <c r="M39" s="2405">
        <v>50</v>
      </c>
      <c r="N39" s="2403">
        <v>50</v>
      </c>
      <c r="O39" s="2403">
        <f t="shared" si="4"/>
        <v>150</v>
      </c>
      <c r="P39" s="2405">
        <f t="shared" si="5"/>
        <v>5615.8</v>
      </c>
      <c r="Q39" s="2405">
        <f t="shared" si="6"/>
        <v>19103.8</v>
      </c>
      <c r="R39" s="152">
        <f>G39-SUM('11'!C55:C59)</f>
        <v>0</v>
      </c>
    </row>
    <row r="40" spans="1:18" s="152" customFormat="1" ht="15.75" customHeight="1">
      <c r="A40" s="1982"/>
      <c r="B40" s="739" t="s">
        <v>424</v>
      </c>
      <c r="C40" s="2403">
        <v>0</v>
      </c>
      <c r="D40" s="2403">
        <f>100+488.8</f>
        <v>588.79999999999995</v>
      </c>
      <c r="E40" s="1353">
        <f t="shared" si="0"/>
        <v>11966.8</v>
      </c>
      <c r="F40" s="2404">
        <v>345</v>
      </c>
      <c r="G40" s="2403">
        <v>345</v>
      </c>
      <c r="H40" s="2405">
        <f t="shared" si="1"/>
        <v>2110</v>
      </c>
      <c r="I40" s="2405">
        <f t="shared" si="2"/>
        <v>14076.8</v>
      </c>
      <c r="J40" s="2403">
        <v>0</v>
      </c>
      <c r="K40" s="2403">
        <v>300.8</v>
      </c>
      <c r="L40" s="2405">
        <f t="shared" si="3"/>
        <v>5766.6</v>
      </c>
      <c r="M40" s="2405">
        <v>50</v>
      </c>
      <c r="N40" s="2403">
        <v>50</v>
      </c>
      <c r="O40" s="2403">
        <f t="shared" si="4"/>
        <v>150</v>
      </c>
      <c r="P40" s="2405">
        <f t="shared" si="5"/>
        <v>5916.6</v>
      </c>
      <c r="Q40" s="2405">
        <f t="shared" si="6"/>
        <v>19993.400000000001</v>
      </c>
      <c r="R40" s="152">
        <f>G40-SUM('11'!C60:C64)</f>
        <v>0</v>
      </c>
    </row>
    <row r="41" spans="1:18" s="152" customFormat="1" ht="15.75" customHeight="1">
      <c r="A41" s="1982"/>
      <c r="B41" s="739" t="s">
        <v>425</v>
      </c>
      <c r="C41" s="2403">
        <v>285</v>
      </c>
      <c r="D41" s="2403">
        <v>0</v>
      </c>
      <c r="E41" s="1353">
        <f t="shared" si="0"/>
        <v>11681.8</v>
      </c>
      <c r="F41" s="2404">
        <v>345</v>
      </c>
      <c r="G41" s="2403">
        <v>345</v>
      </c>
      <c r="H41" s="2405">
        <f t="shared" si="1"/>
        <v>2110</v>
      </c>
      <c r="I41" s="2405">
        <f t="shared" si="2"/>
        <v>13791.8</v>
      </c>
      <c r="J41" s="2403">
        <v>50</v>
      </c>
      <c r="K41" s="2403">
        <f>60+50</f>
        <v>110</v>
      </c>
      <c r="L41" s="2405">
        <f t="shared" si="3"/>
        <v>5826.6</v>
      </c>
      <c r="M41" s="2405">
        <v>50</v>
      </c>
      <c r="N41" s="2403">
        <v>50</v>
      </c>
      <c r="O41" s="2403">
        <f t="shared" si="4"/>
        <v>150</v>
      </c>
      <c r="P41" s="2405">
        <f t="shared" si="5"/>
        <v>5976.6</v>
      </c>
      <c r="Q41" s="2405">
        <f t="shared" si="6"/>
        <v>19768.400000000001</v>
      </c>
      <c r="R41" s="152">
        <f>G41-SUM('11'!C60:C64)</f>
        <v>0</v>
      </c>
    </row>
    <row r="42" spans="1:18" s="152" customFormat="1" ht="15.75" customHeight="1">
      <c r="A42" s="1982"/>
      <c r="B42" s="739" t="s">
        <v>426</v>
      </c>
      <c r="C42" s="2403">
        <v>100</v>
      </c>
      <c r="D42" s="2403">
        <v>0</v>
      </c>
      <c r="E42" s="1353">
        <f t="shared" si="0"/>
        <v>11581.8</v>
      </c>
      <c r="F42" s="2404">
        <v>380</v>
      </c>
      <c r="G42" s="2403">
        <v>380</v>
      </c>
      <c r="H42" s="2405">
        <f t="shared" si="1"/>
        <v>2110</v>
      </c>
      <c r="I42" s="2405">
        <f t="shared" si="2"/>
        <v>13691.8</v>
      </c>
      <c r="J42" s="2403">
        <f>50+50</f>
        <v>100</v>
      </c>
      <c r="K42" s="2403">
        <f>30+50+50</f>
        <v>130</v>
      </c>
      <c r="L42" s="2405">
        <f t="shared" si="3"/>
        <v>5856.6</v>
      </c>
      <c r="M42" s="2405">
        <v>50</v>
      </c>
      <c r="N42" s="2403">
        <v>50</v>
      </c>
      <c r="O42" s="2403">
        <f t="shared" si="4"/>
        <v>150</v>
      </c>
      <c r="P42" s="2405">
        <f t="shared" si="5"/>
        <v>6006.6</v>
      </c>
      <c r="Q42" s="2405">
        <f t="shared" si="6"/>
        <v>19698.400000000001</v>
      </c>
      <c r="R42" s="152">
        <f>G42-SUM('11'!C65:C69)</f>
        <v>0</v>
      </c>
    </row>
    <row r="43" spans="1:18" s="152" customFormat="1" ht="15.75" customHeight="1">
      <c r="A43" s="1982"/>
      <c r="B43" s="739" t="s">
        <v>427</v>
      </c>
      <c r="C43" s="2403">
        <v>388</v>
      </c>
      <c r="D43" s="2403">
        <v>200</v>
      </c>
      <c r="E43" s="1353">
        <f t="shared" ref="E43" si="7">E42-C43+D43</f>
        <v>11393.8</v>
      </c>
      <c r="F43" s="2404">
        <v>380</v>
      </c>
      <c r="G43" s="2403">
        <v>380</v>
      </c>
      <c r="H43" s="2405">
        <f t="shared" ref="H43" si="8">H42-F43+G43</f>
        <v>2110</v>
      </c>
      <c r="I43" s="2405">
        <f t="shared" ref="I43" si="9">E43+H43</f>
        <v>13503.8</v>
      </c>
      <c r="J43" s="2403">
        <v>0</v>
      </c>
      <c r="K43" s="2403">
        <v>0</v>
      </c>
      <c r="L43" s="2405">
        <f t="shared" ref="L43" si="10">L42-J43+K43</f>
        <v>5856.6</v>
      </c>
      <c r="M43" s="2405">
        <v>50</v>
      </c>
      <c r="N43" s="2403">
        <v>50</v>
      </c>
      <c r="O43" s="2403">
        <f t="shared" ref="O43" si="11">O42-M43+N43</f>
        <v>150</v>
      </c>
      <c r="P43" s="2405">
        <f t="shared" ref="P43" si="12">L43+O43</f>
        <v>6006.6</v>
      </c>
      <c r="Q43" s="2405">
        <f t="shared" ref="Q43" si="13">I43+P43</f>
        <v>19510.400000000001</v>
      </c>
      <c r="R43" s="152">
        <f>G43-SUM('11'!C70:C75)</f>
        <v>0</v>
      </c>
    </row>
    <row r="44" spans="1:18" s="895" customFormat="1" ht="21.25" customHeight="1">
      <c r="A44" s="1360" t="s">
        <v>1758</v>
      </c>
      <c r="B44" s="1361"/>
      <c r="C44" s="1362"/>
      <c r="D44" s="1362"/>
      <c r="E44" s="1362"/>
      <c r="F44" s="1362"/>
      <c r="G44" s="1362"/>
      <c r="H44" s="1362"/>
      <c r="I44" s="1362"/>
      <c r="J44" s="1362"/>
      <c r="K44" s="1362"/>
      <c r="L44" s="1362"/>
      <c r="M44" s="1362"/>
      <c r="N44" s="1362"/>
      <c r="O44" s="1362"/>
      <c r="P44" s="1362"/>
      <c r="Q44" s="1363" t="s">
        <v>1759</v>
      </c>
    </row>
    <row r="45" spans="1:18" s="895" customFormat="1" ht="14.25" customHeight="1">
      <c r="A45" s="274" t="s">
        <v>772</v>
      </c>
      <c r="B45" s="1365"/>
      <c r="Q45" s="1364" t="s">
        <v>773</v>
      </c>
    </row>
    <row r="46" spans="1:18" s="895" customFormat="1" ht="14.25" customHeight="1">
      <c r="A46" s="274" t="s">
        <v>1760</v>
      </c>
      <c r="Q46" s="1364" t="s">
        <v>1761</v>
      </c>
    </row>
    <row r="47" spans="1:18" s="895" customFormat="1" ht="14">
      <c r="A47" s="274" t="s">
        <v>1762</v>
      </c>
      <c r="Q47" s="1364" t="s">
        <v>1763</v>
      </c>
    </row>
    <row r="48" spans="1:18" s="895" customFormat="1" ht="14">
      <c r="A48" s="274" t="s">
        <v>774</v>
      </c>
      <c r="Q48" s="2513" t="s">
        <v>775</v>
      </c>
    </row>
    <row r="49" spans="1:17">
      <c r="A49" s="18" t="s">
        <v>776</v>
      </c>
      <c r="Q49" s="2514" t="s">
        <v>777</v>
      </c>
    </row>
    <row r="50" spans="1:17" ht="14.5">
      <c r="A50" s="1366" t="s">
        <v>778</v>
      </c>
      <c r="B50" s="269"/>
      <c r="C50" s="269"/>
      <c r="D50" s="1367"/>
      <c r="E50" s="269"/>
      <c r="F50" s="269"/>
      <c r="G50" s="269"/>
      <c r="H50" s="269"/>
      <c r="I50" s="269"/>
      <c r="J50" s="269"/>
      <c r="K50" s="269"/>
      <c r="L50" s="269"/>
      <c r="M50" s="269"/>
      <c r="N50" s="269"/>
      <c r="O50" s="269"/>
      <c r="P50" s="269"/>
      <c r="Q50" s="269"/>
    </row>
  </sheetData>
  <printOptions horizontalCentered="1" verticalCentered="1"/>
  <pageMargins left="0" right="0" top="0" bottom="0" header="0.3" footer="0.3"/>
  <pageSetup paperSize="9" scale="6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tabColor rgb="FFFF0000"/>
    <pageSetUpPr fitToPage="1"/>
  </sheetPr>
  <dimension ref="A1:S49"/>
  <sheetViews>
    <sheetView topLeftCell="B1" zoomScale="80" zoomScaleNormal="80" workbookViewId="0">
      <pane ySplit="12" topLeftCell="A39" activePane="bottomLeft" state="frozen"/>
      <selection activeCell="B44" sqref="B44"/>
      <selection pane="bottomLeft" activeCell="F43" sqref="F43"/>
    </sheetView>
  </sheetViews>
  <sheetFormatPr defaultColWidth="7.81640625" defaultRowHeight="15.5"/>
  <cols>
    <col min="1" max="2" width="9.26953125" style="236" customWidth="1"/>
    <col min="3" max="3" width="11.7265625" style="236" customWidth="1"/>
    <col min="4" max="4" width="13" style="236" customWidth="1"/>
    <col min="5" max="5" width="16" style="236" customWidth="1"/>
    <col min="6" max="6" width="10.81640625" style="236" customWidth="1"/>
    <col min="7" max="7" width="13.26953125" style="236" customWidth="1"/>
    <col min="8" max="8" width="13" style="236" customWidth="1"/>
    <col min="9" max="9" width="12.1796875" style="236" customWidth="1"/>
    <col min="10" max="10" width="11.7265625" style="236" customWidth="1"/>
    <col min="11" max="11" width="12.81640625" style="236" customWidth="1"/>
    <col min="12" max="12" width="16" style="236" customWidth="1"/>
    <col min="13" max="13" width="11.26953125" style="236" customWidth="1"/>
    <col min="14" max="14" width="11.7265625" style="236" customWidth="1"/>
    <col min="15" max="15" width="11.81640625" style="236" customWidth="1"/>
    <col min="16" max="17" width="7.81640625" style="236" customWidth="1"/>
    <col min="18" max="18" width="9.7265625" style="236" customWidth="1"/>
    <col min="19" max="19" width="7.81640625" style="236" customWidth="1"/>
    <col min="20" max="16384" width="7.81640625" style="236"/>
  </cols>
  <sheetData>
    <row r="1" spans="1:19" s="1104" customFormat="1" ht="18" customHeight="1">
      <c r="A1" s="1073" t="s">
        <v>779</v>
      </c>
      <c r="B1" s="1090"/>
      <c r="C1" s="1090"/>
      <c r="D1" s="1090"/>
      <c r="E1" s="1090"/>
      <c r="F1" s="1090"/>
      <c r="G1" s="1090"/>
      <c r="H1" s="1090"/>
      <c r="I1" s="1090"/>
      <c r="J1" s="1090"/>
      <c r="K1" s="1090"/>
      <c r="L1" s="1090"/>
      <c r="M1" s="1090"/>
      <c r="N1" s="1090"/>
      <c r="O1" s="1090"/>
    </row>
    <row r="2" spans="1:19" s="1104" customFormat="1" ht="18" customHeight="1">
      <c r="A2" s="1084" t="s">
        <v>780</v>
      </c>
      <c r="B2" s="1090"/>
      <c r="C2" s="1090"/>
      <c r="D2" s="1090"/>
      <c r="E2" s="1090"/>
      <c r="F2" s="1090"/>
      <c r="G2" s="1090"/>
      <c r="H2" s="1090"/>
      <c r="I2" s="1090"/>
      <c r="J2" s="1090"/>
      <c r="K2" s="1090"/>
      <c r="L2" s="1090"/>
      <c r="M2" s="1090"/>
      <c r="N2" s="1090"/>
      <c r="O2" s="1090"/>
    </row>
    <row r="3" spans="1:19" s="1104" customFormat="1" ht="18" customHeight="1">
      <c r="A3" s="1073" t="s">
        <v>781</v>
      </c>
      <c r="B3" s="1090"/>
      <c r="C3" s="1090"/>
      <c r="D3" s="1090"/>
      <c r="E3" s="1090"/>
      <c r="F3" s="1090"/>
      <c r="G3" s="1090"/>
      <c r="H3" s="1090"/>
      <c r="I3" s="1090"/>
      <c r="J3" s="1090"/>
      <c r="K3" s="1090"/>
      <c r="L3" s="1090"/>
      <c r="M3" s="1090"/>
      <c r="N3" s="1090"/>
      <c r="O3" s="1090"/>
    </row>
    <row r="4" spans="1:19" s="1104" customFormat="1" ht="18" customHeight="1">
      <c r="A4" s="1419" t="s">
        <v>782</v>
      </c>
      <c r="B4" s="1090"/>
      <c r="C4" s="1090"/>
      <c r="D4" s="1090"/>
      <c r="E4" s="1090"/>
      <c r="F4" s="1090"/>
      <c r="G4" s="1090"/>
      <c r="H4" s="1090"/>
      <c r="I4" s="1090"/>
      <c r="J4" s="1090"/>
      <c r="K4" s="1090"/>
      <c r="L4" s="1090"/>
      <c r="M4" s="1090"/>
      <c r="N4" s="1090"/>
      <c r="O4" s="1090"/>
    </row>
    <row r="5" spans="1:19" s="1104" customFormat="1" ht="18" customHeight="1">
      <c r="A5" s="1073" t="s">
        <v>783</v>
      </c>
      <c r="B5" s="1090"/>
      <c r="C5" s="1090"/>
      <c r="D5" s="1090"/>
      <c r="E5" s="1090"/>
      <c r="F5" s="1090"/>
      <c r="G5" s="1090"/>
      <c r="H5" s="1090"/>
      <c r="I5" s="1090"/>
      <c r="J5" s="1090"/>
      <c r="K5" s="1090"/>
      <c r="L5" s="1090"/>
      <c r="M5" s="1090"/>
      <c r="N5" s="1090"/>
      <c r="O5" s="1090"/>
    </row>
    <row r="6" spans="1:19" s="520" customFormat="1" ht="14.25" customHeight="1">
      <c r="A6" s="517" t="s">
        <v>784</v>
      </c>
      <c r="B6" s="518"/>
      <c r="C6" s="519"/>
      <c r="D6" s="519"/>
      <c r="E6" s="519"/>
      <c r="F6" s="519"/>
      <c r="G6" s="519"/>
      <c r="H6" s="519"/>
      <c r="I6" s="519"/>
      <c r="J6" s="519"/>
      <c r="K6" s="515"/>
      <c r="L6" s="515"/>
      <c r="M6" s="515"/>
      <c r="N6" s="515"/>
      <c r="O6" s="516" t="s">
        <v>785</v>
      </c>
    </row>
    <row r="7" spans="1:19" s="520" customFormat="1" ht="18" customHeight="1">
      <c r="A7" s="2623" t="s">
        <v>387</v>
      </c>
      <c r="B7" s="2624"/>
      <c r="C7" s="1420" t="s">
        <v>379</v>
      </c>
      <c r="D7" s="521"/>
      <c r="E7" s="519"/>
      <c r="F7" s="519"/>
      <c r="G7" s="522"/>
      <c r="H7" s="1421" t="s">
        <v>380</v>
      </c>
      <c r="I7" s="523"/>
      <c r="J7" s="1424" t="s">
        <v>381</v>
      </c>
      <c r="K7" s="524"/>
      <c r="L7" s="515"/>
      <c r="M7" s="515"/>
      <c r="N7" s="522"/>
      <c r="O7" s="1426" t="s">
        <v>382</v>
      </c>
    </row>
    <row r="8" spans="1:19" s="525" customFormat="1" ht="18" customHeight="1">
      <c r="A8" s="2625"/>
      <c r="B8" s="2626"/>
      <c r="C8" s="1422" t="s">
        <v>786</v>
      </c>
      <c r="D8" s="526"/>
      <c r="E8" s="526"/>
      <c r="F8" s="527"/>
      <c r="G8" s="1423" t="s">
        <v>385</v>
      </c>
      <c r="H8" s="1997"/>
      <c r="I8" s="528"/>
      <c r="J8" s="1425" t="s">
        <v>786</v>
      </c>
      <c r="K8" s="526"/>
      <c r="L8" s="526"/>
      <c r="M8" s="527"/>
      <c r="N8" s="1423" t="s">
        <v>385</v>
      </c>
      <c r="O8" s="529"/>
    </row>
    <row r="9" spans="1:19" s="525" customFormat="1" ht="18" customHeight="1">
      <c r="A9" s="2625"/>
      <c r="B9" s="2626"/>
      <c r="C9" s="532"/>
      <c r="D9" s="533" t="s">
        <v>510</v>
      </c>
      <c r="E9" s="534"/>
      <c r="F9" s="532"/>
      <c r="G9" s="535"/>
      <c r="H9" s="536" t="s">
        <v>383</v>
      </c>
      <c r="I9" s="528" t="s">
        <v>390</v>
      </c>
      <c r="J9" s="537"/>
      <c r="K9" s="533" t="s">
        <v>510</v>
      </c>
      <c r="L9" s="533"/>
      <c r="M9" s="535"/>
      <c r="N9" s="535"/>
      <c r="O9" s="538" t="s">
        <v>383</v>
      </c>
    </row>
    <row r="10" spans="1:19" s="525" customFormat="1" ht="18" customHeight="1">
      <c r="A10" s="2619" t="s">
        <v>395</v>
      </c>
      <c r="B10" s="2620"/>
      <c r="C10" s="539" t="s">
        <v>441</v>
      </c>
      <c r="D10" s="540" t="s">
        <v>787</v>
      </c>
      <c r="E10" s="541" t="s">
        <v>398</v>
      </c>
      <c r="F10" s="540" t="s">
        <v>788</v>
      </c>
      <c r="G10" s="534" t="s">
        <v>390</v>
      </c>
      <c r="H10" s="542"/>
      <c r="I10" s="543" t="s">
        <v>400</v>
      </c>
      <c r="J10" s="544" t="s">
        <v>441</v>
      </c>
      <c r="K10" s="540" t="s">
        <v>787</v>
      </c>
      <c r="L10" s="533" t="s">
        <v>398</v>
      </c>
      <c r="M10" s="533" t="s">
        <v>788</v>
      </c>
      <c r="N10" s="534" t="s">
        <v>390</v>
      </c>
      <c r="O10" s="538"/>
    </row>
    <row r="11" spans="1:19" s="552" customFormat="1" ht="18" customHeight="1">
      <c r="A11" s="2619"/>
      <c r="B11" s="2620"/>
      <c r="C11" s="545" t="s">
        <v>789</v>
      </c>
      <c r="D11" s="546" t="s">
        <v>790</v>
      </c>
      <c r="E11" s="545" t="s">
        <v>476</v>
      </c>
      <c r="F11" s="545" t="s">
        <v>407</v>
      </c>
      <c r="G11" s="545" t="s">
        <v>400</v>
      </c>
      <c r="H11" s="547" t="s">
        <v>388</v>
      </c>
      <c r="I11" s="548"/>
      <c r="J11" s="545" t="s">
        <v>789</v>
      </c>
      <c r="K11" s="549" t="s">
        <v>790</v>
      </c>
      <c r="L11" s="549" t="s">
        <v>476</v>
      </c>
      <c r="M11" s="549" t="s">
        <v>407</v>
      </c>
      <c r="N11" s="549" t="s">
        <v>400</v>
      </c>
      <c r="O11" s="550" t="s">
        <v>388</v>
      </c>
      <c r="P11" s="551" t="s">
        <v>791</v>
      </c>
      <c r="Q11" s="551"/>
      <c r="R11" s="551" t="s">
        <v>400</v>
      </c>
      <c r="S11" s="551"/>
    </row>
    <row r="12" spans="1:19" s="525" customFormat="1" ht="18" customHeight="1">
      <c r="A12" s="2621"/>
      <c r="B12" s="2622"/>
      <c r="C12" s="553"/>
      <c r="D12" s="553" t="s">
        <v>792</v>
      </c>
      <c r="E12" s="554" t="s">
        <v>793</v>
      </c>
      <c r="F12" s="553"/>
      <c r="G12" s="555"/>
      <c r="H12" s="553"/>
      <c r="I12" s="556"/>
      <c r="J12" s="1995"/>
      <c r="K12" s="553" t="s">
        <v>792</v>
      </c>
      <c r="L12" s="554" t="s">
        <v>793</v>
      </c>
      <c r="M12" s="555"/>
      <c r="N12" s="555"/>
      <c r="O12" s="1996"/>
      <c r="P12" s="557" t="s">
        <v>794</v>
      </c>
      <c r="Q12" s="557" t="s">
        <v>795</v>
      </c>
      <c r="R12" s="558" t="s">
        <v>796</v>
      </c>
      <c r="S12" s="557" t="s">
        <v>797</v>
      </c>
    </row>
    <row r="13" spans="1:19" s="274" customFormat="1" ht="20.25" customHeight="1">
      <c r="A13" s="263">
        <v>2016</v>
      </c>
      <c r="B13" s="273"/>
      <c r="C13" s="1235">
        <v>13322.619717184172</v>
      </c>
      <c r="D13" s="422">
        <v>25399.302219789704</v>
      </c>
      <c r="E13" s="421">
        <v>13391.129491687345</v>
      </c>
      <c r="F13" s="423">
        <v>3648.0004800348456</v>
      </c>
      <c r="G13" s="422">
        <v>55761.027364558686</v>
      </c>
      <c r="H13" s="423">
        <v>130289.51337180738</v>
      </c>
      <c r="I13" s="1024">
        <v>186050.53414062137</v>
      </c>
      <c r="J13" s="423">
        <v>9791.9844748150681</v>
      </c>
      <c r="K13" s="424">
        <v>26376.895345730412</v>
      </c>
      <c r="L13" s="421">
        <v>5814.8920479319322</v>
      </c>
      <c r="M13" s="423">
        <v>12842.668923176989</v>
      </c>
      <c r="N13" s="651">
        <v>54826.493983143766</v>
      </c>
      <c r="O13" s="1023">
        <v>131223.96980251285</v>
      </c>
      <c r="P13" s="382"/>
      <c r="Q13" s="427"/>
      <c r="R13" s="427"/>
      <c r="S13" s="427"/>
    </row>
    <row r="14" spans="1:19" s="276" customFormat="1" ht="14.9" customHeight="1">
      <c r="A14" s="265">
        <v>2017</v>
      </c>
      <c r="B14" s="275"/>
      <c r="C14" s="1235">
        <v>13224.880169996653</v>
      </c>
      <c r="D14" s="422">
        <v>26108.650419549496</v>
      </c>
      <c r="E14" s="421">
        <v>14769.97242190436</v>
      </c>
      <c r="F14" s="423">
        <v>3679.4466524546515</v>
      </c>
      <c r="G14" s="422">
        <v>57782.962808951124</v>
      </c>
      <c r="H14" s="423">
        <v>129660.93887149695</v>
      </c>
      <c r="I14" s="1024">
        <v>187443.85848895868</v>
      </c>
      <c r="J14" s="423">
        <v>8373.7614167460142</v>
      </c>
      <c r="K14" s="424">
        <v>27783.284980878758</v>
      </c>
      <c r="L14" s="421">
        <v>6107.4272603876352</v>
      </c>
      <c r="M14" s="423">
        <v>13633.07870770893</v>
      </c>
      <c r="N14" s="651">
        <v>55897.584317848989</v>
      </c>
      <c r="O14" s="1023">
        <v>131546.30366312145</v>
      </c>
      <c r="P14" s="382"/>
      <c r="Q14" s="427"/>
      <c r="R14" s="427"/>
      <c r="S14" s="427"/>
    </row>
    <row r="15" spans="1:19" s="889" customFormat="1" ht="14.25" customHeight="1">
      <c r="A15" s="884">
        <v>2018</v>
      </c>
      <c r="B15" s="885"/>
      <c r="C15" s="1304">
        <v>13700.065966641987</v>
      </c>
      <c r="D15" s="874">
        <v>29500.543871063212</v>
      </c>
      <c r="E15" s="1301">
        <v>15268.849943895733</v>
      </c>
      <c r="F15" s="684">
        <v>3979.0083192753309</v>
      </c>
      <c r="G15" s="874">
        <v>62448.439991715662</v>
      </c>
      <c r="H15" s="684">
        <v>130201.03531637968</v>
      </c>
      <c r="I15" s="1302">
        <v>192649.43830809538</v>
      </c>
      <c r="J15" s="684">
        <v>8922.0947499335871</v>
      </c>
      <c r="K15" s="680">
        <v>28640.910506081611</v>
      </c>
      <c r="L15" s="1301">
        <v>5962.2524878812819</v>
      </c>
      <c r="M15" s="684">
        <v>14372.261661857876</v>
      </c>
      <c r="N15" s="890">
        <v>57897.561530754348</v>
      </c>
      <c r="O15" s="1305">
        <v>134751.8405038557</v>
      </c>
      <c r="P15" s="382"/>
      <c r="Q15" s="427"/>
      <c r="R15" s="427"/>
      <c r="S15" s="427"/>
    </row>
    <row r="16" spans="1:19" s="889" customFormat="1" ht="14.25" customHeight="1">
      <c r="A16" s="884">
        <v>2019</v>
      </c>
      <c r="B16" s="885"/>
      <c r="C16" s="1304">
        <v>15457.608671876529</v>
      </c>
      <c r="D16" s="874">
        <v>30750.642866545204</v>
      </c>
      <c r="E16" s="1301">
        <v>17357.256737510259</v>
      </c>
      <c r="F16" s="684">
        <v>4949.9845587032196</v>
      </c>
      <c r="G16" s="874">
        <v>68515.450056265778</v>
      </c>
      <c r="H16" s="684">
        <v>136391.29871570531</v>
      </c>
      <c r="I16" s="1302">
        <v>204906.77877197106</v>
      </c>
      <c r="J16" s="684">
        <v>9232.5869365932631</v>
      </c>
      <c r="K16" s="680">
        <v>31529.135210692151</v>
      </c>
      <c r="L16" s="1301">
        <v>6046.6652735764028</v>
      </c>
      <c r="M16" s="684">
        <v>15501.575138992888</v>
      </c>
      <c r="N16" s="890">
        <v>62310.018441341774</v>
      </c>
      <c r="O16" s="1305">
        <v>142596.79664643575</v>
      </c>
      <c r="P16" s="382"/>
      <c r="Q16" s="427"/>
      <c r="R16" s="427"/>
      <c r="S16" s="427"/>
    </row>
    <row r="17" spans="1:19" s="889" customFormat="1" ht="14.25" customHeight="1">
      <c r="A17" s="884">
        <v>2020</v>
      </c>
      <c r="B17" s="885"/>
      <c r="C17" s="1304">
        <v>14825.111542872424</v>
      </c>
      <c r="D17" s="874">
        <v>33581.620905857257</v>
      </c>
      <c r="E17" s="1301">
        <v>18402.983215341588</v>
      </c>
      <c r="F17" s="684">
        <v>4702.130865142738</v>
      </c>
      <c r="G17" s="874">
        <v>71511.822925098095</v>
      </c>
      <c r="H17" s="684">
        <v>135841.65560143243</v>
      </c>
      <c r="I17" s="1302">
        <v>207353.52852653054</v>
      </c>
      <c r="J17" s="684">
        <v>9652.0810035674858</v>
      </c>
      <c r="K17" s="680">
        <v>33673.111865645915</v>
      </c>
      <c r="L17" s="1301">
        <v>5098.2383874026818</v>
      </c>
      <c r="M17" s="684">
        <v>16453.743705156634</v>
      </c>
      <c r="N17" s="890">
        <v>64877.139635812084</v>
      </c>
      <c r="O17" s="1305">
        <v>142476.42536248692</v>
      </c>
      <c r="P17" s="382"/>
      <c r="Q17" s="427"/>
      <c r="R17" s="427"/>
      <c r="S17" s="427"/>
    </row>
    <row r="18" spans="1:19" s="889" customFormat="1" ht="14.25" customHeight="1">
      <c r="A18" s="884">
        <v>2021</v>
      </c>
      <c r="B18" s="885"/>
      <c r="C18" s="1304">
        <v>17858.779558973598</v>
      </c>
      <c r="D18" s="874">
        <v>34209.695944195992</v>
      </c>
      <c r="E18" s="1301">
        <v>19696.254905242717</v>
      </c>
      <c r="F18" s="684">
        <v>4313.840915976305</v>
      </c>
      <c r="G18" s="874">
        <v>76078.554727566807</v>
      </c>
      <c r="H18" s="684">
        <v>141423.04350746062</v>
      </c>
      <c r="I18" s="1302">
        <v>217501.64823502745</v>
      </c>
      <c r="J18" s="684">
        <v>11893.637026597276</v>
      </c>
      <c r="K18" s="680">
        <v>35389.64355627937</v>
      </c>
      <c r="L18" s="1301">
        <v>4808.0353055277465</v>
      </c>
      <c r="M18" s="684">
        <v>16269.471439292822</v>
      </c>
      <c r="N18" s="890">
        <v>68360.737579266366</v>
      </c>
      <c r="O18" s="1305">
        <v>149140.93805809924</v>
      </c>
      <c r="P18" s="382"/>
      <c r="Q18" s="427"/>
      <c r="R18" s="427"/>
      <c r="S18" s="427"/>
    </row>
    <row r="19" spans="1:19" s="483" customFormat="1" ht="14.25" customHeight="1">
      <c r="A19" s="1782">
        <v>2022</v>
      </c>
      <c r="B19" s="1783"/>
      <c r="C19" s="2399">
        <v>21002.061763606922</v>
      </c>
      <c r="D19" s="1849">
        <v>34836.049921396683</v>
      </c>
      <c r="E19" s="2400">
        <v>19432.111456099254</v>
      </c>
      <c r="F19" s="1613">
        <v>6165.7913863230751</v>
      </c>
      <c r="G19" s="1849">
        <v>81435.994527425923</v>
      </c>
      <c r="H19" s="1613">
        <v>142658.59267128466</v>
      </c>
      <c r="I19" s="2401">
        <v>224094.63719870997</v>
      </c>
      <c r="J19" s="1613">
        <v>11615.434922380509</v>
      </c>
      <c r="K19" s="2380">
        <v>37825.411726042817</v>
      </c>
      <c r="L19" s="2400">
        <v>4600.1381998248098</v>
      </c>
      <c r="M19" s="1613">
        <v>18292.234715514944</v>
      </c>
      <c r="N19" s="1655">
        <v>72333.119563763074</v>
      </c>
      <c r="O19" s="2402">
        <v>151761.51585320084</v>
      </c>
      <c r="P19" s="1855"/>
      <c r="Q19" s="2274"/>
      <c r="R19" s="2274"/>
      <c r="S19" s="2274"/>
    </row>
    <row r="20" spans="1:19" s="483" customFormat="1" ht="14.25" customHeight="1">
      <c r="A20" s="1782">
        <v>2023</v>
      </c>
      <c r="B20" s="1783"/>
      <c r="C20" s="2399">
        <v>25708.920488742428</v>
      </c>
      <c r="D20" s="1849">
        <v>36306.438223005869</v>
      </c>
      <c r="E20" s="2400">
        <v>20818.415610031887</v>
      </c>
      <c r="F20" s="1613">
        <v>5992.6034799139316</v>
      </c>
      <c r="G20" s="1849">
        <v>88826.302127659583</v>
      </c>
      <c r="H20" s="1613">
        <v>149701.82765957445</v>
      </c>
      <c r="I20" s="2401">
        <v>238528.12978723401</v>
      </c>
      <c r="J20" s="1613">
        <v>12380.091677678865</v>
      </c>
      <c r="K20" s="2380">
        <v>39516.968376497149</v>
      </c>
      <c r="L20" s="2400">
        <v>4708.3111936773275</v>
      </c>
      <c r="M20" s="1613">
        <v>17222.373993364108</v>
      </c>
      <c r="N20" s="1655">
        <v>73827.797872340423</v>
      </c>
      <c r="O20" s="2402">
        <v>164700.33191489361</v>
      </c>
      <c r="P20" s="1855"/>
      <c r="Q20" s="2274"/>
      <c r="R20" s="2274"/>
      <c r="S20" s="2274"/>
    </row>
    <row r="21" spans="1:19" s="483" customFormat="1" ht="14.25" customHeight="1">
      <c r="A21" s="1782">
        <v>2024</v>
      </c>
      <c r="B21" s="1783"/>
      <c r="C21" s="2399">
        <v>26039.231394276245</v>
      </c>
      <c r="D21" s="1849">
        <v>36160.126274693896</v>
      </c>
      <c r="E21" s="2400">
        <v>22065.542366984151</v>
      </c>
      <c r="F21" s="1613">
        <v>5634.1166633557023</v>
      </c>
      <c r="G21" s="1849">
        <v>89898.948936170214</v>
      </c>
      <c r="H21" s="1613">
        <v>157928.67234042555</v>
      </c>
      <c r="I21" s="2401">
        <v>247827.62127659575</v>
      </c>
      <c r="J21" s="1613">
        <v>11690.662380256965</v>
      </c>
      <c r="K21" s="2380">
        <v>38944.58166446878</v>
      </c>
      <c r="L21" s="2400">
        <v>5210.4576074336073</v>
      </c>
      <c r="M21" s="1613">
        <v>17197.435249246348</v>
      </c>
      <c r="N21" s="1655">
        <v>73043.204255319142</v>
      </c>
      <c r="O21" s="2402">
        <v>174784.4170212766</v>
      </c>
      <c r="P21" s="1855"/>
      <c r="Q21" s="2274"/>
      <c r="R21" s="2274"/>
      <c r="S21" s="2274"/>
    </row>
    <row r="22" spans="1:19" s="483" customFormat="1" ht="14.25" customHeight="1">
      <c r="A22" s="2058">
        <v>2025</v>
      </c>
      <c r="B22" s="2200"/>
      <c r="C22" s="2270">
        <f t="shared" ref="C22:O22" si="0">C29</f>
        <v>27697.065848401991</v>
      </c>
      <c r="D22" s="2233">
        <f t="shared" si="0"/>
        <v>38319.063705568173</v>
      </c>
      <c r="E22" s="2271">
        <f t="shared" si="0"/>
        <v>26261.105649594414</v>
      </c>
      <c r="F22" s="1614">
        <f t="shared" si="0"/>
        <v>6317.7843286898433</v>
      </c>
      <c r="G22" s="2233">
        <f t="shared" si="0"/>
        <v>98595.051063829786</v>
      </c>
      <c r="H22" s="1614">
        <f t="shared" si="0"/>
        <v>155859.62553191488</v>
      </c>
      <c r="I22" s="2272">
        <f t="shared" si="0"/>
        <v>254454.67659574468</v>
      </c>
      <c r="J22" s="1614">
        <f t="shared" si="0"/>
        <v>12532.87977809774</v>
      </c>
      <c r="K22" s="2243">
        <f t="shared" si="0"/>
        <v>40169.722827473095</v>
      </c>
      <c r="L22" s="2271">
        <f t="shared" si="0"/>
        <v>4816.8490365728194</v>
      </c>
      <c r="M22" s="1614">
        <f t="shared" si="0"/>
        <v>18117.777997483048</v>
      </c>
      <c r="N22" s="2231">
        <f t="shared" si="0"/>
        <v>75637.159574468096</v>
      </c>
      <c r="O22" s="2273">
        <f t="shared" si="0"/>
        <v>178817.51702127658</v>
      </c>
      <c r="P22" s="1855"/>
      <c r="Q22" s="2274"/>
      <c r="R22" s="2274"/>
      <c r="S22" s="2274"/>
    </row>
    <row r="23" spans="1:19" s="889" customFormat="1" ht="21" customHeight="1">
      <c r="A23" s="884">
        <v>2024</v>
      </c>
      <c r="B23" s="885" t="s">
        <v>243</v>
      </c>
      <c r="C23" s="1304">
        <v>25960.693676159513</v>
      </c>
      <c r="D23" s="874">
        <v>37665.35534526618</v>
      </c>
      <c r="E23" s="1301">
        <v>21033.560678228005</v>
      </c>
      <c r="F23" s="684">
        <v>6491.7599316717478</v>
      </c>
      <c r="G23" s="874">
        <v>91151.519148936175</v>
      </c>
      <c r="H23" s="684">
        <v>152498.76382978723</v>
      </c>
      <c r="I23" s="1302">
        <v>243650.28297872341</v>
      </c>
      <c r="J23" s="684">
        <v>11691.361135835523</v>
      </c>
      <c r="K23" s="680">
        <v>39272.611155599348</v>
      </c>
      <c r="L23" s="1301">
        <v>4877.2858344714559</v>
      </c>
      <c r="M23" s="684">
        <v>17142.679058777285</v>
      </c>
      <c r="N23" s="890">
        <v>72983.98723404255</v>
      </c>
      <c r="O23" s="1305">
        <v>170666.29574468086</v>
      </c>
      <c r="P23" s="382"/>
      <c r="Q23" s="427"/>
      <c r="R23" s="427"/>
      <c r="S23" s="427"/>
    </row>
    <row r="24" spans="1:19" s="889" customFormat="1" ht="15" customHeight="1">
      <c r="A24" s="884"/>
      <c r="B24" s="885" t="s">
        <v>240</v>
      </c>
      <c r="C24" s="1304">
        <v>27976.981387339976</v>
      </c>
      <c r="D24" s="874">
        <v>37351.602250639386</v>
      </c>
      <c r="E24" s="1301">
        <v>21946.97107317136</v>
      </c>
      <c r="F24" s="684">
        <v>6201.5936572183709</v>
      </c>
      <c r="G24" s="874">
        <v>93477.235957446814</v>
      </c>
      <c r="H24" s="684">
        <v>156250.88085106382</v>
      </c>
      <c r="I24" s="1302">
        <v>249728.14680851065</v>
      </c>
      <c r="J24" s="684">
        <v>11832.233133446745</v>
      </c>
      <c r="K24" s="680">
        <v>40358.003460695058</v>
      </c>
      <c r="L24" s="1301">
        <v>5308.1028577197685</v>
      </c>
      <c r="M24" s="684">
        <v>17674.907044088013</v>
      </c>
      <c r="N24" s="890">
        <v>75173.238085106379</v>
      </c>
      <c r="O24" s="1305">
        <v>174554.87872340425</v>
      </c>
      <c r="P24" s="382"/>
      <c r="Q24" s="427"/>
      <c r="R24" s="427"/>
      <c r="S24" s="427"/>
    </row>
    <row r="25" spans="1:19" s="889" customFormat="1" ht="15" customHeight="1">
      <c r="A25" s="884"/>
      <c r="B25" s="885" t="s">
        <v>241</v>
      </c>
      <c r="C25" s="1304">
        <v>26039.231394276245</v>
      </c>
      <c r="D25" s="874">
        <v>36160.126274693896</v>
      </c>
      <c r="E25" s="1301">
        <v>22065.542366984151</v>
      </c>
      <c r="F25" s="684">
        <v>5634.1166633557023</v>
      </c>
      <c r="G25" s="874">
        <v>89898.948936170214</v>
      </c>
      <c r="H25" s="684">
        <v>157928.67234042555</v>
      </c>
      <c r="I25" s="1302">
        <v>247827.62127659575</v>
      </c>
      <c r="J25" s="684">
        <v>11690.662380256965</v>
      </c>
      <c r="K25" s="680">
        <v>38944.58166446878</v>
      </c>
      <c r="L25" s="1301">
        <v>5210.4576074336073</v>
      </c>
      <c r="M25" s="684">
        <v>17197.435249246348</v>
      </c>
      <c r="N25" s="890">
        <v>73043.204255319142</v>
      </c>
      <c r="O25" s="1305">
        <v>174784.4170212766</v>
      </c>
      <c r="P25" s="382"/>
      <c r="Q25" s="427"/>
      <c r="R25" s="427"/>
      <c r="S25" s="427"/>
    </row>
    <row r="26" spans="1:19" s="889" customFormat="1" ht="21" customHeight="1">
      <c r="A26" s="884">
        <v>2025</v>
      </c>
      <c r="B26" s="885" t="s">
        <v>242</v>
      </c>
      <c r="C26" s="1304">
        <v>28544.259349633408</v>
      </c>
      <c r="D26" s="874">
        <v>37701.855598050708</v>
      </c>
      <c r="E26" s="1301">
        <v>22094.26361380814</v>
      </c>
      <c r="F26" s="684">
        <v>6005.012750032176</v>
      </c>
      <c r="G26" s="874">
        <v>94345.45319148936</v>
      </c>
      <c r="H26" s="684">
        <v>155772.73191489361</v>
      </c>
      <c r="I26" s="1302">
        <v>250118.185106383</v>
      </c>
      <c r="J26" s="684">
        <v>12758.715424131378</v>
      </c>
      <c r="K26" s="680">
        <v>39207.127311221746</v>
      </c>
      <c r="L26" s="1301">
        <v>5378.026284896403</v>
      </c>
      <c r="M26" s="684">
        <v>17656.842290519435</v>
      </c>
      <c r="N26" s="890">
        <v>75000.617021276601</v>
      </c>
      <c r="O26" s="1305">
        <v>175117.56808510638</v>
      </c>
      <c r="P26" s="382"/>
      <c r="Q26" s="427"/>
      <c r="R26" s="427"/>
      <c r="S26" s="427"/>
    </row>
    <row r="27" spans="1:19" s="889" customFormat="1" ht="15" customHeight="1">
      <c r="A27" s="884"/>
      <c r="B27" s="885" t="s">
        <v>243</v>
      </c>
      <c r="C27" s="1304">
        <v>28277.609653895124</v>
      </c>
      <c r="D27" s="874">
        <v>37683.680462045188</v>
      </c>
      <c r="E27" s="1301">
        <v>23873.955026587872</v>
      </c>
      <c r="F27" s="684">
        <v>6391.2546926431705</v>
      </c>
      <c r="G27" s="874">
        <v>96226.619148936166</v>
      </c>
      <c r="H27" s="684">
        <v>156121.42765957446</v>
      </c>
      <c r="I27" s="1302">
        <v>252348.04680851064</v>
      </c>
      <c r="J27" s="684">
        <v>13361.463581661084</v>
      </c>
      <c r="K27" s="680">
        <v>39323.240867138069</v>
      </c>
      <c r="L27" s="1301">
        <v>5188.2663070294784</v>
      </c>
      <c r="M27" s="684">
        <v>17448.177756212892</v>
      </c>
      <c r="N27" s="890">
        <v>75321.219148936172</v>
      </c>
      <c r="O27" s="1305">
        <v>177026.82765957445</v>
      </c>
      <c r="P27" s="412">
        <v>0</v>
      </c>
      <c r="Q27" s="1860">
        <v>0</v>
      </c>
      <c r="R27" s="1860">
        <v>0</v>
      </c>
      <c r="S27" s="1860">
        <v>0</v>
      </c>
    </row>
    <row r="28" spans="1:19" s="889" customFormat="1" ht="15" customHeight="1">
      <c r="A28" s="884"/>
      <c r="B28" s="885" t="s">
        <v>240</v>
      </c>
      <c r="C28" s="1304">
        <f t="shared" ref="C28:O28" si="1">C35</f>
        <v>26108.736375268898</v>
      </c>
      <c r="D28" s="874">
        <f t="shared" si="1"/>
        <v>38128.437790530879</v>
      </c>
      <c r="E28" s="1301">
        <f t="shared" si="1"/>
        <v>25624.244830618372</v>
      </c>
      <c r="F28" s="684">
        <f t="shared" si="1"/>
        <v>6530.436129406382</v>
      </c>
      <c r="G28" s="874">
        <f t="shared" si="1"/>
        <v>96391.734042553187</v>
      </c>
      <c r="H28" s="684">
        <f t="shared" si="1"/>
        <v>160027.17872340424</v>
      </c>
      <c r="I28" s="1302">
        <f t="shared" si="1"/>
        <v>256418.91276595744</v>
      </c>
      <c r="J28" s="684">
        <f t="shared" si="1"/>
        <v>12480.14868268482</v>
      </c>
      <c r="K28" s="680">
        <f t="shared" si="1"/>
        <v>39123.511590405382</v>
      </c>
      <c r="L28" s="1301">
        <f t="shared" si="1"/>
        <v>5303.5947634194963</v>
      </c>
      <c r="M28" s="684">
        <f t="shared" si="1"/>
        <v>17868.737484623976</v>
      </c>
      <c r="N28" s="890">
        <f t="shared" si="1"/>
        <v>74775.948936170214</v>
      </c>
      <c r="O28" s="1305">
        <f t="shared" si="1"/>
        <v>181642.96382978722</v>
      </c>
      <c r="P28" s="412">
        <f t="shared" ref="P28" si="2">ROUND(G28,1)-ROUND(C28,1)-ROUND(D28,1)-ROUND(E28,1)-ROUND(F28,1)</f>
        <v>0</v>
      </c>
      <c r="Q28" s="1860">
        <f t="shared" ref="Q28" si="3">ROUND(N28,1)-ROUND(J28,1)-ROUND(K28,1)-ROUND(L28,1)-ROUND(M28,1)</f>
        <v>0</v>
      </c>
      <c r="R28" s="1860">
        <f t="shared" ref="R28" si="4">ROUND(I28,1)-ROUND(G28,1)-ROUND(H28,1)</f>
        <v>0</v>
      </c>
      <c r="S28" s="1860">
        <f t="shared" ref="S28" si="5">ROUND(I28,1)-ROUND(N28,1)-ROUND(O28,1)</f>
        <v>0</v>
      </c>
    </row>
    <row r="29" spans="1:19" s="889" customFormat="1" ht="15" customHeight="1">
      <c r="A29" s="884"/>
      <c r="B29" s="885" t="s">
        <v>241</v>
      </c>
      <c r="C29" s="1304">
        <f t="shared" ref="C29:O29" si="6">C38</f>
        <v>27697.065848401991</v>
      </c>
      <c r="D29" s="874">
        <f t="shared" si="6"/>
        <v>38319.063705568173</v>
      </c>
      <c r="E29" s="1301">
        <f t="shared" si="6"/>
        <v>26261.105649594414</v>
      </c>
      <c r="F29" s="684">
        <f t="shared" si="6"/>
        <v>6317.7843286898433</v>
      </c>
      <c r="G29" s="874">
        <f t="shared" si="6"/>
        <v>98595.051063829786</v>
      </c>
      <c r="H29" s="684">
        <f t="shared" si="6"/>
        <v>155859.62553191488</v>
      </c>
      <c r="I29" s="1302">
        <f t="shared" si="6"/>
        <v>254454.67659574468</v>
      </c>
      <c r="J29" s="684">
        <f t="shared" si="6"/>
        <v>12532.87977809774</v>
      </c>
      <c r="K29" s="680">
        <f t="shared" si="6"/>
        <v>40169.722827473095</v>
      </c>
      <c r="L29" s="1301">
        <f t="shared" si="6"/>
        <v>4816.8490365728194</v>
      </c>
      <c r="M29" s="684">
        <f t="shared" si="6"/>
        <v>18117.777997483048</v>
      </c>
      <c r="N29" s="890">
        <f t="shared" si="6"/>
        <v>75637.159574468096</v>
      </c>
      <c r="O29" s="1305">
        <f t="shared" si="6"/>
        <v>178817.51702127658</v>
      </c>
      <c r="P29" s="412">
        <f t="shared" ref="P29" si="7">ROUND(G29,1)-ROUND(C29,1)-ROUND(D29,1)-ROUND(E29,1)-ROUND(F29,1)</f>
        <v>0</v>
      </c>
      <c r="Q29" s="1860">
        <f t="shared" ref="Q29" si="8">ROUND(N29,1)-ROUND(J29,1)-ROUND(K29,1)-ROUND(L29,1)-ROUND(M29,1)</f>
        <v>0</v>
      </c>
      <c r="R29" s="1860">
        <f t="shared" ref="R29" si="9">ROUND(I29,1)-ROUND(G29,1)-ROUND(H29,1)</f>
        <v>0</v>
      </c>
      <c r="S29" s="1860">
        <f t="shared" ref="S29" si="10">ROUND(I29,1)-ROUND(N29,1)-ROUND(O29,1)</f>
        <v>0</v>
      </c>
    </row>
    <row r="30" spans="1:19" s="889" customFormat="1" ht="21" customHeight="1">
      <c r="A30" s="1681">
        <v>2026</v>
      </c>
      <c r="B30" s="1687" t="s">
        <v>242</v>
      </c>
      <c r="C30" s="1706">
        <f t="shared" ref="C30:O30" si="11">C41</f>
        <v>30510.496995902646</v>
      </c>
      <c r="D30" s="1707">
        <f t="shared" si="11"/>
        <v>39182.761000718441</v>
      </c>
      <c r="E30" s="1708">
        <f t="shared" si="11"/>
        <v>26999.45667894771</v>
      </c>
      <c r="F30" s="1709">
        <f t="shared" si="11"/>
        <v>6783.1968683911418</v>
      </c>
      <c r="G30" s="1707">
        <f t="shared" si="11"/>
        <v>103476.00638297873</v>
      </c>
      <c r="H30" s="1709">
        <f t="shared" si="11"/>
        <v>153402.88085106382</v>
      </c>
      <c r="I30" s="1710">
        <f t="shared" si="11"/>
        <v>256878.88723404257</v>
      </c>
      <c r="J30" s="1709">
        <f t="shared" si="11"/>
        <v>13582.796412759351</v>
      </c>
      <c r="K30" s="1711">
        <f t="shared" si="11"/>
        <v>41510.663306512142</v>
      </c>
      <c r="L30" s="1708">
        <f t="shared" si="11"/>
        <v>5325.862228977644</v>
      </c>
      <c r="M30" s="1709">
        <f t="shared" si="11"/>
        <v>18065.078972424115</v>
      </c>
      <c r="N30" s="1712">
        <f t="shared" si="11"/>
        <v>78484.460425531928</v>
      </c>
      <c r="O30" s="1713">
        <f t="shared" si="11"/>
        <v>178394.44680851063</v>
      </c>
      <c r="P30" s="382">
        <f t="shared" ref="P30" si="12">ROUND(G30,1)-ROUND(C30,1)-ROUND(D30,1)-ROUND(E30,1)-ROUND(F30,1)</f>
        <v>0</v>
      </c>
      <c r="Q30" s="427">
        <f t="shared" ref="Q30" si="13">ROUND(N30,1)-ROUND(J30,1)-ROUND(K30,1)-ROUND(L30,1)-ROUND(M30,1)</f>
        <v>0</v>
      </c>
      <c r="R30" s="427">
        <f t="shared" ref="R30" si="14">ROUND(I30,1)-ROUND(G30,1)-ROUND(H30,1)</f>
        <v>0</v>
      </c>
      <c r="S30" s="427">
        <f t="shared" ref="S30" si="15">ROUND(I30,1)-ROUND(N30,1)-ROUND(O30,1)</f>
        <v>0</v>
      </c>
    </row>
    <row r="31" spans="1:19" s="372" customFormat="1" ht="21" customHeight="1">
      <c r="A31" s="704">
        <v>2025</v>
      </c>
      <c r="B31" s="801" t="s">
        <v>427</v>
      </c>
      <c r="C31" s="1492">
        <v>28254.256658282538</v>
      </c>
      <c r="D31" s="1492">
        <v>38044.204707671663</v>
      </c>
      <c r="E31" s="1519">
        <v>23785.431548851258</v>
      </c>
      <c r="F31" s="1492">
        <v>6385.5826761684275</v>
      </c>
      <c r="G31" s="1523">
        <v>96469.531914893611</v>
      </c>
      <c r="H31" s="1511">
        <v>149089.06468085106</v>
      </c>
      <c r="I31" s="1524">
        <v>245558.5765957447</v>
      </c>
      <c r="J31" s="1520">
        <v>13339.196233178796</v>
      </c>
      <c r="K31" s="1512">
        <v>39157.123680897967</v>
      </c>
      <c r="L31" s="1519">
        <v>5517.0106143038711</v>
      </c>
      <c r="M31" s="1517">
        <v>16880.047264139899</v>
      </c>
      <c r="N31" s="1530">
        <v>74893.274468085117</v>
      </c>
      <c r="O31" s="1530">
        <v>170665.30212765958</v>
      </c>
      <c r="P31" s="412">
        <v>0</v>
      </c>
      <c r="Q31" s="1860">
        <v>0</v>
      </c>
      <c r="R31" s="1860">
        <v>0</v>
      </c>
      <c r="S31" s="1860">
        <v>0</v>
      </c>
    </row>
    <row r="32" spans="1:19" s="372" customFormat="1" ht="16.5" customHeight="1">
      <c r="A32" s="704"/>
      <c r="B32" s="801" t="s">
        <v>428</v>
      </c>
      <c r="C32" s="1492">
        <f>('14'!C32+'14'!D32+'14'!E32)/0.376+'28'!$C32</f>
        <v>28277.609653895124</v>
      </c>
      <c r="D32" s="1492">
        <f>('14'!F32)/0.376+'28'!$D32</f>
        <v>37683.680462045188</v>
      </c>
      <c r="E32" s="1475">
        <f>('14'!G32+'14'!H32)/0.376+'28'!$E32+0.01</f>
        <v>23873.955026587872</v>
      </c>
      <c r="F32" s="1492">
        <f>('14'!I32)/0.376+'28'!$F32</f>
        <v>6391.2546926431705</v>
      </c>
      <c r="G32" s="1523">
        <f>ROUND('14'!J32,1)/0.376+ROUND('28'!$G32,1)</f>
        <v>96226.619148936166</v>
      </c>
      <c r="H32" s="1511">
        <f>ROUND('14'!K32,1)/0.376+ROUND('28'!$M32,1)</f>
        <v>156121.42765957446</v>
      </c>
      <c r="I32" s="1524">
        <f>ROUND('14'!L32,1)/0.376+ROUND('28'!$N32,1)</f>
        <v>252348.04680851064</v>
      </c>
      <c r="J32" s="1520">
        <f>('15'!C32+'15'!D32)/0.376+'29'!$C32+0.03</f>
        <v>13361.463581661084</v>
      </c>
      <c r="K32" s="1512">
        <f>('15'!E32)/0.376+'29'!$D32</f>
        <v>39323.240867138069</v>
      </c>
      <c r="L32" s="1519">
        <f>('15'!F32)/0.376+'29'!$E32</f>
        <v>5188.2663070294784</v>
      </c>
      <c r="M32" s="1517">
        <f>('15'!G32+'15'!H32)/0.376+'29'!$F32</f>
        <v>17448.177756212892</v>
      </c>
      <c r="N32" s="1530">
        <f>ROUND('15'!I32,1)/0.376+ROUND('29'!$G32,1)</f>
        <v>75321.219148936172</v>
      </c>
      <c r="O32" s="1530">
        <f>ROUND('15'!J32,1)/0.376+ROUND('29'!$M32,1)</f>
        <v>177026.82765957445</v>
      </c>
      <c r="P32" s="412">
        <f t="shared" ref="P32" si="16">ROUND(G32,1)-ROUND(C32,1)-ROUND(D32,1)-ROUND(E32,1)-ROUND(F32,1)</f>
        <v>0</v>
      </c>
      <c r="Q32" s="1860">
        <f t="shared" ref="Q32" si="17">ROUND(N32,1)-ROUND(J32,1)-ROUND(K32,1)-ROUND(L32,1)-ROUND(M32,1)</f>
        <v>0</v>
      </c>
      <c r="R32" s="1860">
        <f t="shared" ref="R32" si="18">ROUND(I32,1)-ROUND(G32,1)-ROUND(H32,1)</f>
        <v>0</v>
      </c>
      <c r="S32" s="1860">
        <f t="shared" ref="S32" si="19">ROUND(I32,1)-ROUND(N32,1)-ROUND(O32,1)</f>
        <v>0</v>
      </c>
    </row>
    <row r="33" spans="1:19" s="372" customFormat="1" ht="16.5" customHeight="1">
      <c r="A33" s="704"/>
      <c r="B33" s="801" t="s">
        <v>429</v>
      </c>
      <c r="C33" s="1492">
        <f>('14'!C33+'14'!D33+'14'!E33)/0.376+'28'!$C33</f>
        <v>28548.001822460807</v>
      </c>
      <c r="D33" s="1465">
        <f>('14'!F33)/0.376+'28'!$D33+0.05</f>
        <v>38004.456045715495</v>
      </c>
      <c r="E33" s="1519">
        <f>('14'!G33+'14'!H33)/0.376+'28'!$E33</f>
        <v>24589.376862066594</v>
      </c>
      <c r="F33" s="1492">
        <f>('14'!I33)/0.376+'28'!$F33</f>
        <v>6089.0947775177701</v>
      </c>
      <c r="G33" s="1523">
        <f>ROUND('14'!J33,1)/0.376+ROUND('28'!$G33,1)</f>
        <v>97230.955319148939</v>
      </c>
      <c r="H33" s="1511">
        <f>ROUND('14'!K33,1)/0.376+ROUND('28'!$M33,1)</f>
        <v>149027.8425531915</v>
      </c>
      <c r="I33" s="1524">
        <f>ROUND('14'!L33,1)/0.376+ROUND('28'!$N33,1)</f>
        <v>246258.79787234042</v>
      </c>
      <c r="J33" s="1520">
        <f>('15'!C33+'15'!D33)/0.376+'29'!$C33+0.03</f>
        <v>13897.343884911583</v>
      </c>
      <c r="K33" s="1483">
        <f>('15'!E33)/0.376+'29'!$D33+0.02</f>
        <v>38537.96180676957</v>
      </c>
      <c r="L33" s="1519">
        <f>('15'!F33)/0.376+'29'!$E33</f>
        <v>5647.1503098273461</v>
      </c>
      <c r="M33" s="1517">
        <f>('15'!G33+'15'!H33)/0.376+'29'!$F33</f>
        <v>17537.131389201269</v>
      </c>
      <c r="N33" s="1530">
        <f>ROUND('15'!I33,1)/0.376+ROUND('29'!$G33,1)</f>
        <v>75619.612765957441</v>
      </c>
      <c r="O33" s="1530">
        <f>ROUND('15'!J33,1)/0.376+ROUND('29'!$M33,1)</f>
        <v>170639.185106383</v>
      </c>
      <c r="P33" s="412">
        <f t="shared" ref="P33" si="20">ROUND(G33,1)-ROUND(C33,1)-ROUND(D33,1)-ROUND(E33,1)-ROUND(F33,1)</f>
        <v>0</v>
      </c>
      <c r="Q33" s="1860">
        <f t="shared" ref="Q33" si="21">ROUND(N33,1)-ROUND(J33,1)-ROUND(K33,1)-ROUND(L33,1)-ROUND(M33,1)</f>
        <v>0</v>
      </c>
      <c r="R33" s="1860">
        <f t="shared" ref="R33" si="22">ROUND(I33,1)-ROUND(G33,1)-ROUND(H33,1)</f>
        <v>0</v>
      </c>
      <c r="S33" s="1860">
        <f t="shared" ref="S33" si="23">ROUND(I33,1)-ROUND(N33,1)-ROUND(O33,1)</f>
        <v>0</v>
      </c>
    </row>
    <row r="34" spans="1:19" s="372" customFormat="1" ht="16.5" customHeight="1">
      <c r="A34" s="704"/>
      <c r="B34" s="801" t="s">
        <v>430</v>
      </c>
      <c r="C34" s="1492">
        <f>('14'!C34+'14'!D34+'14'!E34)/0.376+'28'!$C34</f>
        <v>26700.672527212068</v>
      </c>
      <c r="D34" s="1492">
        <f>('14'!F34)/0.376+'28'!$D34</f>
        <v>38314.419532108688</v>
      </c>
      <c r="E34" s="1519">
        <f>('14'!G34+'14'!H34)/0.376+'28'!$E34</f>
        <v>25339.730648541979</v>
      </c>
      <c r="F34" s="1465">
        <f>('14'!I34)/0.376+'28'!$F34+0.03</f>
        <v>6315.3582387129127</v>
      </c>
      <c r="G34" s="1523">
        <f>ROUND('14'!J34,1)/0.376+ROUND('28'!$G34,1)</f>
        <v>96670.223404255317</v>
      </c>
      <c r="H34" s="1511">
        <f>ROUND('14'!K34,1)/0.376+ROUND('28'!$M34,1)</f>
        <v>150107.26808510639</v>
      </c>
      <c r="I34" s="1524">
        <f>ROUND('14'!L34,1)/0.376+ROUND('28'!$N34,1)</f>
        <v>246777.49148936171</v>
      </c>
      <c r="J34" s="1520">
        <f>('15'!C34+'15'!D34)/0.376+'29'!$C34+0.03</f>
        <v>13336.194909728301</v>
      </c>
      <c r="K34" s="1512">
        <f>('15'!E34)/0.376+'29'!$D34</f>
        <v>38880.106577860133</v>
      </c>
      <c r="L34" s="1519">
        <f>('15'!F34)/0.376+'29'!$E34</f>
        <v>5711.4795943250947</v>
      </c>
      <c r="M34" s="1517">
        <f>('15'!G34+'15'!H34)/0.376+'29'!$F34</f>
        <v>17648.772082667543</v>
      </c>
      <c r="N34" s="1530">
        <f>ROUND('15'!I34,1)/0.376+ROUND('29'!$G34,1)</f>
        <v>75576.625531914891</v>
      </c>
      <c r="O34" s="1530">
        <f>ROUND('15'!J34,1)/0.376+ROUND('29'!$M34,1)</f>
        <v>171200.8659574468</v>
      </c>
      <c r="P34" s="412">
        <f t="shared" ref="P34" si="24">ROUND(G34,1)-ROUND(C34,1)-ROUND(D34,1)-ROUND(E34,1)-ROUND(F34,1)</f>
        <v>0</v>
      </c>
      <c r="Q34" s="1860">
        <f t="shared" ref="Q34" si="25">ROUND(N34,1)-ROUND(J34,1)-ROUND(K34,1)-ROUND(L34,1)-ROUND(M34,1)</f>
        <v>0</v>
      </c>
      <c r="R34" s="1860">
        <f t="shared" ref="R34" si="26">ROUND(I34,1)-ROUND(G34,1)-ROUND(H34,1)</f>
        <v>0</v>
      </c>
      <c r="S34" s="1860">
        <f t="shared" ref="S34" si="27">ROUND(I34,1)-ROUND(N34,1)-ROUND(O34,1)</f>
        <v>0</v>
      </c>
    </row>
    <row r="35" spans="1:19" s="372" customFormat="1" ht="16.5" customHeight="1">
      <c r="A35" s="704"/>
      <c r="B35" s="801" t="s">
        <v>431</v>
      </c>
      <c r="C35" s="1465">
        <f>('14'!C35+'14'!D35+'14'!E35)/0.376+'28'!$C35-0.03</f>
        <v>26108.736375268898</v>
      </c>
      <c r="D35" s="1492">
        <f>('14'!F35)/0.376+'28'!$D35</f>
        <v>38128.437790530879</v>
      </c>
      <c r="E35" s="1475">
        <f>('14'!G35+'14'!H35)/0.376+'28'!$E35-0.04</f>
        <v>25624.244830618372</v>
      </c>
      <c r="F35" s="1465">
        <f>('14'!I35)/0.376+'28'!$F35-0.02</f>
        <v>6530.436129406382</v>
      </c>
      <c r="G35" s="1523">
        <f>ROUND('14'!J35,1)/0.376+ROUND('28'!$G35,1)</f>
        <v>96391.734042553187</v>
      </c>
      <c r="H35" s="1511">
        <f>ROUND('14'!K35,1)/0.376+ROUND('28'!$M35,1)</f>
        <v>160027.17872340424</v>
      </c>
      <c r="I35" s="1524">
        <f>ROUND('14'!L35,1)/0.376+ROUND('28'!$N35,1)</f>
        <v>256418.91276595744</v>
      </c>
      <c r="J35" s="2438">
        <f>('15'!C35+'15'!D35)/0.376+'29'!$C35+0.03-0.03</f>
        <v>12480.14868268482</v>
      </c>
      <c r="K35" s="1512">
        <f>('15'!E35)/0.376+'29'!$D35</f>
        <v>39123.511590405382</v>
      </c>
      <c r="L35" s="1519">
        <f>('15'!F35)/0.376+'29'!$E35</f>
        <v>5303.5947634194963</v>
      </c>
      <c r="M35" s="1517">
        <f>('15'!G35+'15'!H35)/0.376+'29'!$F35</f>
        <v>17868.737484623976</v>
      </c>
      <c r="N35" s="1530">
        <f>ROUND('15'!I35,1)/0.376+ROUND('29'!$G35,1)</f>
        <v>74775.948936170214</v>
      </c>
      <c r="O35" s="1530">
        <f>ROUND('15'!J35,1)/0.376+ROUND('29'!$M35,1)</f>
        <v>181642.96382978722</v>
      </c>
      <c r="P35" s="412">
        <f t="shared" ref="P35" si="28">ROUND(G35,1)-ROUND(C35,1)-ROUND(D35,1)-ROUND(E35,1)-ROUND(F35,1)</f>
        <v>0</v>
      </c>
      <c r="Q35" s="1860">
        <f t="shared" ref="Q35" si="29">ROUND(N35,1)-ROUND(J35,1)-ROUND(K35,1)-ROUND(L35,1)-ROUND(M35,1)</f>
        <v>0</v>
      </c>
      <c r="R35" s="1860">
        <f t="shared" ref="R35" si="30">ROUND(I35,1)-ROUND(G35,1)-ROUND(H35,1)</f>
        <v>0</v>
      </c>
      <c r="S35" s="1860">
        <f t="shared" ref="S35" si="31">ROUND(I35,1)-ROUND(N35,1)-ROUND(O35,1)</f>
        <v>0</v>
      </c>
    </row>
    <row r="36" spans="1:19" s="372" customFormat="1" ht="16.5" customHeight="1">
      <c r="A36" s="704"/>
      <c r="B36" s="801" t="s">
        <v>420</v>
      </c>
      <c r="C36" s="1492">
        <f>('14'!C36+'14'!D36+'14'!E36)/0.376+'28'!$C36</f>
        <v>27412.575935699038</v>
      </c>
      <c r="D36" s="1492">
        <f>('14'!F36)/0.376+'28'!$D36</f>
        <v>37906.038466453727</v>
      </c>
      <c r="E36" s="1475">
        <f>('14'!G36+'14'!H36)/0.376+'28'!$E36+0.02</f>
        <v>25780.557472528373</v>
      </c>
      <c r="F36" s="1492">
        <f>('14'!I36)/0.376+'28'!$F36</f>
        <v>5928.9684272929444</v>
      </c>
      <c r="G36" s="1523">
        <f>ROUND('14'!J36,1)/0.376+ROUND('28'!$G36,1)</f>
        <v>97028.193617021272</v>
      </c>
      <c r="H36" s="1511">
        <f>ROUND('14'!K36,1)/0.376+ROUND('28'!$M36,1)</f>
        <v>155517.14680851065</v>
      </c>
      <c r="I36" s="1524">
        <f>ROUND('14'!L36,1)/0.376+ROUND('28'!$N36,1)</f>
        <v>252545.3404255319</v>
      </c>
      <c r="J36" s="1520">
        <f>('15'!C36+'15'!D36)/0.376+'29'!$C36+0.03</f>
        <v>12674.611552863658</v>
      </c>
      <c r="K36" s="1512">
        <f>('15'!E36)/0.376+'29'!$D36</f>
        <v>38923.890871799456</v>
      </c>
      <c r="L36" s="1519">
        <f>('15'!F36)/0.376+'29'!$E36</f>
        <v>4801.5118827744855</v>
      </c>
      <c r="M36" s="1517">
        <f>('15'!G36+'15'!H36)/0.376+'29'!$F36</f>
        <v>18052.57478251381</v>
      </c>
      <c r="N36" s="1530">
        <f>ROUND('15'!I36,1)/0.376+ROUND('29'!$G36,1)</f>
        <v>74452.570212765961</v>
      </c>
      <c r="O36" s="1469">
        <f>ROUND('15'!J36,1)/0.376+ROUND('29'!$M36,1)-0.03</f>
        <v>178092.74021276596</v>
      </c>
      <c r="P36" s="412">
        <f t="shared" ref="P36" si="32">ROUND(G36,1)-ROUND(C36,1)-ROUND(D36,1)-ROUND(E36,1)-ROUND(F36,1)</f>
        <v>7.2759576141834259E-12</v>
      </c>
      <c r="Q36" s="1860">
        <f t="shared" ref="Q36" si="33">ROUND(N36,1)-ROUND(J36,1)-ROUND(K36,1)-ROUND(L36,1)-ROUND(M36,1)</f>
        <v>0</v>
      </c>
      <c r="R36" s="1860">
        <f t="shared" ref="R36" si="34">ROUND(I36,1)-ROUND(G36,1)-ROUND(H36,1)</f>
        <v>0</v>
      </c>
      <c r="S36" s="1860">
        <f t="shared" ref="S36" si="35">ROUND(I36,1)-ROUND(N36,1)-ROUND(O36,1)</f>
        <v>0</v>
      </c>
    </row>
    <row r="37" spans="1:19" s="372" customFormat="1" ht="16.5" customHeight="1">
      <c r="A37" s="704"/>
      <c r="B37" s="801" t="s">
        <v>421</v>
      </c>
      <c r="C37" s="1492">
        <f>('14'!C37+'14'!D37+'14'!E37)/0.376+'28'!$C37</f>
        <v>27730.55708823997</v>
      </c>
      <c r="D37" s="1492">
        <f>('14'!F37)/0.376+'28'!$D37</f>
        <v>37803.776624730293</v>
      </c>
      <c r="E37" s="1519">
        <f>('14'!G37+'14'!H37)/0.376+'28'!$E37</f>
        <v>25943.074822035993</v>
      </c>
      <c r="F37" s="1465">
        <f>('14'!I37)/0.376+'28'!$F37+0.03</f>
        <v>6104.962369586764</v>
      </c>
      <c r="G37" s="1523">
        <f>ROUND('14'!J37,1)/0.376+ROUND('28'!$G37,1)</f>
        <v>97582.49574468084</v>
      </c>
      <c r="H37" s="1511">
        <f>ROUND('14'!K37,1)/0.376+ROUND('28'!$M37,1)</f>
        <v>155989.30425531915</v>
      </c>
      <c r="I37" s="1524">
        <f>ROUND('14'!L37,1)/0.376+ROUND('28'!$N37,1)</f>
        <v>253571.8</v>
      </c>
      <c r="J37" s="1520">
        <f>('15'!C37+'15'!D37)/0.376+'29'!$C37+0.03</f>
        <v>12822.370648166887</v>
      </c>
      <c r="K37" s="1483">
        <f>('15'!E37)/0.376+'29'!$D37-0.02</f>
        <v>39427.437146576223</v>
      </c>
      <c r="L37" s="1519">
        <f>('15'!F37)/0.376+'29'!$E37</f>
        <v>4844.793024898936</v>
      </c>
      <c r="M37" s="1503">
        <f>('15'!G37+'15'!H37)/0.376+'29'!$F37-0.02</f>
        <v>18346.540373445765</v>
      </c>
      <c r="N37" s="1530">
        <f>ROUND('15'!I37,1)/0.376+ROUND('29'!$G37,1)</f>
        <v>75441.136170212761</v>
      </c>
      <c r="O37" s="1530">
        <f>ROUND('15'!J37,1)/0.376+ROUND('29'!$M37,1)</f>
        <v>178130.66382978723</v>
      </c>
      <c r="P37" s="412">
        <f t="shared" ref="P37" si="36">ROUND(G37,1)-ROUND(C37,1)-ROUND(D37,1)-ROUND(E37,1)-ROUND(F37,1)</f>
        <v>-7.2759576141834259E-12</v>
      </c>
      <c r="Q37" s="1860">
        <f t="shared" ref="Q37" si="37">ROUND(N37,1)-ROUND(J37,1)-ROUND(K37,1)-ROUND(L37,1)-ROUND(M37,1)</f>
        <v>0</v>
      </c>
      <c r="R37" s="1860">
        <f t="shared" ref="R37" si="38">ROUND(I37,1)-ROUND(G37,1)-ROUND(H37,1)</f>
        <v>0</v>
      </c>
      <c r="S37" s="1860">
        <f t="shared" ref="S37" si="39">ROUND(I37,1)-ROUND(N37,1)-ROUND(O37,1)</f>
        <v>0</v>
      </c>
    </row>
    <row r="38" spans="1:19" s="372" customFormat="1" ht="16.5" customHeight="1">
      <c r="A38" s="704"/>
      <c r="B38" s="801" t="s">
        <v>422</v>
      </c>
      <c r="C38" s="1465">
        <f>('14'!C38+'14'!D38+'14'!E38)/0.376+'28'!$C38+0.05</f>
        <v>27697.065848401991</v>
      </c>
      <c r="D38" s="1465">
        <f>('14'!F38)/0.376+'28'!$D38+0.03</f>
        <v>38319.063705568173</v>
      </c>
      <c r="E38" s="1519">
        <f>('14'!G38+'14'!H38)/0.376+'28'!$E38</f>
        <v>26261.105649594414</v>
      </c>
      <c r="F38" s="1492">
        <f>('14'!I38)/0.376+'28'!$F38</f>
        <v>6317.7843286898433</v>
      </c>
      <c r="G38" s="1523">
        <f>ROUND('14'!J38,1)/0.376+ROUND('28'!$G38,1)</f>
        <v>98595.051063829786</v>
      </c>
      <c r="H38" s="1511">
        <f>ROUND('14'!K38,1)/0.376+ROUND('28'!$M38,1)</f>
        <v>155859.62553191488</v>
      </c>
      <c r="I38" s="1524">
        <f>ROUND('14'!L38,1)/0.376+ROUND('28'!$N38,1)</f>
        <v>254454.67659574468</v>
      </c>
      <c r="J38" s="1520">
        <f>('15'!C38+'15'!D38)/0.376+'29'!$C38+0.03</f>
        <v>12532.87977809774</v>
      </c>
      <c r="K38" s="1512">
        <f>('15'!E38)/0.376+'29'!$D38</f>
        <v>40169.722827473095</v>
      </c>
      <c r="L38" s="1519">
        <f>('15'!F38)/0.376+'29'!$E38</f>
        <v>4816.8490365728194</v>
      </c>
      <c r="M38" s="1517">
        <f>('15'!G38+'15'!H38)/0.376+'29'!$F38</f>
        <v>18117.777997483048</v>
      </c>
      <c r="N38" s="1530">
        <f>ROUND('15'!I38,1)/0.376+ROUND('29'!$G38,1)</f>
        <v>75637.159574468096</v>
      </c>
      <c r="O38" s="1530">
        <f>ROUND('15'!J38,1)/0.376+ROUND('29'!$M38,1)</f>
        <v>178817.51702127658</v>
      </c>
      <c r="P38" s="412">
        <f t="shared" ref="P38" si="40">ROUND(G38,1)-ROUND(C38,1)-ROUND(D38,1)-ROUND(E38,1)-ROUND(F38,1)</f>
        <v>0</v>
      </c>
      <c r="Q38" s="1860">
        <f t="shared" ref="Q38" si="41">ROUND(N38,1)-ROUND(J38,1)-ROUND(K38,1)-ROUND(L38,1)-ROUND(M38,1)</f>
        <v>0</v>
      </c>
      <c r="R38" s="1860">
        <f t="shared" ref="R38" si="42">ROUND(I38,1)-ROUND(G38,1)-ROUND(H38,1)</f>
        <v>0</v>
      </c>
      <c r="S38" s="1860">
        <f t="shared" ref="S38" si="43">ROUND(I38,1)-ROUND(N38,1)-ROUND(O38,1)</f>
        <v>0</v>
      </c>
    </row>
    <row r="39" spans="1:19" s="372" customFormat="1" ht="21" customHeight="1">
      <c r="A39" s="704">
        <v>2026</v>
      </c>
      <c r="B39" s="801" t="s">
        <v>423</v>
      </c>
      <c r="C39" s="1465">
        <f>('14'!C39+'14'!D39+'14'!E39)/0.376+'28'!$C39-0.02</f>
        <v>28297.448868693999</v>
      </c>
      <c r="D39" s="1492">
        <f>('14'!F39)/0.376+'28'!$D39</f>
        <v>38220.292845148491</v>
      </c>
      <c r="E39" s="2506">
        <f>('14'!G39+'14'!H39)/0.376+'28'!$E39</f>
        <v>26579.045665843787</v>
      </c>
      <c r="F39" s="1492">
        <f>('14'!I39)/0.376+'28'!$F39</f>
        <v>6322.0947700412307</v>
      </c>
      <c r="G39" s="1523">
        <f>ROUND('14'!J39,1)/0.376+ROUND('28'!$G39,1)</f>
        <v>99418.778723404263</v>
      </c>
      <c r="H39" s="1511">
        <f>ROUND('14'!K39,1)/0.376+ROUND('28'!$M39,1)</f>
        <v>150860.41489361701</v>
      </c>
      <c r="I39" s="1524">
        <f>ROUND('14'!L39,1)/0.376+ROUND('28'!$N39,1)</f>
        <v>250279.19361702129</v>
      </c>
      <c r="J39" s="1520">
        <f>('15'!C39+'15'!D39)/0.376+'29'!$C39+0.03</f>
        <v>12944.949506638579</v>
      </c>
      <c r="K39" s="1512">
        <f>('15'!E39)/0.376+'29'!$D39</f>
        <v>40415.244494550854</v>
      </c>
      <c r="L39" s="1519">
        <f>('15'!F39)/0.376+'29'!$E39</f>
        <v>4777.9525282791246</v>
      </c>
      <c r="M39" s="1517">
        <f>('15'!G39+'15'!H39)/0.376+'29'!$F39</f>
        <v>18314.867748036377</v>
      </c>
      <c r="N39" s="1530">
        <f>ROUND('15'!I39,1)/0.376+ROUND('29'!$G39,1)</f>
        <v>76453.012765957435</v>
      </c>
      <c r="O39" s="1530">
        <f>ROUND('15'!J39,1)/0.376+ROUND('29'!$M39,1)</f>
        <v>173826.18085106384</v>
      </c>
      <c r="P39" s="412">
        <f t="shared" ref="P39" si="44">ROUND(G39,1)-ROUND(C39,1)-ROUND(D39,1)-ROUND(E39,1)-ROUND(F39,1)</f>
        <v>-9.0949470177292824E-12</v>
      </c>
      <c r="Q39" s="1860">
        <f t="shared" ref="Q39" si="45">ROUND(N39,1)-ROUND(J39,1)-ROUND(K39,1)-ROUND(L39,1)-ROUND(M39,1)</f>
        <v>0</v>
      </c>
      <c r="R39" s="1860">
        <f t="shared" ref="R39" si="46">ROUND(I39,1)-ROUND(G39,1)-ROUND(H39,1)</f>
        <v>0</v>
      </c>
      <c r="S39" s="1860">
        <f t="shared" ref="S39" si="47">ROUND(I39,1)-ROUND(N39,1)-ROUND(O39,1)</f>
        <v>0</v>
      </c>
    </row>
    <row r="40" spans="1:19" s="372" customFormat="1" ht="16.5" customHeight="1">
      <c r="A40" s="704"/>
      <c r="B40" s="801" t="s">
        <v>424</v>
      </c>
      <c r="C40" s="1465">
        <f>('14'!C40+'14'!D40+'14'!E40)/0.376+'28'!$C40+0.05</f>
        <v>27748.561829210565</v>
      </c>
      <c r="D40" s="1492">
        <f>('14'!F40)/0.376+'28'!$D40</f>
        <v>38274.451525975295</v>
      </c>
      <c r="E40" s="2506">
        <f>('14'!G40+'14'!H40)/0.376+'28'!$E40</f>
        <v>27724.653697285947</v>
      </c>
      <c r="F40" s="1465">
        <f>('14'!I40)/0.376+'28'!$F40+0.04</f>
        <v>6492.4622588672255</v>
      </c>
      <c r="G40" s="1523">
        <f>ROUND('14'!J40,1)/0.376+ROUND('28'!$G40,1)</f>
        <v>100240.26382978723</v>
      </c>
      <c r="H40" s="1511">
        <f>ROUND('14'!K40,1)/0.376+ROUND('28'!$M40,1)</f>
        <v>149743.28723404254</v>
      </c>
      <c r="I40" s="1524">
        <f>ROUND('14'!L40,1)/0.376+ROUND('28'!$N40,1)</f>
        <v>249983.5510638298</v>
      </c>
      <c r="J40" s="1520">
        <f>('15'!C40+'15'!D40)/0.376+'29'!$C40</f>
        <v>13256.736090362712</v>
      </c>
      <c r="K40" s="1512">
        <f>('15'!E40)/0.376+'29'!$D40</f>
        <v>40959.735417881733</v>
      </c>
      <c r="L40" s="1475">
        <f>('15'!F40)/0.376+'29'!$E40-0.01</f>
        <v>4853.2424527755193</v>
      </c>
      <c r="M40" s="1517">
        <f>('15'!G40+'15'!H40)/0.376+'29'!$F40-0.02</f>
        <v>18404.091154501457</v>
      </c>
      <c r="N40" s="1469">
        <f>ROUND('15'!I40,1)/0.376+ROUND('29'!$G40,1)+0.05</f>
        <v>77473.664893617024</v>
      </c>
      <c r="O40" s="1530">
        <f>ROUND('15'!J40,1)/0.376+ROUND('29'!$M40,1)</f>
        <v>172509.93617021275</v>
      </c>
      <c r="P40" s="412">
        <f t="shared" ref="P40" si="48">ROUND(G40,1)-ROUND(C40,1)-ROUND(D40,1)-ROUND(E40,1)-ROUND(F40,1)</f>
        <v>1.0913936421275139E-11</v>
      </c>
      <c r="Q40" s="1860">
        <f t="shared" ref="Q40" si="49">ROUND(N40,1)-ROUND(J40,1)-ROUND(K40,1)-ROUND(L40,1)-ROUND(M40,1)</f>
        <v>0</v>
      </c>
      <c r="R40" s="1860">
        <f t="shared" ref="R40" si="50">ROUND(I40,1)-ROUND(G40,1)-ROUND(H40,1)</f>
        <v>0</v>
      </c>
      <c r="S40" s="1860">
        <f t="shared" ref="S40" si="51">ROUND(I40,1)-ROUND(N40,1)-ROUND(O40,1)</f>
        <v>0</v>
      </c>
    </row>
    <row r="41" spans="1:19" s="372" customFormat="1" ht="16.5" customHeight="1">
      <c r="A41" s="704"/>
      <c r="B41" s="801" t="s">
        <v>425</v>
      </c>
      <c r="C41" s="1492">
        <f>('14'!C41+'14'!D41+'14'!E41)/0.376+'28'!$C41</f>
        <v>30510.496995902646</v>
      </c>
      <c r="D41" s="1465">
        <f>('14'!F41)/0.376+'28'!$D41+0.05</f>
        <v>39182.761000718441</v>
      </c>
      <c r="E41" s="2500">
        <f>('14'!G41+'14'!H41)/0.376+'28'!$E41+0.01</f>
        <v>26999.45667894771</v>
      </c>
      <c r="F41" s="1492">
        <f>('14'!I41)/0.376+'28'!$F41</f>
        <v>6783.1968683911418</v>
      </c>
      <c r="G41" s="1523">
        <f>ROUND('14'!J41,1)/0.376+ROUND('28'!$G41,1)</f>
        <v>103476.00638297873</v>
      </c>
      <c r="H41" s="1511">
        <f>ROUND('14'!K41,1)/0.376+ROUND('28'!$M41,1)</f>
        <v>153402.88085106382</v>
      </c>
      <c r="I41" s="1524">
        <f>ROUND('14'!L41,1)/0.376+ROUND('28'!$N41,1)</f>
        <v>256878.88723404257</v>
      </c>
      <c r="J41" s="1520">
        <f>('15'!C41+'15'!D41)/0.376+'29'!$C41</f>
        <v>13582.796412759351</v>
      </c>
      <c r="K41" s="1512">
        <f>('15'!E41)/0.376+'29'!$D41</f>
        <v>41510.663306512142</v>
      </c>
      <c r="L41" s="1519">
        <f>('15'!F41)/0.376+'29'!$E41</f>
        <v>5325.862228977644</v>
      </c>
      <c r="M41" s="1517">
        <f>('15'!G41+'15'!H41)/0.376+'29'!$F41-0.02</f>
        <v>18065.078972424115</v>
      </c>
      <c r="N41" s="1469">
        <f>ROUND('15'!I41,1)/0.376+ROUND('29'!$G41,1)+0.02</f>
        <v>78484.460425531928</v>
      </c>
      <c r="O41" s="1530">
        <f>ROUND('15'!J41,1)/0.376+ROUND('29'!$M41,1)</f>
        <v>178394.44680851063</v>
      </c>
      <c r="P41" s="412">
        <f t="shared" ref="P41" si="52">ROUND(G41,1)-ROUND(C41,1)-ROUND(D41,1)-ROUND(E41,1)-ROUND(F41,1)</f>
        <v>0</v>
      </c>
      <c r="Q41" s="1860">
        <f t="shared" ref="Q41" si="53">ROUND(N41,1)-ROUND(J41,1)-ROUND(K41,1)-ROUND(L41,1)-ROUND(M41,1)</f>
        <v>0</v>
      </c>
      <c r="R41" s="1860">
        <f t="shared" ref="R41" si="54">ROUND(I41,1)-ROUND(G41,1)-ROUND(H41,1)</f>
        <v>0</v>
      </c>
      <c r="S41" s="1860">
        <f t="shared" ref="S41" si="55">ROUND(I41,1)-ROUND(N41,1)-ROUND(O41,1)</f>
        <v>0</v>
      </c>
    </row>
    <row r="42" spans="1:19" s="372" customFormat="1" ht="16.5" customHeight="1">
      <c r="A42" s="704"/>
      <c r="B42" s="801" t="s">
        <v>426</v>
      </c>
      <c r="C42" s="1492">
        <f>('14'!C42+'14'!D42+'14'!E42)/0.376+'28'!$C42-0.02</f>
        <v>29519.758156292773</v>
      </c>
      <c r="D42" s="1492">
        <f>('14'!F42)/0.376+'28'!$D42</f>
        <v>39898.159689312786</v>
      </c>
      <c r="E42" s="2506">
        <f>('14'!G42+'14'!H42)/0.376+'28'!$E42</f>
        <v>27080.727630667228</v>
      </c>
      <c r="F42" s="1465">
        <f>('14'!I42)/0.376+'28'!$F42-0.06</f>
        <v>6262.5489092970283</v>
      </c>
      <c r="G42" s="1523">
        <f>ROUND('14'!J42,1)/0.376+ROUND('28'!$G42,1)</f>
        <v>102761.21063829787</v>
      </c>
      <c r="H42" s="1511">
        <f>ROUND('14'!K42,1)/0.376+ROUND('28'!$M42,1)</f>
        <v>151280.38510638298</v>
      </c>
      <c r="I42" s="1524">
        <f>ROUND('14'!L42,1)/0.376+ROUND('28'!$N42,1)</f>
        <v>254041.59574468085</v>
      </c>
      <c r="J42" s="1520">
        <f>('15'!C42+'15'!D42)/0.376+'29'!$C42</f>
        <v>13370.196844335234</v>
      </c>
      <c r="K42" s="1512">
        <f>('15'!E42)/0.376+'29'!$D42</f>
        <v>44109.127620578998</v>
      </c>
      <c r="L42" s="1519">
        <f>('15'!F42)/0.376+'29'!$E42</f>
        <v>5222.7676654467932</v>
      </c>
      <c r="M42" s="1517">
        <f>('15'!G42+'15'!H42)/0.376+'29'!$F42</f>
        <v>17836.988455532883</v>
      </c>
      <c r="N42" s="1530">
        <f>ROUND('15'!I42,1)/0.376+ROUND('29'!$G42,1)</f>
        <v>80539.089361702136</v>
      </c>
      <c r="O42" s="1530">
        <f>ROUND('15'!J42,1)/0.376+ROUND('29'!$M42,1)</f>
        <v>173502.5063829787</v>
      </c>
      <c r="P42" s="412">
        <f t="shared" ref="P42" si="56">ROUND(G42,1)-ROUND(C42,1)-ROUND(D42,1)-ROUND(E42,1)-ROUND(F42,1)</f>
        <v>0</v>
      </c>
      <c r="Q42" s="1860">
        <f t="shared" ref="Q42" si="57">ROUND(N42,1)-ROUND(J42,1)-ROUND(K42,1)-ROUND(L42,1)-ROUND(M42,1)</f>
        <v>0</v>
      </c>
      <c r="R42" s="1860">
        <f t="shared" ref="R42" si="58">ROUND(I42,1)-ROUND(G42,1)-ROUND(H42,1)</f>
        <v>0</v>
      </c>
      <c r="S42" s="1860">
        <f t="shared" ref="S42" si="59">ROUND(I42,1)-ROUND(N42,1)-ROUND(O42,1)</f>
        <v>0</v>
      </c>
    </row>
    <row r="43" spans="1:19" s="372" customFormat="1" ht="16.5" customHeight="1">
      <c r="A43" s="704"/>
      <c r="B43" s="801" t="s">
        <v>427</v>
      </c>
      <c r="C43" s="1492">
        <f>('14'!C43+'14'!D43+'14'!E43)/0.376+'28'!$C43-0.02</f>
        <v>29372.475500657249</v>
      </c>
      <c r="D43" s="1465">
        <f>('14'!F43)/0.376+'28'!$D43-0.03</f>
        <v>40028.243741937134</v>
      </c>
      <c r="E43" s="2506">
        <f>('14'!G43+'14'!H43)/0.376+'28'!$E43</f>
        <v>26765.574637770034</v>
      </c>
      <c r="F43" s="1492">
        <f>('14'!I43)/0.376+'28'!$F43</f>
        <v>6589.7800757719406</v>
      </c>
      <c r="G43" s="1523">
        <f>ROUND('14'!J43,1)/0.376+ROUND('28'!$G43,1)</f>
        <v>102756.14893617021</v>
      </c>
      <c r="H43" s="1511">
        <f>ROUND('14'!K43,1)/0.376+ROUND('28'!$M43,1)</f>
        <v>149103.88510638298</v>
      </c>
      <c r="I43" s="1524">
        <f>ROUND('14'!L43,1)/0.376+ROUND('28'!$N43,1)</f>
        <v>251860.03404255322</v>
      </c>
      <c r="J43" s="1520">
        <f>('15'!C43+'15'!D43)/0.376+'29'!$C43</f>
        <v>13368.370835739377</v>
      </c>
      <c r="K43" s="1512">
        <f>('15'!E43)/0.376+'29'!$D43</f>
        <v>43839.570698286894</v>
      </c>
      <c r="L43" s="1519">
        <f>('15'!F43)/0.376+'29'!$E43</f>
        <v>5390.7621142172848</v>
      </c>
      <c r="M43" s="1517">
        <f>('15'!G43+'15'!H43)/0.376+'29'!$F43</f>
        <v>18384.1233709226</v>
      </c>
      <c r="N43" s="1530">
        <f>ROUND('15'!I43,1)/0.376+ROUND('29'!$G43,1)</f>
        <v>80982.872340425529</v>
      </c>
      <c r="O43" s="1469">
        <f>ROUND('15'!J43,1)/0.376+ROUND('29'!$M43,1)-0.02</f>
        <v>170877.14170212767</v>
      </c>
      <c r="P43" s="412">
        <f t="shared" ref="P43" si="60">ROUND(G43,1)-ROUND(C43,1)-ROUND(D43,1)-ROUND(E43,1)-ROUND(F43,1)</f>
        <v>1.0004441719502211E-11</v>
      </c>
      <c r="Q43" s="1860">
        <f t="shared" ref="Q43" si="61">ROUND(N43,1)-ROUND(J43,1)-ROUND(K43,1)-ROUND(L43,1)-ROUND(M43,1)</f>
        <v>0</v>
      </c>
      <c r="R43" s="1860">
        <f t="shared" ref="R43" si="62">ROUND(I43,1)-ROUND(G43,1)-ROUND(H43,1)</f>
        <v>0</v>
      </c>
      <c r="S43" s="1860">
        <f t="shared" ref="S43" si="63">ROUND(I43,1)-ROUND(N43,1)-ROUND(O43,1)</f>
        <v>0</v>
      </c>
    </row>
    <row r="44" spans="1:19" s="564" customFormat="1" ht="20.25" customHeight="1">
      <c r="A44" s="559" t="s">
        <v>798</v>
      </c>
      <c r="B44" s="560"/>
      <c r="C44" s="561"/>
      <c r="D44" s="561"/>
      <c r="E44" s="561"/>
      <c r="F44" s="561"/>
      <c r="G44" s="561"/>
      <c r="H44" s="561"/>
      <c r="I44" s="2091"/>
      <c r="J44" s="562"/>
      <c r="K44" s="559"/>
      <c r="L44" s="559"/>
      <c r="M44" s="559"/>
      <c r="N44" s="559"/>
      <c r="O44" s="563" t="s">
        <v>799</v>
      </c>
    </row>
    <row r="45" spans="1:19" s="564" customFormat="1" ht="13.75" customHeight="1">
      <c r="A45" s="235" t="s">
        <v>800</v>
      </c>
      <c r="B45" s="565"/>
      <c r="H45" s="235"/>
      <c r="I45" s="235"/>
      <c r="O45" s="566" t="s">
        <v>801</v>
      </c>
    </row>
    <row r="46" spans="1:19" ht="7.5" customHeight="1">
      <c r="L46" s="1657"/>
      <c r="N46" s="1657"/>
      <c r="O46" s="1657"/>
    </row>
    <row r="47" spans="1:19" s="475" customFormat="1" ht="14">
      <c r="A47" s="567" t="s">
        <v>802</v>
      </c>
      <c r="B47" s="567"/>
      <c r="C47" s="567"/>
      <c r="D47" s="567"/>
      <c r="E47" s="567"/>
      <c r="F47" s="567"/>
      <c r="G47" s="567"/>
      <c r="H47" s="567"/>
      <c r="I47" s="567"/>
      <c r="J47" s="567"/>
      <c r="K47" s="567"/>
      <c r="L47" s="567"/>
      <c r="M47" s="567"/>
      <c r="N47" s="567"/>
      <c r="O47" s="567"/>
    </row>
    <row r="48" spans="1:19">
      <c r="A48" s="568"/>
      <c r="B48" s="569"/>
      <c r="C48" s="1470"/>
      <c r="D48" s="1470"/>
      <c r="E48" s="1470"/>
      <c r="F48" s="1470"/>
      <c r="G48" s="1470"/>
      <c r="H48" s="1470"/>
      <c r="I48" s="1470"/>
      <c r="J48" s="1470"/>
      <c r="K48" s="1470"/>
      <c r="L48" s="1470"/>
      <c r="M48" s="1470"/>
      <c r="N48" s="1470"/>
      <c r="O48" s="1470"/>
    </row>
    <row r="49" spans="3:15">
      <c r="C49" s="1470"/>
      <c r="D49" s="1470"/>
      <c r="E49" s="1470"/>
      <c r="F49" s="1470"/>
      <c r="G49" s="1470"/>
      <c r="H49" s="1470"/>
      <c r="I49" s="1470"/>
      <c r="J49" s="1470"/>
      <c r="K49" s="1470"/>
      <c r="L49" s="1470"/>
      <c r="M49" s="1470"/>
      <c r="N49" s="1470"/>
      <c r="O49" s="1470"/>
    </row>
  </sheetData>
  <mergeCells count="2">
    <mergeCell ref="A10:B12"/>
    <mergeCell ref="A7:B9"/>
  </mergeCells>
  <phoneticPr fontId="0" type="noConversion"/>
  <printOptions horizontalCentered="1" verticalCentered="1"/>
  <pageMargins left="0" right="0" top="0" bottom="0" header="0.511811023622047" footer="0.511811023622047"/>
  <pageSetup paperSize="9" scale="76"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tabColor rgb="FFFF0000"/>
    <pageSetUpPr fitToPage="1"/>
  </sheetPr>
  <dimension ref="A1:O51"/>
  <sheetViews>
    <sheetView zoomScale="80" zoomScaleNormal="80" workbookViewId="0">
      <pane ySplit="12" topLeftCell="A40" activePane="bottomLeft" state="frozen"/>
      <selection activeCell="B44" sqref="B44"/>
      <selection pane="bottomLeft" activeCell="K44" sqref="K44"/>
    </sheetView>
  </sheetViews>
  <sheetFormatPr defaultColWidth="7.81640625" defaultRowHeight="15.5"/>
  <cols>
    <col min="1" max="2" width="9.26953125" customWidth="1"/>
    <col min="3" max="3" width="11.1796875" style="14" customWidth="1"/>
    <col min="4" max="4" width="13.7265625" style="14" customWidth="1"/>
    <col min="5" max="5" width="12.7265625" style="14" customWidth="1"/>
    <col min="6" max="6" width="14.7265625" style="14" customWidth="1"/>
    <col min="7" max="8" width="14.26953125" style="14" customWidth="1"/>
    <col min="9" max="9" width="12.81640625" style="14" customWidth="1"/>
    <col min="10" max="12" width="13.7265625" style="14" customWidth="1"/>
    <col min="13" max="13" width="17.7265625" style="14" customWidth="1"/>
    <col min="14" max="14" width="8.7265625" style="14" customWidth="1"/>
    <col min="15" max="16384" width="7.81640625" style="14"/>
  </cols>
  <sheetData>
    <row r="1" spans="1:15" s="1108" customFormat="1" ht="18">
      <c r="A1" s="1073" t="s">
        <v>803</v>
      </c>
      <c r="B1" s="1106"/>
      <c r="C1" s="1107"/>
      <c r="D1" s="1107"/>
      <c r="E1" s="1107"/>
      <c r="F1" s="1107"/>
      <c r="G1" s="1107"/>
      <c r="H1" s="1107"/>
      <c r="I1" s="1107"/>
      <c r="J1" s="1107"/>
      <c r="K1" s="1107"/>
      <c r="L1" s="1107"/>
      <c r="M1" s="1107"/>
    </row>
    <row r="2" spans="1:15" s="1108" customFormat="1" ht="18">
      <c r="A2" s="1084" t="s">
        <v>804</v>
      </c>
      <c r="B2" s="1106"/>
      <c r="C2" s="1107"/>
      <c r="D2" s="1107"/>
      <c r="E2" s="1107"/>
      <c r="F2" s="1107"/>
      <c r="G2" s="1107"/>
      <c r="H2" s="1107"/>
      <c r="I2" s="1107"/>
      <c r="J2" s="1107"/>
      <c r="K2" s="1107"/>
      <c r="L2" s="1107"/>
      <c r="M2" s="1107"/>
    </row>
    <row r="3" spans="1:15" s="1108" customFormat="1" ht="18">
      <c r="A3" s="1073" t="s">
        <v>805</v>
      </c>
      <c r="B3" s="1106"/>
      <c r="C3" s="1107"/>
      <c r="D3" s="1107"/>
      <c r="E3" s="1107"/>
      <c r="F3" s="1107"/>
      <c r="G3" s="1107"/>
      <c r="H3" s="1107"/>
      <c r="I3" s="1107"/>
      <c r="J3" s="1107"/>
      <c r="K3" s="1107"/>
      <c r="L3" s="1107"/>
      <c r="M3" s="1107"/>
    </row>
    <row r="4" spans="1:15" s="1108" customFormat="1" ht="18">
      <c r="A4" s="1084" t="s">
        <v>380</v>
      </c>
      <c r="B4" s="1106"/>
      <c r="C4" s="1107"/>
      <c r="D4" s="1107"/>
      <c r="E4" s="1107"/>
      <c r="F4" s="1107"/>
      <c r="G4" s="1107"/>
      <c r="H4" s="1107"/>
      <c r="I4" s="1107"/>
      <c r="J4" s="1107"/>
      <c r="K4" s="1107"/>
      <c r="L4" s="1107"/>
      <c r="M4" s="1107"/>
    </row>
    <row r="5" spans="1:15" s="1108" customFormat="1" ht="18" customHeight="1">
      <c r="A5" s="1073" t="s">
        <v>379</v>
      </c>
      <c r="B5" s="1106"/>
      <c r="C5" s="1107"/>
      <c r="D5" s="1107"/>
      <c r="E5" s="1107"/>
      <c r="F5" s="1107"/>
      <c r="G5" s="1107"/>
      <c r="H5" s="1107"/>
      <c r="I5" s="1107"/>
      <c r="J5" s="1107"/>
      <c r="K5" s="1107"/>
      <c r="L5" s="1107"/>
      <c r="M5" s="1107"/>
    </row>
    <row r="6" spans="1:15" ht="1.5" hidden="1" customHeight="1">
      <c r="A6" s="17"/>
      <c r="B6" s="13"/>
      <c r="C6" s="12"/>
      <c r="D6" s="12" t="s">
        <v>806</v>
      </c>
      <c r="E6" s="12"/>
      <c r="F6" s="12"/>
      <c r="G6" s="12"/>
      <c r="H6" s="12"/>
      <c r="I6" s="12"/>
      <c r="J6" s="12"/>
      <c r="K6" s="12"/>
      <c r="L6" s="12" t="s">
        <v>806</v>
      </c>
      <c r="M6" s="12"/>
    </row>
    <row r="7" spans="1:15">
      <c r="A7" s="9" t="s">
        <v>377</v>
      </c>
      <c r="B7" s="13"/>
      <c r="C7" s="15"/>
      <c r="D7" s="15"/>
      <c r="E7" s="15"/>
      <c r="F7" s="15"/>
      <c r="G7" s="15"/>
      <c r="H7" s="15"/>
      <c r="I7" s="15"/>
      <c r="J7" s="15"/>
      <c r="K7" s="15"/>
      <c r="L7" s="15"/>
      <c r="M7" s="23" t="s">
        <v>378</v>
      </c>
    </row>
    <row r="8" spans="1:15" s="41" customFormat="1" ht="18.649999999999999" customHeight="1">
      <c r="A8" s="55"/>
      <c r="B8" s="129"/>
      <c r="C8" s="365" t="s">
        <v>503</v>
      </c>
      <c r="D8" s="125"/>
      <c r="E8" s="125"/>
      <c r="F8" s="125"/>
      <c r="G8" s="125"/>
      <c r="H8" s="125"/>
      <c r="I8" s="135"/>
      <c r="J8" s="366" t="s">
        <v>501</v>
      </c>
      <c r="K8" s="126"/>
      <c r="L8" s="130"/>
      <c r="M8" s="74" t="s">
        <v>807</v>
      </c>
    </row>
    <row r="9" spans="1:15" s="41" customFormat="1">
      <c r="A9" s="242"/>
      <c r="B9" s="219"/>
      <c r="C9" s="72"/>
      <c r="D9" s="81" t="s">
        <v>504</v>
      </c>
      <c r="E9" s="72"/>
      <c r="F9" s="81" t="s">
        <v>510</v>
      </c>
      <c r="G9" s="24" t="s">
        <v>398</v>
      </c>
      <c r="H9" s="117"/>
      <c r="I9" s="81"/>
      <c r="J9" s="72"/>
      <c r="K9" s="131" t="s">
        <v>380</v>
      </c>
      <c r="L9" s="249" t="s">
        <v>439</v>
      </c>
      <c r="M9" s="131" t="s">
        <v>808</v>
      </c>
    </row>
    <row r="10" spans="1:15" s="41" customFormat="1" ht="16" customHeight="1">
      <c r="A10" s="26" t="s">
        <v>387</v>
      </c>
      <c r="B10" s="76"/>
      <c r="C10" s="97" t="s">
        <v>809</v>
      </c>
      <c r="D10" s="81" t="s">
        <v>508</v>
      </c>
      <c r="E10" s="81" t="s">
        <v>441</v>
      </c>
      <c r="F10" s="311" t="s">
        <v>787</v>
      </c>
      <c r="G10" s="99" t="s">
        <v>810</v>
      </c>
      <c r="H10" s="76"/>
      <c r="I10" s="81" t="s">
        <v>788</v>
      </c>
      <c r="J10" s="131" t="s">
        <v>390</v>
      </c>
      <c r="K10" s="131" t="s">
        <v>383</v>
      </c>
      <c r="L10" s="249" t="s">
        <v>380</v>
      </c>
      <c r="M10" s="53" t="s">
        <v>811</v>
      </c>
    </row>
    <row r="11" spans="1:15" s="41" customFormat="1" ht="30.75" customHeight="1">
      <c r="A11" s="120" t="s">
        <v>395</v>
      </c>
      <c r="B11" s="62"/>
      <c r="C11" s="241" t="s">
        <v>812</v>
      </c>
      <c r="D11" s="2627" t="s">
        <v>374</v>
      </c>
      <c r="E11" s="109" t="s">
        <v>413</v>
      </c>
      <c r="F11" s="53" t="s">
        <v>813</v>
      </c>
      <c r="G11" s="240" t="s">
        <v>814</v>
      </c>
      <c r="H11" s="240" t="s">
        <v>815</v>
      </c>
      <c r="I11" s="239" t="s">
        <v>407</v>
      </c>
      <c r="J11" s="238" t="s">
        <v>400</v>
      </c>
      <c r="K11" s="53" t="s">
        <v>816</v>
      </c>
      <c r="L11" s="237" t="s">
        <v>817</v>
      </c>
      <c r="M11" s="53" t="s">
        <v>818</v>
      </c>
    </row>
    <row r="12" spans="1:15" s="41" customFormat="1">
      <c r="A12" s="49"/>
      <c r="B12" s="68"/>
      <c r="C12" s="132"/>
      <c r="D12" s="2628"/>
      <c r="E12" s="54" t="s">
        <v>819</v>
      </c>
      <c r="F12" s="95" t="s">
        <v>820</v>
      </c>
      <c r="G12" s="54" t="s">
        <v>821</v>
      </c>
      <c r="H12" s="54" t="s">
        <v>822</v>
      </c>
      <c r="I12" s="54"/>
      <c r="J12" s="54"/>
      <c r="K12" s="133"/>
      <c r="L12" s="134"/>
      <c r="M12" s="95" t="s">
        <v>823</v>
      </c>
      <c r="N12" s="41" t="s">
        <v>824</v>
      </c>
      <c r="O12" s="41" t="s">
        <v>825</v>
      </c>
    </row>
    <row r="13" spans="1:15" s="274" customFormat="1" ht="20.25" customHeight="1">
      <c r="A13" s="263">
        <v>2016</v>
      </c>
      <c r="B13" s="406"/>
      <c r="C13" s="398">
        <v>135.30073358308633</v>
      </c>
      <c r="D13" s="391">
        <v>1018.7022749116126</v>
      </c>
      <c r="E13" s="385">
        <v>2070.7252222487086</v>
      </c>
      <c r="F13" s="385">
        <v>8755.5592465315076</v>
      </c>
      <c r="G13" s="284">
        <v>293.39917654400006</v>
      </c>
      <c r="H13" s="387">
        <v>4342.8140858987144</v>
      </c>
      <c r="I13" s="428">
        <v>732.53085481721962</v>
      </c>
      <c r="J13" s="385">
        <v>17349.011085939197</v>
      </c>
      <c r="K13" s="1224">
        <v>13864.540338904006</v>
      </c>
      <c r="L13" s="429">
        <v>31213.541424843206</v>
      </c>
      <c r="M13" s="430">
        <v>4043.1942213319253</v>
      </c>
      <c r="N13" s="427"/>
      <c r="O13" s="382"/>
    </row>
    <row r="14" spans="1:15" s="276" customFormat="1" ht="14.25" customHeight="1">
      <c r="A14" s="265">
        <v>2017</v>
      </c>
      <c r="B14" s="321"/>
      <c r="C14" s="403">
        <v>135.87010868949105</v>
      </c>
      <c r="D14" s="1227">
        <v>1130.2101811241891</v>
      </c>
      <c r="E14" s="386">
        <v>1860.4555624995869</v>
      </c>
      <c r="F14" s="386">
        <v>8970.1976701133171</v>
      </c>
      <c r="G14" s="285">
        <v>333.19405482585466</v>
      </c>
      <c r="H14" s="388">
        <v>4737.1702734140645</v>
      </c>
      <c r="I14" s="431">
        <v>857.84656973846245</v>
      </c>
      <c r="J14" s="386">
        <v>18024.964402942245</v>
      </c>
      <c r="K14" s="1225">
        <v>13364.043650535194</v>
      </c>
      <c r="L14" s="432">
        <v>31388.988053477431</v>
      </c>
      <c r="M14" s="433">
        <v>5461.3227363955975</v>
      </c>
      <c r="N14" s="427"/>
      <c r="O14" s="382"/>
    </row>
    <row r="15" spans="1:15" s="889" customFormat="1" ht="14.25" customHeight="1">
      <c r="A15" s="884">
        <v>2018</v>
      </c>
      <c r="B15" s="885"/>
      <c r="C15" s="886">
        <v>153.61401866671198</v>
      </c>
      <c r="D15" s="866">
        <v>889.0274201716195</v>
      </c>
      <c r="E15" s="867">
        <v>2070.5527012026528</v>
      </c>
      <c r="F15" s="867">
        <v>9860.5224357719762</v>
      </c>
      <c r="G15" s="879">
        <v>261.09804778127256</v>
      </c>
      <c r="H15" s="887">
        <v>4790.9151197145866</v>
      </c>
      <c r="I15" s="893">
        <v>913.60152774705796</v>
      </c>
      <c r="J15" s="867">
        <v>18939.31694201149</v>
      </c>
      <c r="K15" s="1226">
        <v>13629.708080063867</v>
      </c>
      <c r="L15" s="894">
        <v>32569.025022075359</v>
      </c>
      <c r="M15" s="888">
        <v>6068.6923156719404</v>
      </c>
      <c r="N15" s="1805"/>
      <c r="O15" s="382"/>
    </row>
    <row r="16" spans="1:15" s="889" customFormat="1" ht="14.25" customHeight="1">
      <c r="A16" s="884">
        <v>2019</v>
      </c>
      <c r="B16" s="885"/>
      <c r="C16" s="886">
        <v>152.01815108439322</v>
      </c>
      <c r="D16" s="866">
        <v>1443.5138628727032</v>
      </c>
      <c r="E16" s="867">
        <v>1956.5127468639735</v>
      </c>
      <c r="F16" s="867">
        <v>9966.7851993423283</v>
      </c>
      <c r="G16" s="879">
        <v>301.55684848336523</v>
      </c>
      <c r="H16" s="887">
        <v>5235.0001561828694</v>
      </c>
      <c r="I16" s="893">
        <v>891.202485273717</v>
      </c>
      <c r="J16" s="867">
        <v>19946.568477436442</v>
      </c>
      <c r="K16" s="1226">
        <v>15423.23278930428</v>
      </c>
      <c r="L16" s="894">
        <v>35369.801266740717</v>
      </c>
      <c r="M16" s="888">
        <v>6799.8420027608672</v>
      </c>
      <c r="N16" s="1805"/>
      <c r="O16" s="382"/>
    </row>
    <row r="17" spans="1:15" s="889" customFormat="1" ht="14.25" customHeight="1">
      <c r="A17" s="884">
        <v>2020</v>
      </c>
      <c r="B17" s="885"/>
      <c r="C17" s="886">
        <v>152.14040643960661</v>
      </c>
      <c r="D17" s="866">
        <v>1343.9381437547299</v>
      </c>
      <c r="E17" s="867">
        <v>1815.8812734186554</v>
      </c>
      <c r="F17" s="867">
        <v>10644.319226108561</v>
      </c>
      <c r="G17" s="879">
        <v>369.604072205649</v>
      </c>
      <c r="H17" s="887">
        <v>5641.1092276645286</v>
      </c>
      <c r="I17" s="893">
        <v>972.75730277415607</v>
      </c>
      <c r="J17" s="867">
        <v>20939.749652365885</v>
      </c>
      <c r="K17" s="1226">
        <v>14507.584865149944</v>
      </c>
      <c r="L17" s="894">
        <v>35447.334517515825</v>
      </c>
      <c r="M17" s="888">
        <v>7078.9765895044402</v>
      </c>
      <c r="N17" s="1805"/>
      <c r="O17" s="382"/>
    </row>
    <row r="18" spans="1:15" s="889" customFormat="1" ht="14.25" customHeight="1">
      <c r="A18" s="884">
        <v>2021</v>
      </c>
      <c r="B18" s="885"/>
      <c r="C18" s="886">
        <v>145.95841701867218</v>
      </c>
      <c r="D18" s="866">
        <v>1748.0306685540097</v>
      </c>
      <c r="E18" s="867">
        <v>1919.9081666985462</v>
      </c>
      <c r="F18" s="867">
        <v>11111.127374236223</v>
      </c>
      <c r="G18" s="879">
        <v>454.44417880146625</v>
      </c>
      <c r="H18" s="887">
        <v>5824.9829172615428</v>
      </c>
      <c r="I18" s="893">
        <v>921.75746726784905</v>
      </c>
      <c r="J18" s="867">
        <v>22126.199189433308</v>
      </c>
      <c r="K18" s="1226">
        <v>15247.818099927881</v>
      </c>
      <c r="L18" s="894">
        <v>37374.017289361189</v>
      </c>
      <c r="M18" s="888">
        <v>7469.5470989989062</v>
      </c>
      <c r="N18" s="1805"/>
      <c r="O18" s="382"/>
    </row>
    <row r="19" spans="1:15" s="483" customFormat="1" ht="14.25" customHeight="1">
      <c r="A19" s="1782">
        <v>2022</v>
      </c>
      <c r="B19" s="1783"/>
      <c r="C19" s="2393">
        <v>177.85355717154039</v>
      </c>
      <c r="D19" s="1497">
        <v>3044.7492307360289</v>
      </c>
      <c r="E19" s="1612">
        <v>1542.2672522382782</v>
      </c>
      <c r="F19" s="1612">
        <v>11505.400231115644</v>
      </c>
      <c r="G19" s="1414">
        <v>629.84344403702517</v>
      </c>
      <c r="H19" s="2394">
        <v>5789.0690879326748</v>
      </c>
      <c r="I19" s="2395">
        <v>1193.238695635368</v>
      </c>
      <c r="J19" s="1612">
        <v>23882.421498866555</v>
      </c>
      <c r="K19" s="2396">
        <v>14365.004196472149</v>
      </c>
      <c r="L19" s="2397">
        <v>38247.425695338708</v>
      </c>
      <c r="M19" s="2398">
        <v>9227.6589447925835</v>
      </c>
      <c r="N19" s="2269">
        <v>-5.0022208597511053E-12</v>
      </c>
      <c r="O19" s="1855">
        <v>0</v>
      </c>
    </row>
    <row r="20" spans="1:15" s="483" customFormat="1" ht="14.25" customHeight="1">
      <c r="A20" s="1782">
        <v>2023</v>
      </c>
      <c r="B20" s="1783"/>
      <c r="C20" s="2393">
        <v>135.90690119702001</v>
      </c>
      <c r="D20" s="1497">
        <v>4327.50315745848</v>
      </c>
      <c r="E20" s="1612">
        <v>1808.49274727122</v>
      </c>
      <c r="F20" s="1612">
        <v>11804.930969689533</v>
      </c>
      <c r="G20" s="1414">
        <v>925.35881948390079</v>
      </c>
      <c r="H20" s="2394">
        <v>5538.6275134443949</v>
      </c>
      <c r="I20" s="2395">
        <v>1111.5111251601061</v>
      </c>
      <c r="J20" s="1612">
        <v>25652.321233704653</v>
      </c>
      <c r="K20" s="2396">
        <v>14608.358006707931</v>
      </c>
      <c r="L20" s="2397">
        <v>40260.679240412581</v>
      </c>
      <c r="M20" s="2398">
        <v>8085.7206714014173</v>
      </c>
      <c r="N20" s="2269">
        <v>-9.9999999997635314E-3</v>
      </c>
      <c r="O20" s="1855">
        <v>0</v>
      </c>
    </row>
    <row r="21" spans="1:15" s="483" customFormat="1" ht="14.25" customHeight="1">
      <c r="A21" s="1782">
        <v>2024</v>
      </c>
      <c r="B21" s="1783"/>
      <c r="C21" s="2393">
        <v>136.80272008418029</v>
      </c>
      <c r="D21" s="1497">
        <v>4630.361426748038</v>
      </c>
      <c r="E21" s="1612">
        <v>2014.6235242127937</v>
      </c>
      <c r="F21" s="1612">
        <v>11897.037488911043</v>
      </c>
      <c r="G21" s="1414">
        <v>1160.0747486541443</v>
      </c>
      <c r="H21" s="2394">
        <v>5774.3295687969949</v>
      </c>
      <c r="I21" s="2395">
        <v>1249.8445850251187</v>
      </c>
      <c r="J21" s="1612">
        <v>26863.024062432312</v>
      </c>
      <c r="K21" s="2396">
        <v>14846.494816834533</v>
      </c>
      <c r="L21" s="2397">
        <v>41709.518879266841</v>
      </c>
      <c r="M21" s="2398">
        <v>7311.1839031034806</v>
      </c>
      <c r="N21" s="2269">
        <v>-4.9999999998817657E-2</v>
      </c>
      <c r="O21" s="1855">
        <v>0</v>
      </c>
    </row>
    <row r="22" spans="1:15" s="483" customFormat="1" ht="14.25" customHeight="1">
      <c r="A22" s="2058">
        <v>2025</v>
      </c>
      <c r="B22" s="2200"/>
      <c r="C22" s="2263">
        <f t="shared" ref="C22:M22" si="0">C29</f>
        <v>174.48180280008069</v>
      </c>
      <c r="D22" s="2205">
        <f t="shared" si="0"/>
        <v>4255.0871019940005</v>
      </c>
      <c r="E22" s="2209">
        <f t="shared" si="0"/>
        <v>2625.5990142779924</v>
      </c>
      <c r="F22" s="2209">
        <f t="shared" si="0"/>
        <v>12321.563574700062</v>
      </c>
      <c r="G22" s="2230">
        <f t="shared" si="0"/>
        <v>1507.6448934812699</v>
      </c>
      <c r="H22" s="2264">
        <f t="shared" si="0"/>
        <v>7024.5219233836178</v>
      </c>
      <c r="I22" s="2265">
        <f t="shared" si="0"/>
        <v>1280.2813400050081</v>
      </c>
      <c r="J22" s="2209">
        <f t="shared" si="0"/>
        <v>29189.169650642034</v>
      </c>
      <c r="K22" s="2266">
        <f t="shared" si="0"/>
        <v>15811.918264778942</v>
      </c>
      <c r="L22" s="2267">
        <f t="shared" si="0"/>
        <v>45001.087915420976</v>
      </c>
      <c r="M22" s="2268">
        <f t="shared" si="0"/>
        <v>8719.1459357337772</v>
      </c>
      <c r="N22" s="2269">
        <f>J22-C22-D22-E22-F22-G22-H22-I22</f>
        <v>-9.999999999308784E-3</v>
      </c>
      <c r="O22" s="1855">
        <f>L22-J22-K22</f>
        <v>0</v>
      </c>
    </row>
    <row r="23" spans="1:15" s="889" customFormat="1" ht="21" customHeight="1">
      <c r="A23" s="884">
        <v>2024</v>
      </c>
      <c r="B23" s="885" t="s">
        <v>243</v>
      </c>
      <c r="C23" s="886">
        <v>156.66274595305768</v>
      </c>
      <c r="D23" s="866">
        <v>4824.4216580980001</v>
      </c>
      <c r="E23" s="867">
        <v>1550.7378678379764</v>
      </c>
      <c r="F23" s="867">
        <v>12242.259972509069</v>
      </c>
      <c r="G23" s="879">
        <v>1012.4998555616075</v>
      </c>
      <c r="H23" s="887">
        <v>5577.9912585579705</v>
      </c>
      <c r="I23" s="893">
        <v>1178.2693698076257</v>
      </c>
      <c r="J23" s="867">
        <v>26542.862728325312</v>
      </c>
      <c r="K23" s="1226">
        <v>14655.041104269798</v>
      </c>
      <c r="L23" s="894">
        <v>41197.8838325951</v>
      </c>
      <c r="M23" s="888">
        <v>7953.1182030894342</v>
      </c>
      <c r="N23" s="1805">
        <v>2.0000000006575647E-2</v>
      </c>
      <c r="O23" s="1278">
        <v>0</v>
      </c>
    </row>
    <row r="24" spans="1:15" s="889" customFormat="1" ht="15" customHeight="1">
      <c r="A24" s="884"/>
      <c r="B24" s="885" t="s">
        <v>240</v>
      </c>
      <c r="C24" s="886">
        <v>128.34604386187928</v>
      </c>
      <c r="D24" s="866">
        <v>5274.5170140540004</v>
      </c>
      <c r="E24" s="867">
        <v>1682.9628569176846</v>
      </c>
      <c r="F24" s="867">
        <v>12132.166024345523</v>
      </c>
      <c r="G24" s="879">
        <v>1059.0662853022038</v>
      </c>
      <c r="H24" s="887">
        <v>5723.7379522009369</v>
      </c>
      <c r="I24" s="893">
        <v>1254.5728944914358</v>
      </c>
      <c r="J24" s="867">
        <v>27255.389071173668</v>
      </c>
      <c r="K24" s="1226">
        <v>14276.599021203841</v>
      </c>
      <c r="L24" s="894">
        <v>41531.988092377513</v>
      </c>
      <c r="M24" s="888">
        <v>8283.7555795199969</v>
      </c>
      <c r="N24" s="1805">
        <v>2.0000000004529284E-2</v>
      </c>
      <c r="O24" s="1278">
        <v>0</v>
      </c>
    </row>
    <row r="25" spans="1:15" s="889" customFormat="1" ht="15" customHeight="1">
      <c r="A25" s="884"/>
      <c r="B25" s="885" t="s">
        <v>241</v>
      </c>
      <c r="C25" s="886">
        <v>136.80272008418029</v>
      </c>
      <c r="D25" s="866">
        <v>4630.361426748038</v>
      </c>
      <c r="E25" s="867">
        <v>2014.6235242127937</v>
      </c>
      <c r="F25" s="867">
        <v>11897.037488911043</v>
      </c>
      <c r="G25" s="879">
        <v>1160.0747486541443</v>
      </c>
      <c r="H25" s="887">
        <v>5774.3295687969949</v>
      </c>
      <c r="I25" s="893">
        <v>1249.8445850251187</v>
      </c>
      <c r="J25" s="867">
        <v>26863.024062432312</v>
      </c>
      <c r="K25" s="1226">
        <v>14846.494816834533</v>
      </c>
      <c r="L25" s="894">
        <v>41709.518879266841</v>
      </c>
      <c r="M25" s="888">
        <v>7311.1839031034806</v>
      </c>
      <c r="N25" s="1805">
        <v>-4.9999999998817657E-2</v>
      </c>
      <c r="O25" s="1278">
        <v>0</v>
      </c>
    </row>
    <row r="26" spans="1:15" s="889" customFormat="1" ht="21" customHeight="1">
      <c r="A26" s="884">
        <v>2025</v>
      </c>
      <c r="B26" s="885" t="s">
        <v>242</v>
      </c>
      <c r="C26" s="886">
        <v>112.65437204347867</v>
      </c>
      <c r="D26" s="866">
        <v>5191.2290208330005</v>
      </c>
      <c r="E26" s="867">
        <v>2092.167428438559</v>
      </c>
      <c r="F26" s="867">
        <v>12209.403658198527</v>
      </c>
      <c r="G26" s="879">
        <v>1168.7777575600308</v>
      </c>
      <c r="H26" s="887">
        <v>5789.4370053384337</v>
      </c>
      <c r="I26" s="893">
        <v>1262.1581112206359</v>
      </c>
      <c r="J26" s="867">
        <v>27825.867353632671</v>
      </c>
      <c r="K26" s="1226">
        <v>14617.216609590561</v>
      </c>
      <c r="L26" s="894">
        <v>42443.063963223241</v>
      </c>
      <c r="M26" s="888">
        <v>9594.7637790396184</v>
      </c>
      <c r="N26" s="1805">
        <v>4.0000000005420588E-2</v>
      </c>
      <c r="O26" s="1278">
        <v>0</v>
      </c>
    </row>
    <row r="27" spans="1:15" s="889" customFormat="1" ht="15" customHeight="1">
      <c r="A27" s="884"/>
      <c r="B27" s="885" t="s">
        <v>243</v>
      </c>
      <c r="C27" s="886">
        <v>127.21298189242717</v>
      </c>
      <c r="D27" s="866">
        <v>4830.5878948819991</v>
      </c>
      <c r="E27" s="867">
        <v>2134.4590575742814</v>
      </c>
      <c r="F27" s="867">
        <v>12226.193005835752</v>
      </c>
      <c r="G27" s="879">
        <v>1010.7150584789999</v>
      </c>
      <c r="H27" s="887">
        <v>6600.5946867416769</v>
      </c>
      <c r="I27" s="893">
        <v>1286.2941977850521</v>
      </c>
      <c r="J27" s="867">
        <v>28216.08688319019</v>
      </c>
      <c r="K27" s="1226">
        <v>15336.864423943316</v>
      </c>
      <c r="L27" s="894">
        <v>43552.951307133502</v>
      </c>
      <c r="M27" s="888">
        <v>8792.8342930903691</v>
      </c>
      <c r="N27" s="1805">
        <v>3.0000000003610694E-2</v>
      </c>
      <c r="O27" s="1278">
        <v>0</v>
      </c>
    </row>
    <row r="28" spans="1:15" s="889" customFormat="1" ht="15" customHeight="1">
      <c r="A28" s="884"/>
      <c r="B28" s="885" t="s">
        <v>240</v>
      </c>
      <c r="C28" s="886">
        <f t="shared" ref="C28:M28" si="1">C35</f>
        <v>220.8016936297899</v>
      </c>
      <c r="D28" s="866">
        <f t="shared" si="1"/>
        <v>4303.3351148128859</v>
      </c>
      <c r="E28" s="867">
        <f t="shared" si="1"/>
        <v>1890.0302047554383</v>
      </c>
      <c r="F28" s="867">
        <f t="shared" si="1"/>
        <v>12070.874790278758</v>
      </c>
      <c r="G28" s="879">
        <f t="shared" si="1"/>
        <v>1427.29604254797</v>
      </c>
      <c r="H28" s="887">
        <f t="shared" si="1"/>
        <v>7010.2290862109767</v>
      </c>
      <c r="I28" s="893">
        <f t="shared" si="1"/>
        <v>1178.6952588406634</v>
      </c>
      <c r="J28" s="867">
        <f t="shared" si="1"/>
        <v>28101.242191076482</v>
      </c>
      <c r="K28" s="1226">
        <f t="shared" si="1"/>
        <v>15959.487446916028</v>
      </c>
      <c r="L28" s="894">
        <f t="shared" si="1"/>
        <v>44060.749637992507</v>
      </c>
      <c r="M28" s="888">
        <f t="shared" si="1"/>
        <v>8453.385067510575</v>
      </c>
      <c r="N28" s="1805">
        <f>J28-C28-D28-E28-F28-G28-H28-I28</f>
        <v>-2.00000000018008E-2</v>
      </c>
      <c r="O28" s="1278">
        <f t="shared" ref="O28" si="2">ROUND(L28,1)-ROUND(J28,1)-ROUND(K28,1)</f>
        <v>0</v>
      </c>
    </row>
    <row r="29" spans="1:15" s="889" customFormat="1" ht="15" customHeight="1">
      <c r="A29" s="884"/>
      <c r="B29" s="885" t="s">
        <v>241</v>
      </c>
      <c r="C29" s="886">
        <f t="shared" ref="C29:M29" si="3">C38</f>
        <v>174.48180280008069</v>
      </c>
      <c r="D29" s="866">
        <f t="shared" si="3"/>
        <v>4255.0871019940005</v>
      </c>
      <c r="E29" s="867">
        <f t="shared" si="3"/>
        <v>2625.5990142779924</v>
      </c>
      <c r="F29" s="867">
        <f t="shared" si="3"/>
        <v>12321.563574700062</v>
      </c>
      <c r="G29" s="879">
        <f t="shared" si="3"/>
        <v>1507.6448934812699</v>
      </c>
      <c r="H29" s="887">
        <f t="shared" si="3"/>
        <v>7024.5219233836178</v>
      </c>
      <c r="I29" s="893">
        <f t="shared" si="3"/>
        <v>1280.2813400050081</v>
      </c>
      <c r="J29" s="867">
        <f t="shared" si="3"/>
        <v>29189.169650642034</v>
      </c>
      <c r="K29" s="1226">
        <f t="shared" si="3"/>
        <v>15811.918264778942</v>
      </c>
      <c r="L29" s="894">
        <f t="shared" si="3"/>
        <v>45001.087915420976</v>
      </c>
      <c r="M29" s="888">
        <f t="shared" si="3"/>
        <v>8719.1459357337772</v>
      </c>
      <c r="N29" s="1805">
        <f>J29-C29-D29-E29-F29-G29-H29-I29</f>
        <v>-9.999999999308784E-3</v>
      </c>
      <c r="O29" s="1278">
        <f t="shared" ref="O29" si="4">ROUND(L29,1)-ROUND(J29,1)-ROUND(K29,1)</f>
        <v>0</v>
      </c>
    </row>
    <row r="30" spans="1:15" s="889" customFormat="1" ht="21" customHeight="1">
      <c r="A30" s="1681">
        <v>2026</v>
      </c>
      <c r="B30" s="1687" t="s">
        <v>242</v>
      </c>
      <c r="C30" s="1714">
        <f t="shared" ref="C30:M30" si="5">C41</f>
        <v>229.9947986622667</v>
      </c>
      <c r="D30" s="1715">
        <f t="shared" si="5"/>
        <v>5220.2128229840864</v>
      </c>
      <c r="E30" s="1716">
        <f t="shared" si="5"/>
        <v>2453.3552958339865</v>
      </c>
      <c r="F30" s="1716">
        <f t="shared" si="5"/>
        <v>12432.730006494046</v>
      </c>
      <c r="G30" s="1717">
        <f t="shared" si="5"/>
        <v>1667.9993236514301</v>
      </c>
      <c r="H30" s="1718">
        <f t="shared" si="5"/>
        <v>7108.8578399304879</v>
      </c>
      <c r="I30" s="1719">
        <f t="shared" si="5"/>
        <v>1388.8790506970279</v>
      </c>
      <c r="J30" s="1716">
        <f t="shared" si="5"/>
        <v>30502.06913825333</v>
      </c>
      <c r="K30" s="1720">
        <f t="shared" si="5"/>
        <v>16335.199098380101</v>
      </c>
      <c r="L30" s="1721">
        <f t="shared" si="5"/>
        <v>46837.258236633432</v>
      </c>
      <c r="M30" s="1722">
        <f t="shared" si="5"/>
        <v>8923.5552430720836</v>
      </c>
      <c r="N30" s="1805">
        <f>J30-C30-D30-E30-F30-G30-H30-I30</f>
        <v>3.9999999996553015E-2</v>
      </c>
      <c r="O30" s="1278">
        <f t="shared" ref="O30" si="6">ROUND(L30,1)-ROUND(J30,1)-ROUND(K30,1)</f>
        <v>0</v>
      </c>
    </row>
    <row r="31" spans="1:15" s="372" customFormat="1" ht="21" customHeight="1">
      <c r="A31" s="704">
        <v>2025</v>
      </c>
      <c r="B31" s="705" t="s">
        <v>427</v>
      </c>
      <c r="C31" s="1540">
        <v>125.46282625978367</v>
      </c>
      <c r="D31" s="1882">
        <v>5013.969964938</v>
      </c>
      <c r="E31" s="1543">
        <v>2018.6322600753349</v>
      </c>
      <c r="F31" s="1543">
        <v>12218.675505790741</v>
      </c>
      <c r="G31" s="1541">
        <v>981.30509939699994</v>
      </c>
      <c r="H31" s="1541">
        <v>6574.2404822723129</v>
      </c>
      <c r="I31" s="1542">
        <v>1253.7833327172186</v>
      </c>
      <c r="J31" s="1543">
        <v>28186.109471450392</v>
      </c>
      <c r="K31" s="1543">
        <v>15268.652679477085</v>
      </c>
      <c r="L31" s="1544">
        <v>43454.762150927476</v>
      </c>
      <c r="M31" s="2463">
        <v>8518.5070034670425</v>
      </c>
      <c r="N31" s="2519">
        <v>0</v>
      </c>
      <c r="O31" s="412">
        <v>0</v>
      </c>
    </row>
    <row r="32" spans="1:15" s="372" customFormat="1" ht="16.5" customHeight="1">
      <c r="A32" s="704"/>
      <c r="B32" s="705" t="s">
        <v>428</v>
      </c>
      <c r="C32" s="1540">
        <f>SUM('[5]1'!$C$68:$D$68)</f>
        <v>127.21298189242717</v>
      </c>
      <c r="D32" s="1882">
        <f>SUM('[5]1'!$C$69:$D$69)</f>
        <v>4830.5878948819991</v>
      </c>
      <c r="E32" s="2442">
        <f>SUM('[5]1'!$C$72:$D$72)+SUM('[5]1'!$C$95:$D$95)+0.01</f>
        <v>2134.4590575742814</v>
      </c>
      <c r="F32" s="1543">
        <f>SUM('[5]1'!$C$79:$D$83)+SUM('[5]1'!$C$89:$D$89)+SUM('[5]1'!$C$92:$D$92)</f>
        <v>12226.193005835752</v>
      </c>
      <c r="G32" s="1797">
        <f>SUM('[5]1'!$C$77:$D$78)-0.04</f>
        <v>1010.7150584789999</v>
      </c>
      <c r="H32" s="1541">
        <f>SUM('[5]1'!$C$86:$D$86)</f>
        <v>6600.5946867416769</v>
      </c>
      <c r="I32" s="1542">
        <f>SUM('[5]1'!$C$93:$D$93)+SUM('[5]1'!$C$96:$D$97)</f>
        <v>1286.2941977850521</v>
      </c>
      <c r="J32" s="1543">
        <f>SUM('[5]1'!$C$98:$D$98)</f>
        <v>28216.08688319019</v>
      </c>
      <c r="K32" s="1543">
        <f>SUM('[5]1'!$E$98:$P$98)</f>
        <v>15336.864423943316</v>
      </c>
      <c r="L32" s="1544">
        <f>'[5]1'!$Q$98</f>
        <v>43552.951307133502</v>
      </c>
      <c r="M32" s="2463">
        <f>'[5]1'!$Q$100</f>
        <v>8792.8342930903691</v>
      </c>
      <c r="N32" s="1860">
        <f t="shared" ref="N32" si="7">ROUND(J32,1)-ROUND(C32,1)-ROUND(D32,1)-ROUND(E32,1)-ROUND(F32,1)-ROUND(G32,1)-ROUND(H32,1)-ROUND(I32,1)</f>
        <v>-5.2295945351943374E-12</v>
      </c>
      <c r="O32" s="412">
        <f t="shared" ref="O32" si="8">ROUND(L32,1)-ROUND(J32,1)-ROUND(K32,1)</f>
        <v>0</v>
      </c>
    </row>
    <row r="33" spans="1:15" s="372" customFormat="1" ht="16.5" customHeight="1">
      <c r="A33" s="704"/>
      <c r="B33" s="705" t="s">
        <v>429</v>
      </c>
      <c r="C33" s="1540">
        <f>SUM('[6]1'!$C$68:$D$68)</f>
        <v>184.00138336706829</v>
      </c>
      <c r="D33" s="1882">
        <f>SUM('[6]1'!$C$69:$D$69)</f>
        <v>4805.9463011880198</v>
      </c>
      <c r="E33" s="1543">
        <f>SUM('[6]1'!$C$72:$D$72)+SUM('[6]1'!$C$95:$D$95)</f>
        <v>2073.8559988994671</v>
      </c>
      <c r="F33" s="1543">
        <f>SUM('[6]1'!$C$79:$D$83)+SUM('[6]1'!$C$89:$D$89)+SUM('[6]1'!$C$92:$D$92)</f>
        <v>12170.574120990528</v>
      </c>
      <c r="G33" s="1797">
        <f>SUM('[6]1'!$C$77:$D$78)-0.04</f>
        <v>1112.6346113239999</v>
      </c>
      <c r="H33" s="1541">
        <f>SUM('[6]1'!$C$86:$D$86)</f>
        <v>6658.6727764465577</v>
      </c>
      <c r="I33" s="1542">
        <f>SUM('[6]1'!$C$93:$D$93)+SUM('[6]1'!$C$96:$D$97)</f>
        <v>1205.2857738176522</v>
      </c>
      <c r="J33" s="1543">
        <f>SUM('[6]1'!$C$98:$D$98)</f>
        <v>28211.010966033293</v>
      </c>
      <c r="K33" s="1543">
        <f>SUM('[6]1'!$E$98:$P$98)</f>
        <v>15588.617386193881</v>
      </c>
      <c r="L33" s="1544">
        <f>'[6]1'!$Q$98</f>
        <v>43799.628352227177</v>
      </c>
      <c r="M33" s="2463">
        <f>'[6]1'!$Q$100</f>
        <v>8024.9120933151244</v>
      </c>
      <c r="N33" s="1860">
        <f t="shared" ref="N33" si="9">ROUND(J33,1)-ROUND(C33,1)-ROUND(D33,1)-ROUND(E33,1)-ROUND(F33,1)-ROUND(G33,1)-ROUND(H33,1)-ROUND(I33,1)</f>
        <v>-3.4106051316484809E-12</v>
      </c>
      <c r="O33" s="412">
        <f t="shared" ref="O33" si="10">ROUND(L33,1)-ROUND(J33,1)-ROUND(K33,1)</f>
        <v>0</v>
      </c>
    </row>
    <row r="34" spans="1:15" s="372" customFormat="1" ht="16.5" customHeight="1">
      <c r="A34" s="704"/>
      <c r="B34" s="705" t="s">
        <v>430</v>
      </c>
      <c r="C34" s="1540">
        <f>SUM('[7]1'!$C$68:$D$68)</f>
        <v>172.37130876621356</v>
      </c>
      <c r="D34" s="1882">
        <f>SUM('[7]1'!$C$69:$D$69)</f>
        <v>4436.520745932</v>
      </c>
      <c r="E34" s="1543">
        <f>SUM('[7]1'!$C$72:$D$72)+SUM('[7]1'!$C$95:$D$95)</f>
        <v>1867.2391458807715</v>
      </c>
      <c r="F34" s="1543">
        <f>SUM('[7]1'!$C$79:$D$83)+SUM('[7]1'!$C$89:$D$89)+SUM('[7]1'!$C$92:$D$92)</f>
        <v>12102.288466598202</v>
      </c>
      <c r="G34" s="1541">
        <f>SUM('[7]1'!$C$77:$D$78)</f>
        <v>1301.6709238819999</v>
      </c>
      <c r="H34" s="1541">
        <f>SUM('[7]1'!$C$86:$D$86)</f>
        <v>6950.6064074922479</v>
      </c>
      <c r="I34" s="1542">
        <f>SUM('[7]1'!$C$93:$D$93)+SUM('[7]1'!$C$96:$D$97)</f>
        <v>1206.1747577996452</v>
      </c>
      <c r="J34" s="1543">
        <f>SUM('[7]1'!$C$98:$D$98)</f>
        <v>28036.87175635108</v>
      </c>
      <c r="K34" s="1543">
        <f>SUM('[7]1'!$E$98:$P$98)</f>
        <v>16210.065705840276</v>
      </c>
      <c r="L34" s="2427">
        <f>'[7]1'!$Q$98+0.02</f>
        <v>44246.957462191356</v>
      </c>
      <c r="M34" s="2463">
        <f>'[7]1'!$Q$100</f>
        <v>8380.2199291224897</v>
      </c>
      <c r="N34" s="1860">
        <f t="shared" ref="N34" si="11">ROUND(J34,1)-ROUND(C34,1)-ROUND(D34,1)-ROUND(E34,1)-ROUND(F34,1)-ROUND(G34,1)-ROUND(H34,1)-ROUND(I34,1)</f>
        <v>0</v>
      </c>
      <c r="O34" s="412">
        <f t="shared" ref="O34" si="12">ROUND(L34,1)-ROUND(J34,1)-ROUND(K34,1)</f>
        <v>0</v>
      </c>
    </row>
    <row r="35" spans="1:15" s="372" customFormat="1" ht="16.5" customHeight="1">
      <c r="A35" s="704"/>
      <c r="B35" s="705" t="s">
        <v>431</v>
      </c>
      <c r="C35" s="1540">
        <f>SUM('[8]1'!$C$68:$D$68)</f>
        <v>220.8016936297899</v>
      </c>
      <c r="D35" s="1882">
        <f>SUM('[8]1'!$C$69:$D$69)</f>
        <v>4303.3351148128859</v>
      </c>
      <c r="E35" s="1543">
        <f>SUM('[8]1'!$C$72:$D$72)+SUM('[8]1'!$C$95:$D$95)</f>
        <v>1890.0302047554383</v>
      </c>
      <c r="F35" s="1543">
        <f>SUM('[8]1'!$C$79:$D$83)+SUM('[8]1'!$C$89:$D$89)+SUM('[8]1'!$C$92:$D$92)</f>
        <v>12070.874790278758</v>
      </c>
      <c r="G35" s="1541">
        <f>SUM('[8]1'!$C$77:$D$78)</f>
        <v>1427.29604254797</v>
      </c>
      <c r="H35" s="1541">
        <f>SUM('[8]1'!$C$86:$D$86)</f>
        <v>7010.2290862109767</v>
      </c>
      <c r="I35" s="1542">
        <f>SUM('[8]1'!$C$93:$D$93)+SUM('[8]1'!$C$96:$D$97)</f>
        <v>1178.6952588406634</v>
      </c>
      <c r="J35" s="2442">
        <f>SUM('[8]1'!$C$98:$D$98)-0.02</f>
        <v>28101.242191076482</v>
      </c>
      <c r="K35" s="1543">
        <f>SUM('[8]1'!$E$98:$P$98)</f>
        <v>15959.487446916028</v>
      </c>
      <c r="L35" s="1544">
        <f>'[8]1'!$Q$98</f>
        <v>44060.749637992507</v>
      </c>
      <c r="M35" s="2463">
        <f>'[8]1'!$Q$100</f>
        <v>8453.385067510575</v>
      </c>
      <c r="N35" s="1860">
        <f t="shared" ref="N35" si="13">ROUND(J35,1)-ROUND(C35,1)-ROUND(D35,1)-ROUND(E35,1)-ROUND(F35,1)-ROUND(G35,1)-ROUND(H35,1)-ROUND(I35,1)</f>
        <v>2.5011104298755527E-12</v>
      </c>
      <c r="O35" s="412">
        <f t="shared" ref="O35" si="14">ROUND(L35,1)-ROUND(J35,1)-ROUND(K35,1)</f>
        <v>0</v>
      </c>
    </row>
    <row r="36" spans="1:15" s="372" customFormat="1" ht="16.5" customHeight="1">
      <c r="A36" s="704"/>
      <c r="B36" s="705" t="s">
        <v>420</v>
      </c>
      <c r="C36" s="1540">
        <f>SUM('[9]1'!$C$68:$D$68)</f>
        <v>176.86320916793096</v>
      </c>
      <c r="D36" s="1882">
        <f>SUM('[9]1'!$C$69:$D$69)</f>
        <v>4202.0262099186048</v>
      </c>
      <c r="E36" s="1543">
        <f>SUM('[9]1'!$C$72:$D$72)+SUM('[9]1'!$C$95:$D$95)</f>
        <v>2411.5779054475406</v>
      </c>
      <c r="F36" s="1543">
        <f>SUM('[9]1'!$C$79:$D$83)+SUM('[9]1'!$C$89:$D$89)+SUM('[9]1'!$C$92:$D$92)</f>
        <v>12185.737582546886</v>
      </c>
      <c r="G36" s="1541">
        <f>SUM('[9]1'!$C$77:$D$78)</f>
        <v>1437.4596204567499</v>
      </c>
      <c r="H36" s="1541">
        <f>SUM('[9]1'!$C$86:$D$86)</f>
        <v>6935.9245483255372</v>
      </c>
      <c r="I36" s="1542">
        <f>SUM('[9]1'!$C$93:$D$93)+SUM('[9]1'!$C$96:$D$97)</f>
        <v>1161.4778174809589</v>
      </c>
      <c r="J36" s="1543">
        <f>SUM('[9]1'!$C$98:$D$98)</f>
        <v>28511.066893344214</v>
      </c>
      <c r="K36" s="1543">
        <f>SUM('[9]1'!$E$98:$P$98)</f>
        <v>15677.273757909072</v>
      </c>
      <c r="L36" s="2427">
        <f>'[9]1'!$Q$98+0.02</f>
        <v>44188.360651253279</v>
      </c>
      <c r="M36" s="2463">
        <f>'[9]1'!$Q$100</f>
        <v>8026.9380401363851</v>
      </c>
      <c r="N36" s="1860">
        <f t="shared" ref="N36" si="15">ROUND(J36,1)-ROUND(C36,1)-ROUND(D36,1)-ROUND(E36,1)-ROUND(F36,1)-ROUND(G36,1)-ROUND(H36,1)-ROUND(I36,1)</f>
        <v>-1.8189894035458565E-12</v>
      </c>
      <c r="O36" s="412">
        <f t="shared" ref="O36" si="16">ROUND(L36,1)-ROUND(J36,1)-ROUND(K36,1)</f>
        <v>0</v>
      </c>
    </row>
    <row r="37" spans="1:15" s="372" customFormat="1" ht="16.5" customHeight="1">
      <c r="A37" s="704"/>
      <c r="B37" s="705" t="s">
        <v>421</v>
      </c>
      <c r="C37" s="1540">
        <f>SUM('[10]1'!$C$68:$D$68)</f>
        <v>177.79739423573886</v>
      </c>
      <c r="D37" s="1882">
        <f>SUM('[10]1'!$C$69:$D$69)</f>
        <v>4286.7070988077503</v>
      </c>
      <c r="E37" s="1543">
        <f>SUM('[10]1'!$C$72:$D$72)+SUM('[10]1'!$C$95:$D$95)</f>
        <v>2485.1001799367823</v>
      </c>
      <c r="F37" s="1543">
        <f>SUM('[10]1'!$C$79:$D$83)+SUM('[10]1'!$C$89:$D$89)+SUM('[10]1'!$C$92:$D$92)</f>
        <v>12174.902209119286</v>
      </c>
      <c r="G37" s="1541">
        <f>SUM('[10]1'!$C$77:$D$78)</f>
        <v>1483.3194864985901</v>
      </c>
      <c r="H37" s="1541">
        <f>SUM('[10]1'!$C$86:$D$86)</f>
        <v>6987.6586189942382</v>
      </c>
      <c r="I37" s="2468">
        <f>SUM('[10]1'!$C$93:$D$93)+SUM('[10]1'!$C$96:$D$97)+0.02</f>
        <v>1216.0668386738919</v>
      </c>
      <c r="J37" s="2442">
        <f>SUM('[10]1'!$C$98:$D$98)+0.03</f>
        <v>28811.561826266276</v>
      </c>
      <c r="K37" s="1543">
        <f>SUM('[10]1'!$E$98:$P$98)</f>
        <v>15716.22946449363</v>
      </c>
      <c r="L37" s="1544">
        <f>'[10]1'!$Q$98</f>
        <v>44527.761290759903</v>
      </c>
      <c r="M37" s="2463">
        <f>'[10]1'!$Q$100</f>
        <v>8505.6351144400141</v>
      </c>
      <c r="N37" s="1860">
        <f t="shared" ref="N37" si="17">ROUND(J37,1)-ROUND(C37,1)-ROUND(D37,1)-ROUND(E37,1)-ROUND(F37,1)-ROUND(G37,1)-ROUND(H37,1)-ROUND(I37,1)</f>
        <v>0</v>
      </c>
      <c r="O37" s="412">
        <f t="shared" ref="O37" si="18">ROUND(L37,1)-ROUND(J37,1)-ROUND(K37,1)</f>
        <v>0</v>
      </c>
    </row>
    <row r="38" spans="1:15" s="372" customFormat="1" ht="16.5" customHeight="1">
      <c r="A38" s="704"/>
      <c r="B38" s="705" t="s">
        <v>422</v>
      </c>
      <c r="C38" s="1540">
        <f>SUM('[11]1'!$C$68:$D$68)</f>
        <v>174.48180280008069</v>
      </c>
      <c r="D38" s="1882">
        <f>SUM('[11]1'!$C$69:$D$69)</f>
        <v>4255.0871019940005</v>
      </c>
      <c r="E38" s="2442">
        <f>SUM('[11]1'!$C$72:$D$72)+SUM('[11]1'!$C$95:$D$95)+0.02</f>
        <v>2625.5990142779924</v>
      </c>
      <c r="F38" s="1543">
        <f>SUM('[11]1'!$C$79:$D$83)+SUM('[11]1'!$C$89:$D$89)+SUM('[11]1'!$C$92:$D$92)</f>
        <v>12321.563574700062</v>
      </c>
      <c r="G38" s="1797">
        <f>SUM('[11]1'!$C$77:$D$78)-0.01</f>
        <v>1507.6448934812699</v>
      </c>
      <c r="H38" s="1541">
        <f>SUM('[11]1'!$C$86:$D$86)</f>
        <v>7024.5219233836178</v>
      </c>
      <c r="I38" s="1542">
        <f>SUM('[11]1'!$C$93:$D$93)+SUM('[11]1'!$C$96:$D$97)</f>
        <v>1280.2813400050081</v>
      </c>
      <c r="J38" s="1543">
        <f>SUM('[11]1'!$C$98:$D$98)</f>
        <v>29189.169650642034</v>
      </c>
      <c r="K38" s="1543">
        <f>SUM('[11]1'!$E$98:$P$98)</f>
        <v>15811.918264778942</v>
      </c>
      <c r="L38" s="1544">
        <f>'[11]1'!$Q$98</f>
        <v>45001.087915420976</v>
      </c>
      <c r="M38" s="2463">
        <f>'[11]1'!$Q$100</f>
        <v>8719.1459357337772</v>
      </c>
      <c r="N38" s="1860">
        <f t="shared" ref="N38" si="19">ROUND(J38,1)-ROUND(C38,1)-ROUND(D38,1)-ROUND(E38,1)-ROUND(F38,1)-ROUND(G38,1)-ROUND(H38,1)-ROUND(I38,1)</f>
        <v>0</v>
      </c>
      <c r="O38" s="412">
        <f t="shared" ref="O38" si="20">ROUND(L38,1)-ROUND(J38,1)-ROUND(K38,1)</f>
        <v>0</v>
      </c>
    </row>
    <row r="39" spans="1:15" s="372" customFormat="1" ht="21" customHeight="1">
      <c r="A39" s="704">
        <v>2026</v>
      </c>
      <c r="B39" s="705" t="s">
        <v>423</v>
      </c>
      <c r="C39" s="1540">
        <f>SUM('[12]1'!$C$68:$D$68)</f>
        <v>148.71714707124693</v>
      </c>
      <c r="D39" s="1882">
        <f>SUM('[12]1'!$C$69:$D$69)</f>
        <v>4488.7914130384543</v>
      </c>
      <c r="E39" s="1543">
        <f>SUM('[12]1'!$C$72:$D$72)+SUM('[12]1'!$C$95:$D$95)</f>
        <v>2514.8071468301623</v>
      </c>
      <c r="F39" s="2442">
        <f>SUM('[12]1'!$C$79:$D$83)+SUM('[12]1'!$C$89:$D$89)+SUM('[12]1'!$C$92:$D$92)-0.01</f>
        <v>12200.143844624019</v>
      </c>
      <c r="G39" s="1541">
        <f>SUM('[12]1'!$C$77:$D$78)</f>
        <v>1527.1656801772197</v>
      </c>
      <c r="H39" s="1541">
        <f>SUM('[12]1'!$C$86:$D$86)</f>
        <v>7087.0924040029058</v>
      </c>
      <c r="I39" s="1542">
        <f>SUM('[12]1'!$C$93:$D$93)+SUM('[12]1'!$C$96:$D$97)</f>
        <v>1279.734850763256</v>
      </c>
      <c r="J39" s="2442">
        <f>SUM('[12]1'!$C$98:$D$98)-0.02</f>
        <v>29246.442486507265</v>
      </c>
      <c r="K39" s="1543">
        <f>SUM('[12]1'!$E$98:$P$98)</f>
        <v>16024.903032997125</v>
      </c>
      <c r="L39" s="2427">
        <f>'[12]1'!$Q$98-0.03</f>
        <v>45271.335519504384</v>
      </c>
      <c r="M39" s="2463">
        <f>'[12]1'!$Q$100</f>
        <v>8050.1331276001674</v>
      </c>
      <c r="N39" s="1860">
        <f t="shared" ref="N39" si="21">ROUND(J39,1)-ROUND(C39,1)-ROUND(D39,1)-ROUND(E39,1)-ROUND(F39,1)-ROUND(G39,1)-ROUND(H39,1)-ROUND(I39,1)</f>
        <v>0</v>
      </c>
      <c r="O39" s="412">
        <f t="shared" ref="O39" si="22">ROUND(L39,1)-ROUND(J39,1)-ROUND(K39,1)</f>
        <v>0</v>
      </c>
    </row>
    <row r="40" spans="1:15" s="372" customFormat="1" ht="16.5" customHeight="1">
      <c r="A40" s="704"/>
      <c r="B40" s="705" t="s">
        <v>424</v>
      </c>
      <c r="C40" s="1540">
        <f>SUM('[13]1'!$C$68:$D$68)</f>
        <v>152.51064858497352</v>
      </c>
      <c r="D40" s="1882">
        <f>SUM('[13]1'!$C$69:$D$69)</f>
        <v>4487.6273648004199</v>
      </c>
      <c r="E40" s="1543">
        <f>SUM('[13]1'!$C$72:$D$72)+SUM('[13]1'!$C$95:$D$95)</f>
        <v>2204.7856375128422</v>
      </c>
      <c r="F40" s="1543">
        <f>SUM('[13]1'!$C$79:$D$83)+SUM('[13]1'!$C$89:$D$89)+SUM('[13]1'!$C$92:$D$92)</f>
        <v>12209.39527980212</v>
      </c>
      <c r="G40" s="1541">
        <f>SUM('[13]1'!$C$77:$D$78)</f>
        <v>1597.5668491311299</v>
      </c>
      <c r="H40" s="1541">
        <f>SUM('[13]1'!$C$86:$D$86)</f>
        <v>7384.6881523129177</v>
      </c>
      <c r="I40" s="1542">
        <f>SUM('[13]1'!$C$93:$D$93)+SUM('[13]1'!$C$96:$D$97)</f>
        <v>1291.7707907782528</v>
      </c>
      <c r="J40" s="2442">
        <f>SUM('[13]1'!$C$98:$D$98)+0.02</f>
        <v>29328.364722922655</v>
      </c>
      <c r="K40" s="1543">
        <f>SUM('[13]1'!$E$98:$P$98)</f>
        <v>16682.057821675338</v>
      </c>
      <c r="L40" s="2427">
        <f>'[13]1'!$Q$98+0.05</f>
        <v>46010.452544597996</v>
      </c>
      <c r="M40" s="2463">
        <f>'[13]1'!$Q$100</f>
        <v>11602.198629027729</v>
      </c>
      <c r="N40" s="1860">
        <f t="shared" ref="N40" si="23">ROUND(J40,1)-ROUND(C40,1)-ROUND(D40,1)-ROUND(E40,1)-ROUND(F40,1)-ROUND(G40,1)-ROUND(H40,1)-ROUND(I40,1)</f>
        <v>3.865352482534945E-12</v>
      </c>
      <c r="O40" s="412">
        <f t="shared" ref="O40" si="24">ROUND(L40,1)-ROUND(J40,1)-ROUND(K40,1)</f>
        <v>0</v>
      </c>
    </row>
    <row r="41" spans="1:15" s="372" customFormat="1" ht="16.5" customHeight="1">
      <c r="A41" s="704"/>
      <c r="B41" s="705" t="s">
        <v>425</v>
      </c>
      <c r="C41" s="1540">
        <f>SUM('[14]1'!$C$68:$D$68)</f>
        <v>229.9947986622667</v>
      </c>
      <c r="D41" s="1882">
        <f>SUM('[14]1'!$C$69:$D$69)</f>
        <v>5220.2128229840864</v>
      </c>
      <c r="E41" s="2442">
        <f>SUM('[14]1'!$C$72:$D$72)+SUM('[14]1'!$C$95:$D$95)+0.01</f>
        <v>2453.3552958339865</v>
      </c>
      <c r="F41" s="1543">
        <f>SUM('[14]1'!$C$79:$D$83)+SUM('[14]1'!$C$89:$D$89)+SUM('[14]1'!$C$92:$D$92)</f>
        <v>12432.730006494046</v>
      </c>
      <c r="G41" s="1541">
        <f>SUM('[14]1'!$C$77:$D$78)</f>
        <v>1667.9993236514301</v>
      </c>
      <c r="H41" s="1541">
        <f>SUM('[14]1'!$C$86:$D$86)</f>
        <v>7108.8578399304879</v>
      </c>
      <c r="I41" s="1542">
        <f>SUM('[14]1'!$C$93:$D$93)+SUM('[14]1'!$C$96:$D$97)</f>
        <v>1388.8790506970279</v>
      </c>
      <c r="J41" s="2442">
        <f>SUM('[14]1'!$C$98:$D$98)+0.05</f>
        <v>30502.06913825333</v>
      </c>
      <c r="K41" s="1543">
        <f>SUM('[14]1'!$E$98:$P$98)</f>
        <v>16335.199098380101</v>
      </c>
      <c r="L41" s="2427">
        <f>'[14]1'!$Q$98+0.04</f>
        <v>46837.258236633432</v>
      </c>
      <c r="M41" s="2463">
        <f>'[14]1'!$Q$100</f>
        <v>8923.5552430720836</v>
      </c>
      <c r="N41" s="1860">
        <f t="shared" ref="N41" si="25">ROUND(J41,1)-ROUND(C41,1)-ROUND(D41,1)-ROUND(E41,1)-ROUND(F41,1)-ROUND(G41,1)-ROUND(H41,1)-ROUND(I41,1)</f>
        <v>-4.0927261579781771E-12</v>
      </c>
      <c r="O41" s="412">
        <f t="shared" ref="O41" si="26">ROUND(L41,1)-ROUND(J41,1)-ROUND(K41,1)</f>
        <v>0</v>
      </c>
    </row>
    <row r="42" spans="1:15" s="372" customFormat="1" ht="16.5" customHeight="1">
      <c r="A42" s="704"/>
      <c r="B42" s="705" t="s">
        <v>426</v>
      </c>
      <c r="C42" s="1540">
        <f>SUM('[15]1'!$C$68:$D$68)</f>
        <v>235.77267743399887</v>
      </c>
      <c r="D42" s="1882">
        <f>SUM('[15]1'!$C$69:$D$69)</f>
        <v>4710.6683815523156</v>
      </c>
      <c r="E42" s="1543">
        <f>SUM('[15]1'!$C$72:$D$72)+SUM('[15]1'!$C$95:$D$95)</f>
        <v>2739.4076246582326</v>
      </c>
      <c r="F42" s="2442">
        <f>SUM('[15]1'!$C$79:$D$83)+SUM('[15]1'!$C$89:$D$89)+SUM('[15]1'!$C$92:$D$92)-0.02</f>
        <v>12641.54818946557</v>
      </c>
      <c r="G42" s="1541">
        <f>SUM('[15]1'!$C$77:$D$78)</f>
        <v>1681.7380439632202</v>
      </c>
      <c r="H42" s="1541">
        <f>SUM('[15]1'!$C$86:$D$86)</f>
        <v>6994.7137478115219</v>
      </c>
      <c r="I42" s="1542">
        <f>SUM('[15]1'!$C$93:$D$93)+SUM('[15]1'!$C$96:$D$97)</f>
        <v>1215.6715786780546</v>
      </c>
      <c r="J42" s="1543">
        <f>SUM('[15]1'!$C$98:$D$98)</f>
        <v>30219.540243562915</v>
      </c>
      <c r="K42" s="1543">
        <f>SUM('[15]1'!$E$98:$P$98)</f>
        <v>16917.431469528528</v>
      </c>
      <c r="L42" s="2427">
        <f>'[15]1'!$Q$98-0.03</f>
        <v>47136.941713091444</v>
      </c>
      <c r="M42" s="2463">
        <f>'[15]1'!$Q$100</f>
        <v>9045.3700204372126</v>
      </c>
      <c r="N42" s="1860">
        <f t="shared" ref="N42" si="27">ROUND(J42,1)-ROUND(C42,1)-ROUND(D42,1)-ROUND(E42,1)-ROUND(F42,1)-ROUND(G42,1)-ROUND(H42,1)-ROUND(I42,1)</f>
        <v>-2.0463630789890885E-12</v>
      </c>
      <c r="O42" s="412">
        <f t="shared" ref="O42" si="28">ROUND(L42,1)-ROUND(J42,1)-ROUND(K42,1)</f>
        <v>0</v>
      </c>
    </row>
    <row r="43" spans="1:15" s="372" customFormat="1" ht="16.5" customHeight="1">
      <c r="A43" s="704"/>
      <c r="B43" s="705" t="s">
        <v>427</v>
      </c>
      <c r="C43" s="1540">
        <f>SUM('[16]1'!$C$68:$D$68)</f>
        <v>346.25538439750238</v>
      </c>
      <c r="D43" s="1882">
        <f>SUM('[16]1'!$C$69:$D$69)</f>
        <v>4539.5238678263795</v>
      </c>
      <c r="E43" s="1543">
        <f>SUM('[16]1'!$C$72:$D$72)+SUM('[16]1'!$C$95:$D$95)</f>
        <v>2617.01422431427</v>
      </c>
      <c r="F43" s="1543">
        <f>SUM('[16]1'!$C$79:$D$83)+SUM('[16]1'!$C$89:$D$89)+SUM('[16]1'!$C$92:$D$92)</f>
        <v>12623.932835515896</v>
      </c>
      <c r="G43" s="1541">
        <f>SUM('[16]1'!$C$77:$D$78)</f>
        <v>1691.4047424438299</v>
      </c>
      <c r="H43" s="1541">
        <f>SUM('[16]1'!$C$86:$D$86)</f>
        <v>6951.9142896201238</v>
      </c>
      <c r="I43" s="1542">
        <f>SUM('[16]1'!$C$93:$D$93)+SUM('[16]1'!$C$96:$D$97)</f>
        <v>1368.8586436421508</v>
      </c>
      <c r="J43" s="1543">
        <f>SUM('[16]1'!$C$98:$D$98)</f>
        <v>30138.903987760154</v>
      </c>
      <c r="K43" s="1543">
        <f>SUM('[16]1'!$E$98:$P$98)</f>
        <v>16907.956996278888</v>
      </c>
      <c r="L43" s="1544">
        <f>'[16]1'!$Q$98</f>
        <v>47046.860984039027</v>
      </c>
      <c r="M43" s="2463">
        <f>'[16]1'!$Q$100</f>
        <v>9516.9520362060248</v>
      </c>
      <c r="N43" s="1860">
        <f t="shared" ref="N43" si="29">ROUND(J43,1)-ROUND(C43,1)-ROUND(D43,1)-ROUND(E43,1)-ROUND(F43,1)-ROUND(G43,1)-ROUND(H43,1)-ROUND(I43,1)</f>
        <v>3.1832314562052488E-12</v>
      </c>
      <c r="O43" s="412">
        <f t="shared" ref="O43" si="30">ROUND(L43,1)-ROUND(J43,1)-ROUND(K43,1)</f>
        <v>0</v>
      </c>
    </row>
    <row r="44" spans="1:15" ht="20.25" customHeight="1">
      <c r="A44" s="225" t="s">
        <v>826</v>
      </c>
      <c r="B44" s="226"/>
      <c r="C44" s="1279"/>
      <c r="D44" s="226"/>
      <c r="E44" s="226"/>
      <c r="F44" s="226"/>
      <c r="G44" s="226"/>
      <c r="H44" s="226"/>
      <c r="I44" s="226"/>
      <c r="J44" s="226"/>
      <c r="K44" s="226"/>
      <c r="L44" s="226"/>
      <c r="M44" s="252" t="s">
        <v>827</v>
      </c>
    </row>
    <row r="45" spans="1:15" ht="12.75" customHeight="1">
      <c r="A45" s="6" t="s">
        <v>828</v>
      </c>
      <c r="B45" s="16"/>
      <c r="C45" s="16"/>
      <c r="D45" s="16"/>
      <c r="E45" s="16"/>
      <c r="F45" s="16"/>
      <c r="G45" s="151"/>
      <c r="I45"/>
      <c r="K45" s="16"/>
      <c r="L45" s="16"/>
      <c r="M45" s="253" t="s">
        <v>829</v>
      </c>
    </row>
    <row r="46" spans="1:15">
      <c r="B46" s="288"/>
      <c r="C46" s="1247"/>
      <c r="D46" s="1248"/>
      <c r="E46" s="1248"/>
      <c r="F46" s="1248"/>
      <c r="G46" s="1248"/>
      <c r="H46" s="1248"/>
      <c r="I46" s="1248"/>
      <c r="J46" s="1249"/>
      <c r="K46" s="1250"/>
      <c r="L46" s="1248"/>
      <c r="M46" s="1248"/>
    </row>
    <row r="47" spans="1:15">
      <c r="A47" s="476" t="s">
        <v>830</v>
      </c>
      <c r="B47" s="11"/>
      <c r="C47" s="12"/>
      <c r="D47" s="12"/>
      <c r="E47" s="12"/>
      <c r="F47" s="12"/>
      <c r="G47" s="12"/>
      <c r="H47" s="12"/>
      <c r="I47" s="12"/>
      <c r="J47" s="12"/>
      <c r="K47" s="12"/>
      <c r="L47" s="1"/>
      <c r="M47" s="1"/>
    </row>
    <row r="48" spans="1:15">
      <c r="A48" s="14"/>
      <c r="B48" s="21"/>
      <c r="L48" s="146"/>
      <c r="M48"/>
    </row>
    <row r="49" spans="1:13">
      <c r="A49" s="287"/>
    </row>
    <row r="50" spans="1:13">
      <c r="A50" s="150"/>
      <c r="C50" s="1248"/>
      <c r="D50" s="1248"/>
      <c r="E50" s="1248"/>
      <c r="F50" s="1248"/>
      <c r="G50" s="1248"/>
      <c r="H50" s="1248"/>
      <c r="I50" s="1248"/>
      <c r="J50" s="1248"/>
      <c r="K50" s="1248"/>
      <c r="L50" s="1248"/>
      <c r="M50" s="1248"/>
    </row>
    <row r="51" spans="1:13">
      <c r="C51" s="1248"/>
      <c r="D51" s="1248"/>
      <c r="E51" s="1248"/>
      <c r="F51" s="1248"/>
      <c r="G51" s="1248"/>
      <c r="H51" s="1248"/>
      <c r="I51" s="1248"/>
      <c r="J51" s="1248"/>
      <c r="K51" s="1248"/>
      <c r="L51" s="1248"/>
      <c r="M51" s="1248"/>
    </row>
  </sheetData>
  <mergeCells count="1">
    <mergeCell ref="D11:D12"/>
  </mergeCells>
  <phoneticPr fontId="0" type="noConversion"/>
  <printOptions horizontalCentered="1" verticalCentered="1"/>
  <pageMargins left="0" right="0" top="0" bottom="0" header="0.511811023622047" footer="0.511811023622047"/>
  <pageSetup paperSize="9" scale="76"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tabColor rgb="FFFF0000"/>
    <pageSetUpPr fitToPage="1"/>
  </sheetPr>
  <dimension ref="A1:N53"/>
  <sheetViews>
    <sheetView zoomScale="80" zoomScaleNormal="80" workbookViewId="0">
      <pane ySplit="12" topLeftCell="A39" activePane="bottomLeft" state="frozen"/>
      <selection activeCell="B44" sqref="B44"/>
      <selection pane="bottomLeft" activeCell="K44" sqref="K44"/>
    </sheetView>
  </sheetViews>
  <sheetFormatPr defaultColWidth="8.81640625" defaultRowHeight="12.5"/>
  <cols>
    <col min="1" max="2" width="9.26953125" customWidth="1"/>
    <col min="3" max="3" width="16.81640625" customWidth="1"/>
    <col min="4" max="4" width="14.7265625" customWidth="1"/>
    <col min="5" max="5" width="15.81640625" customWidth="1"/>
    <col min="6" max="6" width="17.7265625" customWidth="1"/>
    <col min="7" max="8" width="15.26953125" customWidth="1"/>
    <col min="9" max="11" width="15.81640625" customWidth="1"/>
    <col min="12" max="12" width="17.7265625" customWidth="1"/>
    <col min="13" max="13" width="9.7265625" style="146" customWidth="1"/>
    <col min="14" max="14" width="9.7265625" customWidth="1"/>
  </cols>
  <sheetData>
    <row r="1" spans="1:14" s="1111" customFormat="1" ht="18" customHeight="1">
      <c r="A1" s="1073" t="s">
        <v>831</v>
      </c>
      <c r="B1" s="1109"/>
      <c r="C1" s="1109"/>
      <c r="D1" s="1109"/>
      <c r="E1" s="1109"/>
      <c r="F1" s="1109"/>
      <c r="G1" s="1109"/>
      <c r="H1" s="1109"/>
      <c r="I1" s="1109"/>
      <c r="J1" s="1109"/>
      <c r="K1" s="1109"/>
      <c r="L1" s="1109"/>
      <c r="M1" s="1110"/>
    </row>
    <row r="2" spans="1:14" s="1111" customFormat="1" ht="18" customHeight="1">
      <c r="A2" s="1084" t="s">
        <v>804</v>
      </c>
      <c r="B2" s="1109"/>
      <c r="C2" s="1109"/>
      <c r="D2" s="1109"/>
      <c r="E2" s="1109"/>
      <c r="F2" s="1109"/>
      <c r="G2" s="1109"/>
      <c r="H2" s="1109"/>
      <c r="I2" s="1109"/>
      <c r="J2" s="1109"/>
      <c r="K2" s="1109"/>
      <c r="L2" s="1109"/>
      <c r="M2" s="1110"/>
    </row>
    <row r="3" spans="1:14" s="1111" customFormat="1" ht="18" customHeight="1">
      <c r="A3" s="1073" t="s">
        <v>805</v>
      </c>
      <c r="B3" s="1109"/>
      <c r="C3" s="1109"/>
      <c r="D3" s="1109"/>
      <c r="E3" s="1109"/>
      <c r="F3" s="1109"/>
      <c r="G3" s="1109"/>
      <c r="H3" s="1109"/>
      <c r="I3" s="1109"/>
      <c r="J3" s="1109"/>
      <c r="K3" s="1109"/>
      <c r="L3" s="1109"/>
      <c r="M3" s="1110"/>
    </row>
    <row r="4" spans="1:14" s="1111" customFormat="1" ht="18.649999999999999" customHeight="1">
      <c r="A4" s="1084" t="s">
        <v>382</v>
      </c>
      <c r="B4" s="1085"/>
      <c r="C4" s="1085"/>
      <c r="D4" s="1085"/>
      <c r="E4" s="1085"/>
      <c r="F4" s="1085"/>
      <c r="G4" s="1085"/>
      <c r="H4" s="1085"/>
      <c r="I4" s="1085"/>
      <c r="J4" s="1085"/>
      <c r="K4" s="1085"/>
      <c r="L4" s="1085"/>
      <c r="M4" s="1110"/>
    </row>
    <row r="5" spans="1:14" s="1111" customFormat="1" ht="18.649999999999999" customHeight="1">
      <c r="A5" s="1073" t="s">
        <v>381</v>
      </c>
      <c r="B5" s="1109"/>
      <c r="C5" s="1109"/>
      <c r="D5" s="1109"/>
      <c r="E5" s="1109"/>
      <c r="F5" s="1109"/>
      <c r="G5" s="1109"/>
      <c r="H5" s="1109"/>
      <c r="I5" s="1109"/>
      <c r="J5" s="1109"/>
      <c r="K5" s="1109"/>
      <c r="L5" s="1109"/>
      <c r="M5" s="1110"/>
    </row>
    <row r="6" spans="1:14" ht="0.65" customHeight="1">
      <c r="A6" s="17"/>
      <c r="B6" s="2"/>
      <c r="C6" s="2"/>
      <c r="D6" s="2" t="s">
        <v>806</v>
      </c>
      <c r="E6" s="2"/>
      <c r="F6" s="2"/>
      <c r="G6" s="2"/>
      <c r="H6" s="2"/>
      <c r="I6" s="2"/>
      <c r="J6" s="2"/>
      <c r="K6" s="2"/>
      <c r="L6" s="2" t="s">
        <v>806</v>
      </c>
    </row>
    <row r="7" spans="1:14" ht="12.75" customHeight="1">
      <c r="A7" s="9" t="s">
        <v>377</v>
      </c>
      <c r="B7" s="2"/>
      <c r="C7" s="3"/>
      <c r="D7" s="3"/>
      <c r="E7" s="3"/>
      <c r="F7" s="3"/>
      <c r="G7" s="3"/>
      <c r="H7" s="3"/>
      <c r="I7" s="3"/>
      <c r="J7" s="246"/>
      <c r="K7" s="22"/>
      <c r="L7" s="38" t="s">
        <v>378</v>
      </c>
    </row>
    <row r="8" spans="1:14" s="43" customFormat="1" ht="18.649999999999999" customHeight="1">
      <c r="A8" s="46"/>
      <c r="B8" s="47"/>
      <c r="C8" s="367" t="s">
        <v>832</v>
      </c>
      <c r="D8" s="42"/>
      <c r="E8" s="125"/>
      <c r="F8" s="125"/>
      <c r="G8" s="124"/>
      <c r="H8" s="125"/>
      <c r="I8" s="366" t="s">
        <v>833</v>
      </c>
      <c r="J8"/>
      <c r="K8" s="264"/>
      <c r="L8" s="75" t="s">
        <v>834</v>
      </c>
      <c r="M8" s="147"/>
    </row>
    <row r="9" spans="1:14" s="43" customFormat="1" ht="1.5" customHeight="1">
      <c r="A9" s="44"/>
      <c r="C9" s="189"/>
      <c r="D9" s="102"/>
      <c r="E9" s="189"/>
      <c r="G9" s="103"/>
      <c r="H9" s="190"/>
      <c r="I9" s="103"/>
      <c r="J9" s="219"/>
      <c r="K9" s="247"/>
      <c r="L9" s="248"/>
      <c r="M9" s="147"/>
    </row>
    <row r="10" spans="1:14" s="41" customFormat="1" ht="17.5" customHeight="1">
      <c r="A10" s="26" t="s">
        <v>387</v>
      </c>
      <c r="B10" s="76"/>
      <c r="C10" s="97" t="s">
        <v>504</v>
      </c>
      <c r="D10" s="81"/>
      <c r="E10" s="81" t="s">
        <v>510</v>
      </c>
      <c r="F10"/>
      <c r="G10" s="78"/>
      <c r="H10" s="80" t="s">
        <v>394</v>
      </c>
      <c r="I10" s="191"/>
      <c r="J10" s="107" t="s">
        <v>382</v>
      </c>
      <c r="K10" s="188" t="s">
        <v>835</v>
      </c>
      <c r="L10" s="75" t="s">
        <v>808</v>
      </c>
      <c r="M10" s="148"/>
    </row>
    <row r="11" spans="1:14" s="41" customFormat="1" ht="18" customHeight="1">
      <c r="A11" s="120" t="s">
        <v>395</v>
      </c>
      <c r="B11" s="62"/>
      <c r="C11" s="97" t="s">
        <v>508</v>
      </c>
      <c r="D11" s="81" t="s">
        <v>441</v>
      </c>
      <c r="E11" s="311" t="s">
        <v>836</v>
      </c>
      <c r="F11" s="80" t="s">
        <v>398</v>
      </c>
      <c r="G11" s="97" t="s">
        <v>788</v>
      </c>
      <c r="H11" s="97" t="s">
        <v>837</v>
      </c>
      <c r="I11" s="193" t="s">
        <v>390</v>
      </c>
      <c r="J11" s="192" t="s">
        <v>383</v>
      </c>
      <c r="K11" s="188" t="s">
        <v>382</v>
      </c>
      <c r="L11" s="53" t="s">
        <v>811</v>
      </c>
      <c r="M11" s="148"/>
    </row>
    <row r="12" spans="1:14" s="41" customFormat="1" ht="31.75" customHeight="1">
      <c r="A12" s="34"/>
      <c r="B12" s="68"/>
      <c r="C12" s="70" t="s">
        <v>374</v>
      </c>
      <c r="D12" s="215" t="s">
        <v>413</v>
      </c>
      <c r="E12" s="353" t="s">
        <v>838</v>
      </c>
      <c r="F12" s="243" t="s">
        <v>839</v>
      </c>
      <c r="G12" s="244" t="s">
        <v>407</v>
      </c>
      <c r="H12" s="245" t="s">
        <v>840</v>
      </c>
      <c r="I12" s="122" t="s">
        <v>400</v>
      </c>
      <c r="J12" s="70" t="s">
        <v>841</v>
      </c>
      <c r="K12" s="194" t="s">
        <v>842</v>
      </c>
      <c r="L12" s="195" t="s">
        <v>843</v>
      </c>
      <c r="M12" s="148" t="s">
        <v>824</v>
      </c>
      <c r="N12" s="41" t="s">
        <v>844</v>
      </c>
    </row>
    <row r="13" spans="1:14" s="274" customFormat="1" ht="20.25" customHeight="1">
      <c r="A13" s="263">
        <v>2016</v>
      </c>
      <c r="B13" s="273"/>
      <c r="C13" s="434">
        <v>244.19141922499998</v>
      </c>
      <c r="D13" s="397">
        <v>1379.965264227757</v>
      </c>
      <c r="E13" s="284">
        <v>9684.1768024505582</v>
      </c>
      <c r="F13" s="1222">
        <v>2122.3400329330002</v>
      </c>
      <c r="G13" s="435">
        <v>508.03213834688023</v>
      </c>
      <c r="H13" s="410">
        <v>2821.9793468185771</v>
      </c>
      <c r="I13" s="436">
        <v>16760.705004001771</v>
      </c>
      <c r="J13" s="284">
        <v>14452.803721047296</v>
      </c>
      <c r="K13" s="437">
        <v>31213.508725049072</v>
      </c>
      <c r="L13" s="1220">
        <v>4032.8557085119255</v>
      </c>
      <c r="M13" s="438">
        <f t="shared" ref="M13:M17" si="0">ROUND(I13,1)-ROUND(C13,1)-ROUND(D13,1)-ROUND(E13,1)-ROUND(F13,1)-ROUND(G13,1)-ROUND(H13,1)</f>
        <v>0</v>
      </c>
      <c r="N13" s="2155">
        <f t="shared" ref="N13:N17" si="1">ROUND(K13,1)-ROUND(I13,1)-ROUND(J13,1)</f>
        <v>0</v>
      </c>
    </row>
    <row r="14" spans="1:14" s="276" customFormat="1" ht="14.9" customHeight="1">
      <c r="A14" s="265">
        <v>2017</v>
      </c>
      <c r="B14" s="275"/>
      <c r="C14" s="439">
        <v>149.29214221300001</v>
      </c>
      <c r="D14" s="440">
        <v>1109.7975951103731</v>
      </c>
      <c r="E14" s="441">
        <v>10118.4618776599</v>
      </c>
      <c r="F14" s="1223">
        <v>2220.4920646659998</v>
      </c>
      <c r="G14" s="442">
        <v>565.70256908627994</v>
      </c>
      <c r="H14" s="443">
        <v>2939.7397306716152</v>
      </c>
      <c r="I14" s="444">
        <v>17103.486713407165</v>
      </c>
      <c r="J14" s="441">
        <v>14285.454760065642</v>
      </c>
      <c r="K14" s="445">
        <v>31388.961473472802</v>
      </c>
      <c r="L14" s="1221">
        <v>5369.0489066365972</v>
      </c>
      <c r="M14" s="438">
        <f t="shared" si="0"/>
        <v>0</v>
      </c>
      <c r="N14" s="2155">
        <f t="shared" si="1"/>
        <v>0</v>
      </c>
    </row>
    <row r="15" spans="1:14" s="889" customFormat="1" ht="14.25" customHeight="1">
      <c r="A15" s="884">
        <v>2018</v>
      </c>
      <c r="B15" s="885"/>
      <c r="C15" s="1295">
        <v>51.853601465000096</v>
      </c>
      <c r="D15" s="876">
        <v>1462.1701916448399</v>
      </c>
      <c r="E15" s="879">
        <v>10346.975676318638</v>
      </c>
      <c r="F15" s="1296">
        <v>2204.7496815409345</v>
      </c>
      <c r="G15" s="1297">
        <v>707.40440267365625</v>
      </c>
      <c r="H15" s="914">
        <v>3059.1801379685185</v>
      </c>
      <c r="I15" s="1298">
        <v>17832.364570611586</v>
      </c>
      <c r="J15" s="879">
        <v>14736.649777062137</v>
      </c>
      <c r="K15" s="1299">
        <v>32568.984347673726</v>
      </c>
      <c r="L15" s="1300">
        <v>6022.3416935919404</v>
      </c>
      <c r="M15" s="438">
        <f t="shared" si="0"/>
        <v>0</v>
      </c>
      <c r="N15" s="2155">
        <f t="shared" si="1"/>
        <v>0</v>
      </c>
    </row>
    <row r="16" spans="1:14" s="889" customFormat="1" ht="14.25" customHeight="1">
      <c r="A16" s="884">
        <v>2019</v>
      </c>
      <c r="B16" s="885"/>
      <c r="C16" s="1295">
        <v>182.071201108</v>
      </c>
      <c r="D16" s="876">
        <v>1197.8814652559513</v>
      </c>
      <c r="E16" s="879">
        <v>11551.438842662628</v>
      </c>
      <c r="F16" s="1296">
        <v>2126.8431378315859</v>
      </c>
      <c r="G16" s="1297">
        <v>692.59966619936165</v>
      </c>
      <c r="H16" s="914">
        <v>3216.7822479616516</v>
      </c>
      <c r="I16" s="1298">
        <v>18967.637575019176</v>
      </c>
      <c r="J16" s="879">
        <v>16402.184863421702</v>
      </c>
      <c r="K16" s="1299">
        <v>35369.842438440879</v>
      </c>
      <c r="L16" s="1300">
        <v>6812.3444822128668</v>
      </c>
      <c r="M16" s="438">
        <f t="shared" si="0"/>
        <v>0</v>
      </c>
      <c r="N16" s="2155">
        <f t="shared" si="1"/>
        <v>0</v>
      </c>
    </row>
    <row r="17" spans="1:14" s="889" customFormat="1" ht="14.25" customHeight="1">
      <c r="A17" s="884">
        <v>2020</v>
      </c>
      <c r="B17" s="885"/>
      <c r="C17" s="1295">
        <v>134.175574187</v>
      </c>
      <c r="D17" s="876">
        <v>1135.211416258172</v>
      </c>
      <c r="E17" s="879">
        <v>12275.333957990801</v>
      </c>
      <c r="F17" s="1296">
        <v>1829.3342207516425</v>
      </c>
      <c r="G17" s="1297">
        <v>1021.5094401898797</v>
      </c>
      <c r="H17" s="914">
        <v>3215.0755486111993</v>
      </c>
      <c r="I17" s="1298">
        <v>19610.638157988695</v>
      </c>
      <c r="J17" s="879">
        <v>15836.696357492354</v>
      </c>
      <c r="K17" s="1299">
        <v>35447.334515481045</v>
      </c>
      <c r="L17" s="1300">
        <v>7090.0697655426193</v>
      </c>
      <c r="M17" s="438">
        <f t="shared" si="0"/>
        <v>0</v>
      </c>
      <c r="N17" s="2155">
        <f t="shared" si="1"/>
        <v>0</v>
      </c>
    </row>
    <row r="18" spans="1:14" s="889" customFormat="1" ht="14.25" customHeight="1">
      <c r="A18" s="884">
        <v>2021</v>
      </c>
      <c r="B18" s="885"/>
      <c r="C18" s="1295">
        <v>129.40531700859</v>
      </c>
      <c r="D18" s="876">
        <v>1542.6027911171959</v>
      </c>
      <c r="E18" s="879">
        <v>12938.064113027462</v>
      </c>
      <c r="F18" s="1296">
        <v>1704.4448306054587</v>
      </c>
      <c r="G18" s="1297">
        <v>738.12659085207338</v>
      </c>
      <c r="H18" s="914">
        <v>3579.6198281146708</v>
      </c>
      <c r="I18" s="1298">
        <v>20632.222205315451</v>
      </c>
      <c r="J18" s="879">
        <v>16741.780054273448</v>
      </c>
      <c r="K18" s="1299">
        <v>37374.002259588902</v>
      </c>
      <c r="L18" s="1300">
        <v>7487.6836866876311</v>
      </c>
      <c r="M18" s="438">
        <v>0</v>
      </c>
      <c r="N18" s="2155">
        <v>0</v>
      </c>
    </row>
    <row r="19" spans="1:14" s="483" customFormat="1" ht="14.25" customHeight="1">
      <c r="A19" s="1782">
        <v>2022</v>
      </c>
      <c r="B19" s="1783"/>
      <c r="C19" s="2386">
        <v>89.310544895000007</v>
      </c>
      <c r="D19" s="1970">
        <v>1758.4412589326703</v>
      </c>
      <c r="E19" s="1414">
        <v>13512.008702625642</v>
      </c>
      <c r="F19" s="2387">
        <v>1652.706004200224</v>
      </c>
      <c r="G19" s="2388">
        <v>835.72642044588952</v>
      </c>
      <c r="H19" s="2389">
        <v>3434.7555623694452</v>
      </c>
      <c r="I19" s="2390">
        <v>21282.948493468873</v>
      </c>
      <c r="J19" s="1414">
        <v>16964.477748442736</v>
      </c>
      <c r="K19" s="2391">
        <v>38247.426241911613</v>
      </c>
      <c r="L19" s="2392">
        <v>9235.3750090615467</v>
      </c>
      <c r="M19" s="438">
        <v>0</v>
      </c>
      <c r="N19" s="2155">
        <v>0</v>
      </c>
    </row>
    <row r="20" spans="1:14" s="483" customFormat="1" ht="14.25" customHeight="1">
      <c r="A20" s="1782">
        <v>2023</v>
      </c>
      <c r="B20" s="1783"/>
      <c r="C20" s="2386">
        <v>138.14404708399999</v>
      </c>
      <c r="D20" s="1970">
        <v>1903.4678650070223</v>
      </c>
      <c r="E20" s="1414">
        <v>14192.476435533848</v>
      </c>
      <c r="F20" s="2387">
        <v>1752.2838369488788</v>
      </c>
      <c r="G20" s="2388">
        <v>1071.9268797930233</v>
      </c>
      <c r="H20" s="2389">
        <v>3492.5553861172175</v>
      </c>
      <c r="I20" s="2390">
        <v>22550.854450483985</v>
      </c>
      <c r="J20" s="1414">
        <v>17709.761864411757</v>
      </c>
      <c r="K20" s="2391">
        <v>40260.67631489574</v>
      </c>
      <c r="L20" s="2392">
        <v>8098.2481488338981</v>
      </c>
      <c r="M20" s="438">
        <v>0</v>
      </c>
      <c r="N20" s="2155">
        <v>0</v>
      </c>
    </row>
    <row r="21" spans="1:14" s="483" customFormat="1" ht="14.25" customHeight="1">
      <c r="A21" s="1782">
        <v>2024</v>
      </c>
      <c r="B21" s="1783"/>
      <c r="C21" s="2386">
        <v>98.888157705999987</v>
      </c>
      <c r="D21" s="1970">
        <v>1702.5926545585321</v>
      </c>
      <c r="E21" s="1414">
        <v>14249.887719419561</v>
      </c>
      <c r="F21" s="2387">
        <v>1913.6801198752273</v>
      </c>
      <c r="G21" s="2388">
        <v>869.67753145086726</v>
      </c>
      <c r="H21" s="2389">
        <v>3804.5401068321003</v>
      </c>
      <c r="I21" s="2390">
        <v>22639.286289842286</v>
      </c>
      <c r="J21" s="1414">
        <v>19070.236476899641</v>
      </c>
      <c r="K21" s="2391">
        <v>41709.512766741929</v>
      </c>
      <c r="L21" s="2392">
        <v>7334.6113541364784</v>
      </c>
      <c r="M21" s="438">
        <v>0</v>
      </c>
      <c r="N21" s="2155">
        <v>0</v>
      </c>
    </row>
    <row r="22" spans="1:14" s="483" customFormat="1" ht="14.25" customHeight="1">
      <c r="A22" s="2058">
        <v>2025</v>
      </c>
      <c r="B22" s="2200"/>
      <c r="C22" s="2256">
        <f t="shared" ref="C22:L22" si="2">C29</f>
        <v>31.497141595000002</v>
      </c>
      <c r="D22" s="2173">
        <f t="shared" si="2"/>
        <v>1840.12674957935</v>
      </c>
      <c r="E22" s="2230">
        <f t="shared" si="2"/>
        <v>14687.115407804087</v>
      </c>
      <c r="F22" s="2257">
        <f t="shared" si="2"/>
        <v>1753.39589493774</v>
      </c>
      <c r="G22" s="2258">
        <f t="shared" si="2"/>
        <v>872.39925045061511</v>
      </c>
      <c r="H22" s="2259">
        <f t="shared" si="2"/>
        <v>4133.1520550966634</v>
      </c>
      <c r="I22" s="2260">
        <f t="shared" si="2"/>
        <v>23317.68649946346</v>
      </c>
      <c r="J22" s="2230">
        <f t="shared" si="2"/>
        <v>21683.439706634254</v>
      </c>
      <c r="K22" s="2261">
        <f t="shared" si="2"/>
        <v>45001.146206097721</v>
      </c>
      <c r="L22" s="2262">
        <f t="shared" si="2"/>
        <v>8732.688622378837</v>
      </c>
      <c r="M22" s="438">
        <f t="shared" ref="M22" si="3">ROUND(I22,1)-ROUND(C22,1)-ROUND(D22,1)-ROUND(E22,1)-ROUND(F22,1)-ROUND(G22,1)-ROUND(H22,1)</f>
        <v>0</v>
      </c>
      <c r="N22" s="2155">
        <f t="shared" ref="N22" si="4">ROUND(K22,1)-ROUND(I22,1)-ROUND(J22,1)</f>
        <v>0</v>
      </c>
    </row>
    <row r="23" spans="1:14" s="889" customFormat="1" ht="21" customHeight="1">
      <c r="A23" s="884">
        <v>2024</v>
      </c>
      <c r="B23" s="885" t="s">
        <v>243</v>
      </c>
      <c r="C23" s="1295">
        <v>90.252287471000002</v>
      </c>
      <c r="D23" s="876">
        <v>1777.1609270093923</v>
      </c>
      <c r="E23" s="879">
        <v>14187.217077307099</v>
      </c>
      <c r="F23" s="1296">
        <v>1793.930461523647</v>
      </c>
      <c r="G23" s="1297">
        <v>926.19115875134821</v>
      </c>
      <c r="H23" s="914">
        <v>3561.4267128245556</v>
      </c>
      <c r="I23" s="1298">
        <v>22336.178624887041</v>
      </c>
      <c r="J23" s="879">
        <v>18861.69132800266</v>
      </c>
      <c r="K23" s="1299">
        <v>41197.869952889705</v>
      </c>
      <c r="L23" s="1300">
        <v>7952.2399909801152</v>
      </c>
      <c r="M23" s="2435">
        <v>0</v>
      </c>
      <c r="N23" s="2155">
        <v>0</v>
      </c>
    </row>
    <row r="24" spans="1:14" s="889" customFormat="1" ht="15" customHeight="1">
      <c r="A24" s="884"/>
      <c r="B24" s="885" t="s">
        <v>240</v>
      </c>
      <c r="C24" s="1295">
        <v>72.141514293</v>
      </c>
      <c r="D24" s="876">
        <v>1787.0665777861395</v>
      </c>
      <c r="E24" s="879">
        <v>14625.196080574435</v>
      </c>
      <c r="F24" s="1296">
        <v>1954.2955666774083</v>
      </c>
      <c r="G24" s="1297">
        <v>1017.177223606166</v>
      </c>
      <c r="H24" s="914">
        <v>3710.2120116812121</v>
      </c>
      <c r="I24" s="1298">
        <v>23166.088974618364</v>
      </c>
      <c r="J24" s="879">
        <v>18365.857669689172</v>
      </c>
      <c r="K24" s="1299">
        <v>41531.956644307531</v>
      </c>
      <c r="L24" s="1300">
        <v>8266.249593786757</v>
      </c>
      <c r="M24" s="2435">
        <v>0</v>
      </c>
      <c r="N24" s="2155">
        <v>0</v>
      </c>
    </row>
    <row r="25" spans="1:14" s="889" customFormat="1" ht="15" customHeight="1">
      <c r="A25" s="884"/>
      <c r="B25" s="885" t="s">
        <v>241</v>
      </c>
      <c r="C25" s="1295">
        <v>98.888157705999987</v>
      </c>
      <c r="D25" s="876">
        <v>1702.5926545585321</v>
      </c>
      <c r="E25" s="879">
        <v>14249.887719419561</v>
      </c>
      <c r="F25" s="1296">
        <v>1913.6801198752273</v>
      </c>
      <c r="G25" s="1297">
        <v>869.67753145086726</v>
      </c>
      <c r="H25" s="914">
        <v>3804.5401068321003</v>
      </c>
      <c r="I25" s="1298">
        <v>22639.286289842286</v>
      </c>
      <c r="J25" s="879">
        <v>19070.236476899641</v>
      </c>
      <c r="K25" s="1299">
        <v>41709.512766741929</v>
      </c>
      <c r="L25" s="1300">
        <v>7334.6113541364784</v>
      </c>
      <c r="M25" s="2435">
        <v>0</v>
      </c>
      <c r="N25" s="2155">
        <v>0</v>
      </c>
    </row>
    <row r="26" spans="1:14" s="889" customFormat="1" ht="21" customHeight="1">
      <c r="A26" s="884">
        <v>2025</v>
      </c>
      <c r="B26" s="885" t="s">
        <v>242</v>
      </c>
      <c r="C26" s="1295">
        <v>44.439944253</v>
      </c>
      <c r="D26" s="876">
        <v>1927.7644449165841</v>
      </c>
      <c r="E26" s="879">
        <v>14319.838762491878</v>
      </c>
      <c r="F26" s="1296">
        <v>1962.1184425765305</v>
      </c>
      <c r="G26" s="1297">
        <v>1214.1963875844197</v>
      </c>
      <c r="H26" s="914">
        <v>3784.9384567387297</v>
      </c>
      <c r="I26" s="1298">
        <v>23253.196438561146</v>
      </c>
      <c r="J26" s="879">
        <v>19189.879467911684</v>
      </c>
      <c r="K26" s="1299">
        <v>42443.125906472822</v>
      </c>
      <c r="L26" s="1300">
        <v>9589.3393788394533</v>
      </c>
      <c r="M26" s="2435">
        <v>0</v>
      </c>
      <c r="N26" s="2155">
        <v>0</v>
      </c>
    </row>
    <row r="27" spans="1:14" s="889" customFormat="1" ht="15" customHeight="1">
      <c r="A27" s="884"/>
      <c r="B27" s="885" t="s">
        <v>243</v>
      </c>
      <c r="C27" s="1295">
        <v>50.053778004999998</v>
      </c>
      <c r="D27" s="876">
        <v>2006.1891384929681</v>
      </c>
      <c r="E27" s="879">
        <v>14293.316918318213</v>
      </c>
      <c r="F27" s="1296">
        <v>1913.7970924083991</v>
      </c>
      <c r="G27" s="1297">
        <v>892.58117101572009</v>
      </c>
      <c r="H27" s="914">
        <v>3876.0315069659082</v>
      </c>
      <c r="I27" s="1298">
        <v>23031.969605206206</v>
      </c>
      <c r="J27" s="879">
        <v>20521.005799603656</v>
      </c>
      <c r="K27" s="1299">
        <v>43552.975404809869</v>
      </c>
      <c r="L27" s="1300">
        <v>8786.3639462993451</v>
      </c>
      <c r="M27" s="2435">
        <v>0</v>
      </c>
      <c r="N27" s="2155">
        <v>0</v>
      </c>
    </row>
    <row r="28" spans="1:14" s="889" customFormat="1" ht="15" customHeight="1">
      <c r="A28" s="884"/>
      <c r="B28" s="885" t="s">
        <v>240</v>
      </c>
      <c r="C28" s="1295">
        <f t="shared" ref="C28:L28" si="5">C35</f>
        <v>24.578514128999998</v>
      </c>
      <c r="D28" s="876">
        <f t="shared" si="5"/>
        <v>1869.5094127031794</v>
      </c>
      <c r="E28" s="879">
        <f t="shared" si="5"/>
        <v>14261.635423088221</v>
      </c>
      <c r="F28" s="1296">
        <f t="shared" si="5"/>
        <v>1942.9270921878237</v>
      </c>
      <c r="G28" s="1297">
        <f t="shared" si="5"/>
        <v>865.97338026685122</v>
      </c>
      <c r="H28" s="914">
        <f t="shared" si="5"/>
        <v>4020.8759990375065</v>
      </c>
      <c r="I28" s="1298">
        <f t="shared" si="5"/>
        <v>22985.519821412578</v>
      </c>
      <c r="J28" s="879">
        <f t="shared" si="5"/>
        <v>21075.22897491201</v>
      </c>
      <c r="K28" s="1299">
        <f t="shared" si="5"/>
        <v>44060.748796324588</v>
      </c>
      <c r="L28" s="1300">
        <f t="shared" si="5"/>
        <v>8458.4059642204211</v>
      </c>
      <c r="M28" s="2435">
        <f t="shared" ref="M28" si="6">ROUND(I28,1)-ROUND(C28,1)-ROUND(D28,1)-ROUND(E28,1)-ROUND(F28,1)-ROUND(G28,1)-ROUND(H28,1)</f>
        <v>0</v>
      </c>
      <c r="N28" s="2155">
        <f t="shared" ref="N28" si="7">ROUND(K28,1)-ROUND(I28,1)-ROUND(J28,1)</f>
        <v>0</v>
      </c>
    </row>
    <row r="29" spans="1:14" s="889" customFormat="1" ht="15" customHeight="1">
      <c r="A29" s="884"/>
      <c r="B29" s="885" t="s">
        <v>241</v>
      </c>
      <c r="C29" s="1295">
        <f t="shared" ref="C29:L29" si="8">C38</f>
        <v>31.497141595000002</v>
      </c>
      <c r="D29" s="876">
        <f t="shared" si="8"/>
        <v>1840.12674957935</v>
      </c>
      <c r="E29" s="879">
        <f t="shared" si="8"/>
        <v>14687.115407804087</v>
      </c>
      <c r="F29" s="1296">
        <f t="shared" si="8"/>
        <v>1753.39589493774</v>
      </c>
      <c r="G29" s="1297">
        <f t="shared" si="8"/>
        <v>872.39925045061511</v>
      </c>
      <c r="H29" s="914">
        <f t="shared" si="8"/>
        <v>4133.1520550966634</v>
      </c>
      <c r="I29" s="1298">
        <f t="shared" si="8"/>
        <v>23317.68649946346</v>
      </c>
      <c r="J29" s="879">
        <f t="shared" si="8"/>
        <v>21683.439706634254</v>
      </c>
      <c r="K29" s="1299">
        <f t="shared" si="8"/>
        <v>45001.146206097721</v>
      </c>
      <c r="L29" s="1300">
        <f t="shared" si="8"/>
        <v>8732.688622378837</v>
      </c>
      <c r="M29" s="2435">
        <f t="shared" ref="M29" si="9">ROUND(I29,1)-ROUND(C29,1)-ROUND(D29,1)-ROUND(E29,1)-ROUND(F29,1)-ROUND(G29,1)-ROUND(H29,1)</f>
        <v>0</v>
      </c>
      <c r="N29" s="2155">
        <f t="shared" ref="N29" si="10">ROUND(K29,1)-ROUND(I29,1)-ROUND(J29,1)</f>
        <v>0</v>
      </c>
    </row>
    <row r="30" spans="1:14" s="889" customFormat="1" ht="21" customHeight="1">
      <c r="A30" s="1681">
        <v>2026</v>
      </c>
      <c r="B30" s="1687" t="s">
        <v>242</v>
      </c>
      <c r="C30" s="1723">
        <f t="shared" ref="C30:L30" si="11">C41</f>
        <v>47.662931798999999</v>
      </c>
      <c r="D30" s="1684">
        <f t="shared" si="11"/>
        <v>1845.4681021244407</v>
      </c>
      <c r="E30" s="1717">
        <f t="shared" si="11"/>
        <v>15230.148523914964</v>
      </c>
      <c r="F30" s="1724">
        <f t="shared" si="11"/>
        <v>1939.1082820153119</v>
      </c>
      <c r="G30" s="1725">
        <f t="shared" si="11"/>
        <v>1029.090048656411</v>
      </c>
      <c r="H30" s="1688">
        <f t="shared" si="11"/>
        <v>3905.7140499827656</v>
      </c>
      <c r="I30" s="1726">
        <f t="shared" si="11"/>
        <v>23997.191938492899</v>
      </c>
      <c r="J30" s="1717">
        <f t="shared" si="11"/>
        <v>22840.137720907245</v>
      </c>
      <c r="K30" s="1727">
        <f t="shared" si="11"/>
        <v>46837.329659400144</v>
      </c>
      <c r="L30" s="1728">
        <f t="shared" si="11"/>
        <v>8923.175604346523</v>
      </c>
      <c r="M30" s="2435">
        <f t="shared" ref="M30" si="12">ROUND(I30,1)-ROUND(C30,1)-ROUND(D30,1)-ROUND(E30,1)-ROUND(F30,1)-ROUND(G30,1)-ROUND(H30,1)</f>
        <v>0</v>
      </c>
      <c r="N30" s="2155">
        <f t="shared" ref="N30" si="13">ROUND(K30,1)-ROUND(I30,1)-ROUND(J30,1)</f>
        <v>0</v>
      </c>
    </row>
    <row r="31" spans="1:14" s="372" customFormat="1" ht="21" customHeight="1">
      <c r="A31" s="704">
        <v>2025</v>
      </c>
      <c r="B31" s="801" t="s">
        <v>427</v>
      </c>
      <c r="C31" s="1510">
        <v>29.390125679999997</v>
      </c>
      <c r="D31" s="1861">
        <v>1966.5674939713786</v>
      </c>
      <c r="E31" s="1541">
        <v>14324.238201680328</v>
      </c>
      <c r="F31" s="1862">
        <v>2037.2212654817295</v>
      </c>
      <c r="G31" s="1863">
        <v>829.09337528665083</v>
      </c>
      <c r="H31" s="1864">
        <v>3842.4156092928256</v>
      </c>
      <c r="I31" s="1865">
        <v>23028.926071392911</v>
      </c>
      <c r="J31" s="1865">
        <v>20425.892499162794</v>
      </c>
      <c r="K31" s="1866">
        <v>43454.818570555704</v>
      </c>
      <c r="L31" s="1867">
        <v>8501.6286838079996</v>
      </c>
      <c r="M31" s="438">
        <v>0</v>
      </c>
      <c r="N31" s="2155">
        <v>0</v>
      </c>
    </row>
    <row r="32" spans="1:14" s="372" customFormat="1" ht="17.25" customHeight="1">
      <c r="A32" s="704"/>
      <c r="B32" s="801" t="s">
        <v>428</v>
      </c>
      <c r="C32" s="1510">
        <f>SUM('[5]1'!$C$14:$D$14)</f>
        <v>50.053778004999998</v>
      </c>
      <c r="D32" s="1861">
        <f>SUM('[5]1'!$C$18:$D$18)+SUM('[5]1'!$C$30:$D$30)+SUM('[5]1'!$C$33:$D$33)</f>
        <v>2006.1891384929681</v>
      </c>
      <c r="E32" s="1541">
        <f>SUM('[5]1'!$C$25:$D$29)</f>
        <v>14293.316918318213</v>
      </c>
      <c r="F32" s="1862">
        <f>SUM('[5]1'!$C$23:$D$24)</f>
        <v>1913.7970924083991</v>
      </c>
      <c r="G32" s="1863">
        <f>SUM('[5]1'!$C$31:$D$31)+SUM('[5]1'!$C$37:$D$37)</f>
        <v>892.58117101572009</v>
      </c>
      <c r="H32" s="1864">
        <f>SUM('[5]1'!$C$34:$D$34)+SUM('[5]1'!$C$36:$D$36)</f>
        <v>3876.0315069659082</v>
      </c>
      <c r="I32" s="1865">
        <f>SUM('[5]1'!$C$38:$D$38)</f>
        <v>23031.969605206206</v>
      </c>
      <c r="J32" s="1865">
        <f>SUM('[5]1'!$E$38:$P$38)</f>
        <v>20521.005799603656</v>
      </c>
      <c r="K32" s="1866">
        <f>'[5]1'!$Q$38</f>
        <v>43552.975404809869</v>
      </c>
      <c r="L32" s="1867">
        <f>'[5]1'!$Q$40</f>
        <v>8786.3639462993451</v>
      </c>
      <c r="M32" s="438">
        <f t="shared" ref="M32" si="14">ROUND(I32,1)-ROUND(C32,1)-ROUND(D32,1)-ROUND(E32,1)-ROUND(F32,1)-ROUND(G32,1)-ROUND(H32,1)</f>
        <v>0</v>
      </c>
      <c r="N32" s="2155">
        <f t="shared" ref="N32" si="15">ROUND(K32,1)-ROUND(I32,1)-ROUND(J32,1)</f>
        <v>0</v>
      </c>
    </row>
    <row r="33" spans="1:14" s="372" customFormat="1" ht="17.25" customHeight="1">
      <c r="A33" s="704"/>
      <c r="B33" s="801" t="s">
        <v>429</v>
      </c>
      <c r="C33" s="1510">
        <f>SUM('[6]1'!$C$14:$D$14)</f>
        <v>24.840464957000002</v>
      </c>
      <c r="D33" s="1861">
        <f>SUM('[6]1'!$C$18:$D$18)+SUM('[6]1'!$C$30:$D$30)+SUM('[6]1'!$C$33:$D$33)</f>
        <v>2014.3045779029353</v>
      </c>
      <c r="E33" s="1541">
        <f>SUM('[6]1'!$C$25:$D$29)</f>
        <v>14045.990020125673</v>
      </c>
      <c r="F33" s="1862">
        <f>SUM('[6]1'!$C$23:$D$24)</f>
        <v>2083.4008636013136</v>
      </c>
      <c r="G33" s="1863">
        <f>SUM('[6]1'!$C$31:$D$31)+SUM('[6]1'!$C$37:$D$37)</f>
        <v>860.18185233325721</v>
      </c>
      <c r="H33" s="1864">
        <f>SUM('[6]1'!$C$34:$D$34)+SUM('[6]1'!$C$36:$D$36)</f>
        <v>3928.9647397344334</v>
      </c>
      <c r="I33" s="1865">
        <f>SUM('[6]1'!$C$38:$D$38)</f>
        <v>22957.682518654612</v>
      </c>
      <c r="J33" s="1876">
        <f>SUM('[6]1'!$E$38:$P$38)-0.01</f>
        <v>20841.943666804782</v>
      </c>
      <c r="K33" s="1866">
        <f>'[6]1'!$Q$38</f>
        <v>43799.6361854594</v>
      </c>
      <c r="L33" s="1867">
        <f>'[6]1'!$Q$40</f>
        <v>8028.1163575250321</v>
      </c>
      <c r="M33" s="438">
        <f t="shared" ref="M33" si="16">ROUND(I33,1)-ROUND(C33,1)-ROUND(D33,1)-ROUND(E33,1)-ROUND(F33,1)-ROUND(G33,1)-ROUND(H33,1)</f>
        <v>0</v>
      </c>
      <c r="N33" s="2155">
        <f t="shared" ref="N33" si="17">ROUND(K33,1)-ROUND(I33,1)-ROUND(J33,1)</f>
        <v>0</v>
      </c>
    </row>
    <row r="34" spans="1:14" s="372" customFormat="1" ht="17.25" customHeight="1">
      <c r="A34" s="704"/>
      <c r="B34" s="801" t="s">
        <v>430</v>
      </c>
      <c r="C34" s="1510">
        <f>SUM('[7]1'!$C$14:$D$14)</f>
        <v>45.591416236000001</v>
      </c>
      <c r="D34" s="1861">
        <f>SUM('[7]1'!$C$18:$D$18)+SUM('[7]1'!$C$30:$D$30)+SUM('[7]1'!$C$33:$D$33)</f>
        <v>1904.2991494033145</v>
      </c>
      <c r="E34" s="1541">
        <f>SUM('[7]1'!$C$25:$D$29)</f>
        <v>14170.012558917124</v>
      </c>
      <c r="F34" s="1862">
        <f>SUM('[7]1'!$C$23:$D$24)</f>
        <v>2086.5001881853796</v>
      </c>
      <c r="G34" s="1863">
        <f>SUM('[7]1'!$C$31:$D$31)+SUM('[7]1'!$C$37:$D$37)</f>
        <v>796.29861341652918</v>
      </c>
      <c r="H34" s="1864">
        <f>SUM('[7]1'!$C$34:$D$34)+SUM('[7]1'!$C$36:$D$36)</f>
        <v>3981.3630548837186</v>
      </c>
      <c r="I34" s="1865">
        <f>SUM('[7]1'!$C$38:$D$38)</f>
        <v>22984.064981042069</v>
      </c>
      <c r="J34" s="1876">
        <f>SUM('[7]1'!$E$38:$P$38)-0.05</f>
        <v>21262.937433559287</v>
      </c>
      <c r="K34" s="1881">
        <f>'[7]1'!$Q$38-0.01</f>
        <v>44247.042414601354</v>
      </c>
      <c r="L34" s="1867">
        <f>'[7]1'!$Q$40</f>
        <v>8376.2600566648871</v>
      </c>
      <c r="M34" s="438">
        <f t="shared" ref="M34" si="18">ROUND(I34,1)-ROUND(C34,1)-ROUND(D34,1)-ROUND(E34,1)-ROUND(F34,1)-ROUND(G34,1)-ROUND(H34,1)</f>
        <v>0</v>
      </c>
      <c r="N34" s="2155">
        <f t="shared" ref="N34" si="19">ROUND(K34,1)-ROUND(I34,1)-ROUND(J34,1)</f>
        <v>0</v>
      </c>
    </row>
    <row r="35" spans="1:14" s="372" customFormat="1" ht="17.25" customHeight="1">
      <c r="A35" s="704"/>
      <c r="B35" s="801" t="s">
        <v>431</v>
      </c>
      <c r="C35" s="1510">
        <f>SUM('[8]1'!$C$14:$D$14)</f>
        <v>24.578514128999998</v>
      </c>
      <c r="D35" s="1861">
        <f>SUM('[8]1'!$C$18:$D$18)+SUM('[8]1'!$C$30:$D$30)+SUM('[8]1'!$C$33:$D$33)</f>
        <v>1869.5094127031794</v>
      </c>
      <c r="E35" s="1797">
        <f>SUM('[8]1'!$C$25:$D$29)-0.02</f>
        <v>14261.635423088221</v>
      </c>
      <c r="F35" s="1862">
        <f>SUM('[8]1'!$C$23:$D$24)</f>
        <v>1942.9270921878237</v>
      </c>
      <c r="G35" s="1863">
        <f>SUM('[8]1'!$C$31:$D$31)+SUM('[8]1'!$C$37:$D$37)</f>
        <v>865.97338026685122</v>
      </c>
      <c r="H35" s="1864">
        <f>SUM('[8]1'!$C$34:$D$34)+SUM('[8]1'!$C$36:$D$36)</f>
        <v>4020.8759990375065</v>
      </c>
      <c r="I35" s="1865">
        <f>SUM('[8]1'!$C$38:$D$38)</f>
        <v>22985.519821412578</v>
      </c>
      <c r="J35" s="1865">
        <f>SUM('[8]1'!$E$38:$P$38)</f>
        <v>21075.22897491201</v>
      </c>
      <c r="K35" s="1866">
        <f>'[8]1'!$Q$38</f>
        <v>44060.748796324588</v>
      </c>
      <c r="L35" s="1867">
        <f>'[8]1'!$Q$40</f>
        <v>8458.4059642204211</v>
      </c>
      <c r="M35" s="438">
        <f t="shared" ref="M35" si="20">ROUND(I35,1)-ROUND(C35,1)-ROUND(D35,1)-ROUND(E35,1)-ROUND(F35,1)-ROUND(G35,1)-ROUND(H35,1)</f>
        <v>0</v>
      </c>
      <c r="N35" s="2155">
        <f t="shared" ref="N35" si="21">ROUND(K35,1)-ROUND(I35,1)-ROUND(J35,1)</f>
        <v>0</v>
      </c>
    </row>
    <row r="36" spans="1:14" s="372" customFormat="1" ht="17.25" customHeight="1">
      <c r="A36" s="704"/>
      <c r="B36" s="801" t="s">
        <v>420</v>
      </c>
      <c r="C36" s="1510">
        <f>SUM('[9]1'!$C$14:$D$14)</f>
        <v>27.611715496000002</v>
      </c>
      <c r="D36" s="1861">
        <f>SUM('[9]1'!$C$18:$D$18)+SUM('[9]1'!$C$30:$D$30)+SUM('[9]1'!$C$33:$D$33)</f>
        <v>1802.9902193616663</v>
      </c>
      <c r="E36" s="1541">
        <f>SUM('[9]1'!$C$25:$D$29)</f>
        <v>14180.169231940823</v>
      </c>
      <c r="F36" s="2490">
        <f>SUM('[9]1'!$C$23:$D$24)-0.02</f>
        <v>1747.2471775418758</v>
      </c>
      <c r="G36" s="1863">
        <f>SUM('[9]1'!$C$31:$D$31)+SUM('[9]1'!$C$37:$D$37)</f>
        <v>825.49998262699103</v>
      </c>
      <c r="H36" s="1864">
        <f>SUM('[9]1'!$C$34:$D$34)+SUM('[9]1'!$C$36:$D$36)</f>
        <v>4102.8956957555492</v>
      </c>
      <c r="I36" s="1865">
        <f>SUM('[9]1'!$C$38:$D$38)</f>
        <v>22686.434022722904</v>
      </c>
      <c r="J36" s="1865">
        <f>SUM('[9]1'!$E$38:$P$38)</f>
        <v>21501.998173392392</v>
      </c>
      <c r="K36" s="1866">
        <f>'[9]1'!$Q$38</f>
        <v>44188.432196115289</v>
      </c>
      <c r="L36" s="1867">
        <f>'[9]1'!$Q$40</f>
        <v>8054.6312522040544</v>
      </c>
      <c r="M36" s="438">
        <f t="shared" ref="M36" si="22">ROUND(I36,1)-ROUND(C36,1)-ROUND(D36,1)-ROUND(E36,1)-ROUND(F36,1)-ROUND(G36,1)-ROUND(H36,1)</f>
        <v>0</v>
      </c>
      <c r="N36" s="2155">
        <f t="shared" ref="N36" si="23">ROUND(K36,1)-ROUND(I36,1)-ROUND(J36,1)</f>
        <v>0</v>
      </c>
    </row>
    <row r="37" spans="1:14" s="372" customFormat="1" ht="17.25" customHeight="1">
      <c r="A37" s="704"/>
      <c r="B37" s="801" t="s">
        <v>421</v>
      </c>
      <c r="C37" s="1510">
        <f>SUM('[10]1'!$C$14:$D$14)</f>
        <v>32.312395745000003</v>
      </c>
      <c r="D37" s="2453">
        <f>SUM('[10]1'!$C$18:$D$18)+SUM('[10]1'!$C$30:$D$30)+SUM('[10]1'!$C$33:$D$33)+0.02</f>
        <v>1941.0633884903518</v>
      </c>
      <c r="E37" s="1541">
        <f>SUM('[10]1'!$C$25:$D$29)</f>
        <v>14361.300247188386</v>
      </c>
      <c r="F37" s="1862">
        <f>SUM('[10]1'!$C$23:$D$24)</f>
        <v>1759.2977246566793</v>
      </c>
      <c r="G37" s="1863">
        <f>SUM('[10]1'!$C$31:$D$31)+SUM('[10]1'!$C$37:$D$37)</f>
        <v>876.09980181127003</v>
      </c>
      <c r="H37" s="1864">
        <f>SUM('[10]1'!$C$34:$D$34)+SUM('[10]1'!$C$36:$D$36)</f>
        <v>4120.6388759528272</v>
      </c>
      <c r="I37" s="1865">
        <f>SUM('[10]1'!$C$38:$D$38)</f>
        <v>23090.692433844517</v>
      </c>
      <c r="J37" s="1865">
        <f>SUM('[10]1'!$E$38:$P$38)</f>
        <v>21437.143699120588</v>
      </c>
      <c r="K37" s="1866">
        <f>'[10]1'!$Q$38</f>
        <v>44527.836132965102</v>
      </c>
      <c r="L37" s="1867">
        <f>'[10]1'!$Q$40</f>
        <v>8521.15978512943</v>
      </c>
      <c r="M37" s="438">
        <f t="shared" ref="M37" si="24">ROUND(I37,1)-ROUND(C37,1)-ROUND(D37,1)-ROUND(E37,1)-ROUND(F37,1)-ROUND(G37,1)-ROUND(H37,1)</f>
        <v>0</v>
      </c>
      <c r="N37" s="2155">
        <f t="shared" ref="N37" si="25">ROUND(K37,1)-ROUND(I37,1)-ROUND(J37,1)</f>
        <v>0</v>
      </c>
    </row>
    <row r="38" spans="1:14" s="372" customFormat="1" ht="17.25" customHeight="1">
      <c r="A38" s="704"/>
      <c r="B38" s="801" t="s">
        <v>422</v>
      </c>
      <c r="C38" s="1510">
        <f>SUM('[11]1'!$C$14:$D$14)</f>
        <v>31.497141595000002</v>
      </c>
      <c r="D38" s="1861">
        <f>SUM('[11]1'!$C$18:$D$18)+SUM('[11]1'!$C$30:$D$30)+SUM('[11]1'!$C$33:$D$33)</f>
        <v>1840.12674957935</v>
      </c>
      <c r="E38" s="1541">
        <f>SUM('[11]1'!$C$25:$D$29)</f>
        <v>14687.115407804087</v>
      </c>
      <c r="F38" s="1862">
        <f>SUM('[11]1'!$C$23:$D$24)</f>
        <v>1753.39589493774</v>
      </c>
      <c r="G38" s="1863">
        <f>SUM('[11]1'!$C$31:$D$31)+SUM('[11]1'!$C$37:$D$37)</f>
        <v>872.39925045061511</v>
      </c>
      <c r="H38" s="1864">
        <f>SUM('[11]1'!$C$34:$D$34)+SUM('[11]1'!$C$36:$D$36)</f>
        <v>4133.1520550966634</v>
      </c>
      <c r="I38" s="1865">
        <f>SUM('[11]1'!$C$38:$D$38)</f>
        <v>23317.68649946346</v>
      </c>
      <c r="J38" s="1876">
        <f>SUM('[11]1'!$E$38:$P$38)-0.02</f>
        <v>21683.439706634254</v>
      </c>
      <c r="K38" s="1866">
        <f>'[11]1'!$Q$38</f>
        <v>45001.146206097721</v>
      </c>
      <c r="L38" s="1867">
        <f>'[11]1'!$Q$40</f>
        <v>8732.688622378837</v>
      </c>
      <c r="M38" s="438">
        <f t="shared" ref="M38" si="26">ROUND(I38,1)-ROUND(C38,1)-ROUND(D38,1)-ROUND(E38,1)-ROUND(F38,1)-ROUND(G38,1)-ROUND(H38,1)</f>
        <v>0</v>
      </c>
      <c r="N38" s="2155">
        <f t="shared" ref="N38" si="27">ROUND(K38,1)-ROUND(I38,1)-ROUND(J38,1)</f>
        <v>0</v>
      </c>
    </row>
    <row r="39" spans="1:14" s="372" customFormat="1" ht="21" customHeight="1">
      <c r="A39" s="704">
        <v>2026</v>
      </c>
      <c r="B39" s="801" t="s">
        <v>423</v>
      </c>
      <c r="C39" s="1510">
        <f>SUM('[12]1'!$C$14:$D$14)</f>
        <v>36.541392500000001</v>
      </c>
      <c r="D39" s="1861">
        <f>SUM('[12]1'!$C$18:$D$18)+SUM('[12]1'!$C$30:$D$30)+SUM('[12]1'!$C$33:$D$33)</f>
        <v>2020.3429171648909</v>
      </c>
      <c r="E39" s="1541">
        <f>SUM('[12]1'!$C$25:$D$29)</f>
        <v>14797.15971835559</v>
      </c>
      <c r="F39" s="1862">
        <f>SUM('[12]1'!$C$23:$D$24)</f>
        <v>1736.0222175310312</v>
      </c>
      <c r="G39" s="2501">
        <f>SUM('[12]1'!$C$31:$D$31)+SUM('[12]1'!$C$37:$D$37)+0.02</f>
        <v>813.1534949294911</v>
      </c>
      <c r="H39" s="1864">
        <f>SUM('[12]1'!$C$34:$D$34)+SUM('[12]1'!$C$36:$D$36)</f>
        <v>4151.3815497611467</v>
      </c>
      <c r="I39" s="1865">
        <f>SUM('[12]1'!$C$38:$D$38)</f>
        <v>23554.581290242146</v>
      </c>
      <c r="J39" s="1865">
        <f>SUM('[12]1'!$E$38:$P$38)</f>
        <v>21716.744861516854</v>
      </c>
      <c r="K39" s="1866">
        <f>'[12]1'!$Q$38</f>
        <v>45271.326151759</v>
      </c>
      <c r="L39" s="1867">
        <f>'[12]1'!$Q$40</f>
        <v>8050.4561913807011</v>
      </c>
      <c r="M39" s="438">
        <f t="shared" ref="M39" si="28">ROUND(I39,1)-ROUND(C39,1)-ROUND(D39,1)-ROUND(E39,1)-ROUND(F39,1)-ROUND(G39,1)-ROUND(H39,1)</f>
        <v>0</v>
      </c>
      <c r="N39" s="2155">
        <f t="shared" ref="N39" si="29">ROUND(K39,1)-ROUND(I39,1)-ROUND(J39,1)</f>
        <v>0</v>
      </c>
    </row>
    <row r="40" spans="1:14" s="372" customFormat="1" ht="17.25" customHeight="1">
      <c r="A40" s="704"/>
      <c r="B40" s="801" t="s">
        <v>424</v>
      </c>
      <c r="C40" s="1510">
        <f>SUM('[13]1'!$C$14:$D$14)</f>
        <v>44.394683996999994</v>
      </c>
      <c r="D40" s="1861">
        <f>SUM('[13]1'!$C$18:$D$18)+SUM('[13]1'!$C$30:$D$30)+SUM('[13]1'!$C$33:$D$33)</f>
        <v>1896.8929023552787</v>
      </c>
      <c r="E40" s="1541">
        <f>SUM('[13]1'!$C$25:$D$29)</f>
        <v>15007.876249101697</v>
      </c>
      <c r="F40" s="1862">
        <f>SUM('[13]1'!$C$23:$D$24)</f>
        <v>1747.8475730627945</v>
      </c>
      <c r="G40" s="1863">
        <f>SUM('[13]1'!$C$31:$D$31)+SUM('[13]1'!$C$37:$D$37)</f>
        <v>875.2115827952216</v>
      </c>
      <c r="H40" s="1864">
        <f>SUM('[13]1'!$C$34:$D$34)+SUM('[13]1'!$C$36:$D$36)</f>
        <v>4170.1447472333821</v>
      </c>
      <c r="I40" s="1876">
        <f>SUM('[13]1'!$C$38:$D$38)-0.03</f>
        <v>23742.337738545375</v>
      </c>
      <c r="J40" s="1865">
        <f>SUM('[13]1'!$E$38:$P$38)</f>
        <v>22268.194742652988</v>
      </c>
      <c r="K40" s="1881">
        <f>'[13]1'!$Q$38-0.02</f>
        <v>46010.542481198368</v>
      </c>
      <c r="L40" s="1867">
        <f>'[13]1'!$Q$40</f>
        <v>11597.809396239831</v>
      </c>
      <c r="M40" s="438">
        <f t="shared" ref="M40" si="30">ROUND(I40,1)-ROUND(C40,1)-ROUND(D40,1)-ROUND(E40,1)-ROUND(F40,1)-ROUND(G40,1)-ROUND(H40,1)</f>
        <v>0</v>
      </c>
      <c r="N40" s="2155">
        <f t="shared" ref="N40" si="31">ROUND(K40,1)-ROUND(I40,1)-ROUND(J40,1)</f>
        <v>0</v>
      </c>
    </row>
    <row r="41" spans="1:14" s="372" customFormat="1" ht="17.25" customHeight="1">
      <c r="A41" s="704"/>
      <c r="B41" s="801" t="s">
        <v>425</v>
      </c>
      <c r="C41" s="1510">
        <f>SUM('[14]1'!$C$14:$D$14)</f>
        <v>47.662931798999999</v>
      </c>
      <c r="D41" s="1861">
        <f>SUM('[14]1'!$C$18:$D$18)+SUM('[14]1'!$C$30:$D$30)+SUM('[14]1'!$C$33:$D$33)</f>
        <v>1845.4681021244407</v>
      </c>
      <c r="E41" s="1541">
        <f>SUM('[14]1'!$C$25:$D$29)</f>
        <v>15230.148523914964</v>
      </c>
      <c r="F41" s="1862">
        <f>SUM('[14]1'!$C$23:$D$24)</f>
        <v>1939.1082820153119</v>
      </c>
      <c r="G41" s="1863">
        <f>SUM('[14]1'!$C$31:$D$31)+SUM('[14]1'!$C$37:$D$37)</f>
        <v>1029.090048656411</v>
      </c>
      <c r="H41" s="1864">
        <f>SUM('[14]1'!$C$34:$D$34)+SUM('[14]1'!$C$36:$D$36)</f>
        <v>3905.7140499827656</v>
      </c>
      <c r="I41" s="1865">
        <f>SUM('[14]1'!$C$38:$D$38)</f>
        <v>23997.191938492899</v>
      </c>
      <c r="J41" s="1876">
        <f>SUM('[14]1'!$E$38:$P$38)-0.05</f>
        <v>22840.137720907245</v>
      </c>
      <c r="K41" s="1881">
        <f>'[14]1'!$Q$38-0.05</f>
        <v>46837.329659400144</v>
      </c>
      <c r="L41" s="1867">
        <f>'[14]1'!$Q$40</f>
        <v>8923.175604346523</v>
      </c>
      <c r="M41" s="438">
        <f t="shared" ref="M41" si="32">ROUND(I41,1)-ROUND(C41,1)-ROUND(D41,1)-ROUND(E41,1)-ROUND(F41,1)-ROUND(G41,1)-ROUND(H41,1)</f>
        <v>0</v>
      </c>
      <c r="N41" s="2155">
        <f t="shared" ref="N41" si="33">ROUND(K41,1)-ROUND(I41,1)-ROUND(J41,1)</f>
        <v>0</v>
      </c>
    </row>
    <row r="42" spans="1:14" s="372" customFormat="1" ht="17.25" customHeight="1">
      <c r="A42" s="704"/>
      <c r="B42" s="801" t="s">
        <v>426</v>
      </c>
      <c r="C42" s="1510">
        <f>SUM('[15]1'!$C$14:$D$14)</f>
        <v>27.161844842999997</v>
      </c>
      <c r="D42" s="1861">
        <f>SUM('[15]1'!$C$18:$D$18)+SUM('[15]1'!$C$30:$D$30)+SUM('[15]1'!$C$33:$D$33)</f>
        <v>1826.6527291304926</v>
      </c>
      <c r="E42" s="1541">
        <f>SUM('[15]1'!$C$25:$D$29)</f>
        <v>16007.548621625578</v>
      </c>
      <c r="F42" s="1862">
        <f>SUM('[15]1'!$C$23:$D$24)</f>
        <v>1901.4497095111765</v>
      </c>
      <c r="G42" s="1863">
        <f>SUM('[15]1'!$C$31:$D$31)+SUM('[15]1'!$C$37:$D$37)</f>
        <v>812.11331424431228</v>
      </c>
      <c r="H42" s="1864">
        <f>SUM('[15]1'!$C$34:$D$34)+SUM('[15]1'!$C$36:$D$36)</f>
        <v>4073.3745457953041</v>
      </c>
      <c r="I42" s="1865">
        <f>SUM('[15]1'!$C$38:$D$38)</f>
        <v>24648.300765149866</v>
      </c>
      <c r="J42" s="1876">
        <f>SUM('[15]1'!$E$38:$P$38)-0.06</f>
        <v>22488.64558065496</v>
      </c>
      <c r="K42" s="1881">
        <f>'[15]1'!$Q$38-0.06</f>
        <v>47136.946345804819</v>
      </c>
      <c r="L42" s="1867">
        <f>'[15]1'!$Q$40</f>
        <v>9024.1486665267403</v>
      </c>
      <c r="M42" s="438">
        <f t="shared" ref="M42" si="34">ROUND(I42,1)-ROUND(C42,1)-ROUND(D42,1)-ROUND(E42,1)-ROUND(F42,1)-ROUND(G42,1)-ROUND(H42,1)</f>
        <v>0</v>
      </c>
      <c r="N42" s="2155">
        <f t="shared" ref="N42" si="35">ROUND(K42,1)-ROUND(I42,1)-ROUND(J42,1)</f>
        <v>0</v>
      </c>
    </row>
    <row r="43" spans="1:14" s="372" customFormat="1" ht="17.25" customHeight="1">
      <c r="A43" s="704"/>
      <c r="B43" s="801" t="s">
        <v>427</v>
      </c>
      <c r="C43" s="1510">
        <f>SUM('[16]1'!$C$14:$D$14)</f>
        <v>37.314741529000003</v>
      </c>
      <c r="D43" s="1861">
        <f>SUM('[16]1'!$C$18:$D$18)+SUM('[16]1'!$C$30:$D$30)+SUM('[16]1'!$C$33:$D$33)</f>
        <v>1835.2521630149399</v>
      </c>
      <c r="E43" s="1541">
        <f>SUM('[16]1'!$C$25:$D$29)</f>
        <v>15957.44061840189</v>
      </c>
      <c r="F43" s="1862">
        <f>SUM('[16]1'!$C$23:$D$24)</f>
        <v>1966.6102024977886</v>
      </c>
      <c r="G43" s="1863">
        <f>SUM('[16]1'!$C$31:$D$31)+SUM('[16]1'!$C$37:$D$37)</f>
        <v>934.0744685934925</v>
      </c>
      <c r="H43" s="1864">
        <f>SUM('[16]1'!$C$34:$D$34)+SUM('[16]1'!$C$36:$D$36)</f>
        <v>4112.697828964926</v>
      </c>
      <c r="I43" s="1865">
        <f>SUM('[16]1'!$C$38:$D$38)</f>
        <v>24843.390023002041</v>
      </c>
      <c r="J43" s="1865">
        <f>SUM('[16]1'!$E$38:$P$38)</f>
        <v>22203.462498612153</v>
      </c>
      <c r="K43" s="1866">
        <f>'[16]1'!$Q$38</f>
        <v>47046.852521614201</v>
      </c>
      <c r="L43" s="1867">
        <f>'[16]1'!$Q$40</f>
        <v>9515.5079829719598</v>
      </c>
      <c r="M43" s="438">
        <f t="shared" ref="M43" si="36">ROUND(I43,1)-ROUND(C43,1)-ROUND(D43,1)-ROUND(E43,1)-ROUND(F43,1)-ROUND(G43,1)-ROUND(H43,1)</f>
        <v>0</v>
      </c>
      <c r="N43" s="2155">
        <f t="shared" ref="N43" si="37">ROUND(K43,1)-ROUND(I43,1)-ROUND(J43,1)</f>
        <v>0</v>
      </c>
    </row>
    <row r="44" spans="1:14" s="3" customFormat="1" ht="20.25" customHeight="1">
      <c r="A44" s="225" t="s">
        <v>845</v>
      </c>
      <c r="B44" s="227"/>
      <c r="C44" s="1280"/>
      <c r="D44" s="227"/>
      <c r="E44" s="227"/>
      <c r="F44" s="227"/>
      <c r="G44" s="234"/>
      <c r="H44" s="227"/>
      <c r="I44" s="225"/>
      <c r="J44" s="228"/>
      <c r="K44" s="225"/>
      <c r="L44" s="252" t="s">
        <v>846</v>
      </c>
      <c r="M44" s="149"/>
    </row>
    <row r="45" spans="1:14" s="3" customFormat="1" ht="13.75" customHeight="1">
      <c r="A45" s="6" t="s">
        <v>847</v>
      </c>
      <c r="G45" s="151"/>
      <c r="I45"/>
      <c r="J45" s="8"/>
      <c r="K45"/>
      <c r="L45" s="253" t="s">
        <v>848</v>
      </c>
      <c r="M45" s="149"/>
    </row>
    <row r="46" spans="1:14" s="3" customFormat="1" ht="13.75" customHeight="1">
      <c r="A46" s="6"/>
      <c r="I46" s="7"/>
      <c r="J46" s="7"/>
      <c r="K46"/>
      <c r="L46" s="381"/>
      <c r="M46" s="149"/>
    </row>
    <row r="47" spans="1:14">
      <c r="B47" s="8"/>
      <c r="C47" s="1471"/>
      <c r="D47" s="1471"/>
      <c r="E47" s="1471"/>
      <c r="F47" s="1471"/>
      <c r="G47" s="1471"/>
      <c r="H47" s="1471"/>
      <c r="I47" s="1471"/>
      <c r="J47" s="1471"/>
      <c r="K47" s="1471"/>
      <c r="L47" s="1471"/>
    </row>
    <row r="48" spans="1:14">
      <c r="B48" s="1"/>
      <c r="C48" s="1472"/>
      <c r="D48" s="1472"/>
      <c r="E48" s="1472"/>
      <c r="F48" s="1472"/>
      <c r="G48" s="1472"/>
      <c r="H48" s="1472"/>
      <c r="I48" s="1472"/>
      <c r="J48" s="1472"/>
      <c r="K48" s="1472"/>
      <c r="L48" s="1472"/>
    </row>
    <row r="49" spans="1:13" ht="14">
      <c r="A49" s="476" t="s">
        <v>849</v>
      </c>
      <c r="B49" s="476"/>
      <c r="C49" s="476"/>
      <c r="D49" s="476"/>
      <c r="E49" s="476"/>
      <c r="F49" s="476"/>
      <c r="G49" s="476"/>
      <c r="H49" s="476"/>
      <c r="I49" s="476"/>
      <c r="J49" s="476"/>
      <c r="K49" s="476"/>
      <c r="L49" s="476"/>
      <c r="M49"/>
    </row>
    <row r="50" spans="1:13">
      <c r="K50" s="146"/>
    </row>
    <row r="52" spans="1:13">
      <c r="A52" s="287"/>
      <c r="M52"/>
    </row>
    <row r="53" spans="1:13">
      <c r="A53" s="150"/>
      <c r="M53"/>
    </row>
  </sheetData>
  <phoneticPr fontId="0" type="noConversion"/>
  <printOptions horizontalCentered="1" verticalCentered="1"/>
  <pageMargins left="0" right="0" top="0" bottom="0" header="0.511811023622047" footer="0.511811023622047"/>
  <pageSetup paperSize="9" scale="7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tabColor rgb="FFFF0000"/>
    <pageSetUpPr fitToPage="1"/>
  </sheetPr>
  <dimension ref="A1:M54"/>
  <sheetViews>
    <sheetView topLeftCell="A6" zoomScale="90" zoomScaleNormal="90" workbookViewId="0">
      <pane ySplit="7" topLeftCell="A36" activePane="bottomLeft" state="frozen"/>
      <selection activeCell="B44" sqref="B44"/>
      <selection pane="bottomLeft" activeCell="I43" sqref="I43"/>
    </sheetView>
  </sheetViews>
  <sheetFormatPr defaultColWidth="9.1796875" defaultRowHeight="12.5"/>
  <cols>
    <col min="1" max="2" width="9.7265625" style="18" customWidth="1"/>
    <col min="3" max="10" width="13.7265625" style="18" customWidth="1"/>
    <col min="11" max="11" width="9.7265625" style="18" customWidth="1"/>
    <col min="12" max="16384" width="9.1796875" style="18"/>
  </cols>
  <sheetData>
    <row r="1" spans="1:12" hidden="1"/>
    <row r="2" spans="1:12" hidden="1"/>
    <row r="3" spans="1:12" hidden="1"/>
    <row r="4" spans="1:12" hidden="1"/>
    <row r="5" spans="1:12" hidden="1"/>
    <row r="6" spans="1:12" s="915" customFormat="1" ht="18" customHeight="1">
      <c r="A6" s="1112" t="s">
        <v>850</v>
      </c>
      <c r="B6" s="1113"/>
      <c r="C6" s="1114"/>
      <c r="D6" s="1114"/>
      <c r="E6" s="1114"/>
      <c r="F6" s="1114"/>
      <c r="G6" s="1114"/>
      <c r="H6" s="1114"/>
      <c r="I6" s="1114"/>
      <c r="J6" s="1114"/>
    </row>
    <row r="7" spans="1:12" s="915" customFormat="1" ht="18" customHeight="1">
      <c r="A7" s="1115" t="s">
        <v>851</v>
      </c>
      <c r="B7" s="1113"/>
      <c r="C7" s="1114"/>
      <c r="D7" s="1114"/>
      <c r="E7" s="1114"/>
      <c r="F7" s="1114"/>
      <c r="G7" s="1114"/>
      <c r="H7" s="1114"/>
      <c r="I7" s="1114"/>
      <c r="J7" s="1114"/>
    </row>
    <row r="8" spans="1:12" s="915" customFormat="1" ht="18" customHeight="1">
      <c r="A8" s="1112" t="s">
        <v>852</v>
      </c>
      <c r="B8" s="1113"/>
      <c r="C8" s="1114"/>
      <c r="D8" s="1114"/>
      <c r="E8" s="1114"/>
      <c r="F8" s="1114"/>
      <c r="G8" s="1114"/>
      <c r="H8" s="1114"/>
      <c r="I8" s="1114"/>
      <c r="J8" s="1114"/>
    </row>
    <row r="9" spans="1:12" s="153" customFormat="1" ht="12.75" customHeight="1">
      <c r="A9" s="153" t="s">
        <v>377</v>
      </c>
      <c r="B9" s="484"/>
      <c r="C9" s="485"/>
      <c r="D9" s="485"/>
      <c r="E9" s="485"/>
      <c r="F9" s="485"/>
      <c r="G9" s="485"/>
      <c r="H9" s="485"/>
      <c r="I9" s="485"/>
      <c r="J9" s="486" t="s">
        <v>378</v>
      </c>
    </row>
    <row r="10" spans="1:12" s="166" customFormat="1" ht="18" customHeight="1">
      <c r="A10" s="487"/>
      <c r="B10" s="488"/>
      <c r="C10" s="489" t="s">
        <v>853</v>
      </c>
      <c r="D10" s="490"/>
      <c r="E10" s="491"/>
      <c r="F10" s="492" t="s">
        <v>380</v>
      </c>
      <c r="G10" s="489" t="s">
        <v>381</v>
      </c>
      <c r="H10" s="490"/>
      <c r="I10" s="493" t="s">
        <v>382</v>
      </c>
      <c r="J10" s="494" t="s">
        <v>507</v>
      </c>
    </row>
    <row r="11" spans="1:12" s="169" customFormat="1" ht="18" customHeight="1">
      <c r="A11" s="495" t="s">
        <v>387</v>
      </c>
      <c r="B11" s="496"/>
      <c r="C11" s="497" t="s">
        <v>441</v>
      </c>
      <c r="D11" s="498" t="s">
        <v>854</v>
      </c>
      <c r="E11" s="499" t="s">
        <v>390</v>
      </c>
      <c r="F11" s="500" t="s">
        <v>855</v>
      </c>
      <c r="G11" s="497" t="s">
        <v>441</v>
      </c>
      <c r="H11" s="498" t="s">
        <v>854</v>
      </c>
      <c r="I11" s="499" t="s">
        <v>390</v>
      </c>
      <c r="J11" s="501" t="s">
        <v>383</v>
      </c>
    </row>
    <row r="12" spans="1:12" s="166" customFormat="1" ht="30.25" customHeight="1">
      <c r="A12" s="502" t="s">
        <v>395</v>
      </c>
      <c r="B12" s="503"/>
      <c r="C12" s="504" t="s">
        <v>856</v>
      </c>
      <c r="D12" s="505" t="s">
        <v>792</v>
      </c>
      <c r="E12" s="505" t="s">
        <v>400</v>
      </c>
      <c r="F12" s="505" t="s">
        <v>857</v>
      </c>
      <c r="G12" s="504" t="s">
        <v>413</v>
      </c>
      <c r="H12" s="506" t="s">
        <v>792</v>
      </c>
      <c r="I12" s="504" t="s">
        <v>400</v>
      </c>
      <c r="J12" s="505" t="s">
        <v>858</v>
      </c>
      <c r="K12" s="507" t="s">
        <v>794</v>
      </c>
      <c r="L12" s="508" t="s">
        <v>795</v>
      </c>
    </row>
    <row r="13" spans="1:12" s="449" customFormat="1" ht="20.25" customHeight="1">
      <c r="A13" s="446">
        <v>2016</v>
      </c>
      <c r="B13" s="447"/>
      <c r="C13" s="395">
        <v>4748.6593469816726</v>
      </c>
      <c r="D13" s="395">
        <v>9115.8419323927264</v>
      </c>
      <c r="E13" s="396">
        <v>13864.540338904006</v>
      </c>
      <c r="F13" s="448">
        <v>3738.7431950292416</v>
      </c>
      <c r="G13" s="396">
        <v>8007.6571794938845</v>
      </c>
      <c r="H13" s="396">
        <v>6445.0565690034855</v>
      </c>
      <c r="I13" s="396">
        <v>14452.803721047296</v>
      </c>
      <c r="J13" s="396">
        <v>-588.26338214329007</v>
      </c>
      <c r="K13" s="1869">
        <f t="shared" ref="K13:K15" si="0">ROUND(E13,1)-ROUND(C13,1)-ROUND(D13,1)</f>
        <v>0</v>
      </c>
      <c r="L13" s="1869">
        <f t="shared" ref="L13:L15" si="1">ROUND(I13,1)-ROUND(G13,1)-ROUND(H13,1)</f>
        <v>0</v>
      </c>
    </row>
    <row r="14" spans="1:12" s="621" customFormat="1" ht="14.25" customHeight="1">
      <c r="A14" s="446">
        <v>2017</v>
      </c>
      <c r="B14" s="620"/>
      <c r="C14" s="396">
        <v>4556.9541569592639</v>
      </c>
      <c r="D14" s="396">
        <v>8807.0021507301371</v>
      </c>
      <c r="E14" s="396">
        <v>13364.043650535194</v>
      </c>
      <c r="F14" s="396">
        <v>3797.5894805756334</v>
      </c>
      <c r="G14" s="396">
        <v>7910.5285125719365</v>
      </c>
      <c r="H14" s="396">
        <v>6374.9716246168573</v>
      </c>
      <c r="I14" s="396">
        <v>14285.454760065642</v>
      </c>
      <c r="J14" s="396">
        <v>-921.46110953044877</v>
      </c>
      <c r="K14" s="1869">
        <f t="shared" si="0"/>
        <v>0</v>
      </c>
      <c r="L14" s="1869">
        <f t="shared" si="1"/>
        <v>0</v>
      </c>
    </row>
    <row r="15" spans="1:12" s="915" customFormat="1" ht="14.25" customHeight="1">
      <c r="A15" s="926">
        <v>2018</v>
      </c>
      <c r="B15" s="927"/>
      <c r="C15" s="928">
        <v>4516.152256252074</v>
      </c>
      <c r="D15" s="928">
        <v>9113.4808562280159</v>
      </c>
      <c r="E15" s="928">
        <v>13629.708080063867</v>
      </c>
      <c r="F15" s="929">
        <v>4534.7771958793392</v>
      </c>
      <c r="G15" s="928">
        <v>7614.9494185482581</v>
      </c>
      <c r="H15" s="928">
        <v>7121.6718261759343</v>
      </c>
      <c r="I15" s="928">
        <v>14736.649777062137</v>
      </c>
      <c r="J15" s="928">
        <v>-1106.9416969982703</v>
      </c>
      <c r="K15" s="1869">
        <f t="shared" si="0"/>
        <v>0</v>
      </c>
      <c r="L15" s="1869">
        <f t="shared" si="1"/>
        <v>0</v>
      </c>
    </row>
    <row r="16" spans="1:12" s="915" customFormat="1" ht="14.25" customHeight="1">
      <c r="A16" s="926">
        <v>2019</v>
      </c>
      <c r="B16" s="927"/>
      <c r="C16" s="928">
        <v>5655.9007707818655</v>
      </c>
      <c r="D16" s="928">
        <v>9767.3400373121185</v>
      </c>
      <c r="E16" s="928">
        <v>15423.23278930428</v>
      </c>
      <c r="F16" s="929">
        <v>5506.9397616715269</v>
      </c>
      <c r="G16" s="928">
        <v>10248.71120463184</v>
      </c>
      <c r="H16" s="928">
        <v>6153.5370869886747</v>
      </c>
      <c r="I16" s="928">
        <v>16402.184863421702</v>
      </c>
      <c r="J16" s="928">
        <v>-978.95207411742194</v>
      </c>
      <c r="K16" s="1869">
        <v>0</v>
      </c>
      <c r="L16" s="1869">
        <v>0</v>
      </c>
    </row>
    <row r="17" spans="1:13" s="915" customFormat="1" ht="14.25" customHeight="1">
      <c r="A17" s="926">
        <v>2020</v>
      </c>
      <c r="B17" s="927"/>
      <c r="C17" s="928">
        <v>4774.7670016747634</v>
      </c>
      <c r="D17" s="928">
        <v>9732.7503727473886</v>
      </c>
      <c r="E17" s="928">
        <v>14507.584865149944</v>
      </c>
      <c r="F17" s="929">
        <v>5937.4941547068511</v>
      </c>
      <c r="G17" s="928">
        <v>10990.077961541368</v>
      </c>
      <c r="H17" s="928">
        <v>4846.5554140165823</v>
      </c>
      <c r="I17" s="928">
        <v>15836.696357492354</v>
      </c>
      <c r="J17" s="928">
        <v>-1329.1114923424102</v>
      </c>
      <c r="K17" s="1869">
        <v>0</v>
      </c>
      <c r="L17" s="1869">
        <v>0</v>
      </c>
    </row>
    <row r="18" spans="1:13" s="915" customFormat="1" ht="14.25" customHeight="1">
      <c r="A18" s="926">
        <v>2021</v>
      </c>
      <c r="B18" s="927"/>
      <c r="C18" s="928">
        <v>6002.2558435718265</v>
      </c>
      <c r="D18" s="928">
        <v>9245.4582250419789</v>
      </c>
      <c r="E18" s="928">
        <v>15247.818099927881</v>
      </c>
      <c r="F18" s="929">
        <v>5234.7905687626371</v>
      </c>
      <c r="G18" s="928">
        <v>10279.59821625412</v>
      </c>
      <c r="H18" s="928">
        <v>6462.1919848571524</v>
      </c>
      <c r="I18" s="928">
        <v>16741.780054273448</v>
      </c>
      <c r="J18" s="928">
        <v>-1493.9619543455665</v>
      </c>
      <c r="K18" s="1869">
        <v>0</v>
      </c>
      <c r="L18" s="1869">
        <v>0</v>
      </c>
    </row>
    <row r="19" spans="1:13" s="654" customFormat="1" ht="14.25" customHeight="1">
      <c r="A19" s="1985">
        <v>2022</v>
      </c>
      <c r="B19" s="1986"/>
      <c r="C19" s="1294">
        <v>5667.8664506677687</v>
      </c>
      <c r="D19" s="1294">
        <v>8697.110049465151</v>
      </c>
      <c r="E19" s="1294">
        <v>14365.004196472149</v>
      </c>
      <c r="F19" s="1868">
        <v>4865.4868061383531</v>
      </c>
      <c r="G19" s="1294">
        <v>10164.021547249347</v>
      </c>
      <c r="H19" s="1294">
        <v>6800.5364929587704</v>
      </c>
      <c r="I19" s="1294">
        <v>16964.477748442736</v>
      </c>
      <c r="J19" s="1294">
        <v>-2599.5235519705866</v>
      </c>
      <c r="K19" s="1869">
        <v>0</v>
      </c>
      <c r="L19" s="1869">
        <v>0</v>
      </c>
    </row>
    <row r="20" spans="1:13" s="654" customFormat="1" ht="14.25" customHeight="1">
      <c r="A20" s="1985">
        <v>2023</v>
      </c>
      <c r="B20" s="1986"/>
      <c r="C20" s="1294">
        <v>5436.4479158943268</v>
      </c>
      <c r="D20" s="1294">
        <v>9171.9803181576281</v>
      </c>
      <c r="E20" s="1294">
        <v>14608.358006707931</v>
      </c>
      <c r="F20" s="1868">
        <v>5446.4011180709149</v>
      </c>
      <c r="G20" s="1294">
        <v>10590.764545120383</v>
      </c>
      <c r="H20" s="1294">
        <v>7118.9568467031904</v>
      </c>
      <c r="I20" s="1294">
        <v>17709.761864411757</v>
      </c>
      <c r="J20" s="1294">
        <v>-3101.3999999999996</v>
      </c>
      <c r="K20" s="1869">
        <v>0</v>
      </c>
      <c r="L20" s="1869">
        <v>0</v>
      </c>
    </row>
    <row r="21" spans="1:13" s="654" customFormat="1" ht="14.25" customHeight="1">
      <c r="A21" s="1985">
        <v>2024</v>
      </c>
      <c r="B21" s="1986"/>
      <c r="C21" s="1294">
        <v>5487.9260734431728</v>
      </c>
      <c r="D21" s="1294">
        <v>9358.6194223316816</v>
      </c>
      <c r="E21" s="1294">
        <v>14846.494816834533</v>
      </c>
      <c r="F21" s="1868">
        <v>6003.6107097827135</v>
      </c>
      <c r="G21" s="1294">
        <v>13960.032754026735</v>
      </c>
      <c r="H21" s="1294">
        <v>5110.1741471447785</v>
      </c>
      <c r="I21" s="1294">
        <v>19070.236476899641</v>
      </c>
      <c r="J21" s="1294">
        <v>-4223.7000000000007</v>
      </c>
      <c r="K21" s="1869">
        <v>0</v>
      </c>
      <c r="L21" s="1869">
        <v>0</v>
      </c>
    </row>
    <row r="22" spans="1:13" s="654" customFormat="1" ht="14.25" customHeight="1">
      <c r="A22" s="2184">
        <v>2025</v>
      </c>
      <c r="B22" s="2253"/>
      <c r="C22" s="2254">
        <f t="shared" ref="C22:J22" si="2">C29</f>
        <v>4954.4010995929657</v>
      </c>
      <c r="D22" s="2254">
        <f t="shared" si="2"/>
        <v>10857.536353737654</v>
      </c>
      <c r="E22" s="2254">
        <f t="shared" si="2"/>
        <v>15811.918264778942</v>
      </c>
      <c r="F22" s="2255">
        <f t="shared" si="2"/>
        <v>6346.5209432264301</v>
      </c>
      <c r="G22" s="2254">
        <f t="shared" si="2"/>
        <v>15585.987518268223</v>
      </c>
      <c r="H22" s="2254">
        <f t="shared" si="2"/>
        <v>6097.4283041901072</v>
      </c>
      <c r="I22" s="2254">
        <f t="shared" si="2"/>
        <v>21683.439706634254</v>
      </c>
      <c r="J22" s="2254">
        <f t="shared" si="2"/>
        <v>-5871.5000000000018</v>
      </c>
      <c r="K22" s="1869">
        <f t="shared" ref="K22" si="3">ROUND(E22,1)-ROUND(C22,1)-ROUND(D22,1)</f>
        <v>0</v>
      </c>
      <c r="L22" s="1869">
        <f t="shared" ref="L22" si="4">ROUND(I22,1)-ROUND(G22,1)-ROUND(H22,1)</f>
        <v>0</v>
      </c>
    </row>
    <row r="23" spans="1:13" s="915" customFormat="1" ht="21" customHeight="1">
      <c r="A23" s="926">
        <v>2024</v>
      </c>
      <c r="B23" s="927" t="s">
        <v>243</v>
      </c>
      <c r="C23" s="928">
        <v>5581.5563957780969</v>
      </c>
      <c r="D23" s="928">
        <v>9073.3885242843699</v>
      </c>
      <c r="E23" s="928">
        <v>14655.041104269798</v>
      </c>
      <c r="F23" s="929">
        <v>5721.386504021114</v>
      </c>
      <c r="G23" s="928">
        <v>13762.166244265356</v>
      </c>
      <c r="H23" s="928">
        <v>5099.462492858901</v>
      </c>
      <c r="I23" s="928">
        <v>18861.69132800266</v>
      </c>
      <c r="J23" s="928">
        <v>-4206.7000000000007</v>
      </c>
      <c r="K23" s="2436">
        <v>0</v>
      </c>
      <c r="L23" s="1869">
        <v>0</v>
      </c>
    </row>
    <row r="24" spans="1:13" s="915" customFormat="1" ht="15" customHeight="1">
      <c r="A24" s="926"/>
      <c r="B24" s="927" t="s">
        <v>240</v>
      </c>
      <c r="C24" s="928">
        <v>4929.6166134010018</v>
      </c>
      <c r="D24" s="928">
        <v>9346.9932099672515</v>
      </c>
      <c r="E24" s="928">
        <v>14276.599021203841</v>
      </c>
      <c r="F24" s="929">
        <v>5977.4471861358652</v>
      </c>
      <c r="G24" s="928">
        <v>13159.85339399734</v>
      </c>
      <c r="H24" s="928">
        <v>5205.9890115296475</v>
      </c>
      <c r="I24" s="928">
        <v>18365.857669689172</v>
      </c>
      <c r="J24" s="928">
        <v>-4089.3000000000011</v>
      </c>
      <c r="K24" s="2436">
        <v>0</v>
      </c>
      <c r="L24" s="1869">
        <v>0</v>
      </c>
    </row>
    <row r="25" spans="1:13" s="915" customFormat="1" ht="15" customHeight="1">
      <c r="A25" s="926"/>
      <c r="B25" s="927" t="s">
        <v>241</v>
      </c>
      <c r="C25" s="928">
        <v>5487.9260734431728</v>
      </c>
      <c r="D25" s="928">
        <v>9358.6194223316816</v>
      </c>
      <c r="E25" s="928">
        <v>14846.494816834533</v>
      </c>
      <c r="F25" s="929">
        <v>6003.6107097827135</v>
      </c>
      <c r="G25" s="928">
        <v>13960.032754026735</v>
      </c>
      <c r="H25" s="928">
        <v>5110.1741471447785</v>
      </c>
      <c r="I25" s="928">
        <v>19070.236476899641</v>
      </c>
      <c r="J25" s="928">
        <v>-4223.7000000000007</v>
      </c>
      <c r="K25" s="2436">
        <v>0</v>
      </c>
      <c r="L25" s="1869">
        <v>0</v>
      </c>
    </row>
    <row r="26" spans="1:13" s="915" customFormat="1" ht="21" customHeight="1">
      <c r="A26" s="926">
        <v>2025</v>
      </c>
      <c r="B26" s="927" t="s">
        <v>242</v>
      </c>
      <c r="C26" s="928">
        <v>4504.1092771355325</v>
      </c>
      <c r="D26" s="928">
        <v>10113.116760051493</v>
      </c>
      <c r="E26" s="928">
        <v>14617.216609590561</v>
      </c>
      <c r="F26" s="929">
        <v>6439.1072428376774</v>
      </c>
      <c r="G26" s="928">
        <v>13708.213774160835</v>
      </c>
      <c r="H26" s="928">
        <v>5481.7294262044743</v>
      </c>
      <c r="I26" s="928">
        <v>19189.879467911684</v>
      </c>
      <c r="J26" s="928">
        <v>-4572.7000000000007</v>
      </c>
      <c r="K26" s="2436">
        <v>0</v>
      </c>
      <c r="L26" s="1869">
        <v>0</v>
      </c>
    </row>
    <row r="27" spans="1:13" s="915" customFormat="1" ht="15" customHeight="1">
      <c r="A27" s="926"/>
      <c r="B27" s="927" t="s">
        <v>243</v>
      </c>
      <c r="C27" s="928">
        <v>4830.499452097114</v>
      </c>
      <c r="D27" s="928">
        <v>10506.413783679953</v>
      </c>
      <c r="E27" s="928">
        <v>15336.864423943316</v>
      </c>
      <c r="F27" s="929">
        <v>6784.5517516065538</v>
      </c>
      <c r="G27" s="928">
        <v>16051.668485226455</v>
      </c>
      <c r="H27" s="928">
        <v>4469.3246386527098</v>
      </c>
      <c r="I27" s="928">
        <v>20521.005799603656</v>
      </c>
      <c r="J27" s="928">
        <v>-5184.1000000000004</v>
      </c>
      <c r="K27" s="2436">
        <v>0</v>
      </c>
      <c r="L27" s="1869">
        <v>0</v>
      </c>
    </row>
    <row r="28" spans="1:13" s="915" customFormat="1" ht="15" customHeight="1">
      <c r="A28" s="926"/>
      <c r="B28" s="927" t="s">
        <v>240</v>
      </c>
      <c r="C28" s="928">
        <f t="shared" ref="C28:J28" si="5">C35</f>
        <v>5267.0104131727585</v>
      </c>
      <c r="D28" s="928">
        <f t="shared" si="5"/>
        <v>10692.475938242085</v>
      </c>
      <c r="E28" s="928">
        <f t="shared" si="5"/>
        <v>15959.487446916028</v>
      </c>
      <c r="F28" s="929">
        <f t="shared" si="5"/>
        <v>6965.508282138092</v>
      </c>
      <c r="G28" s="928">
        <f t="shared" si="5"/>
        <v>15916.841140336403</v>
      </c>
      <c r="H28" s="928">
        <f t="shared" si="5"/>
        <v>5158.4331686617406</v>
      </c>
      <c r="I28" s="928">
        <f t="shared" si="5"/>
        <v>21075.22897491201</v>
      </c>
      <c r="J28" s="928">
        <f t="shared" si="5"/>
        <v>-5115.7000000000007</v>
      </c>
      <c r="K28" s="2436">
        <f>ROUND(E28,1)-ROUND(C28,1)-ROUND(D28,1)</f>
        <v>0</v>
      </c>
      <c r="L28" s="1869">
        <f>ROUND(I28,1)-ROUND(G28,1)-ROUND(H28,1)</f>
        <v>0</v>
      </c>
    </row>
    <row r="29" spans="1:13" s="915" customFormat="1" ht="15" customHeight="1">
      <c r="A29" s="926"/>
      <c r="B29" s="927" t="s">
        <v>241</v>
      </c>
      <c r="C29" s="928">
        <f t="shared" ref="C29:J29" si="6">C38</f>
        <v>4954.4010995929657</v>
      </c>
      <c r="D29" s="928">
        <f t="shared" si="6"/>
        <v>10857.536353737654</v>
      </c>
      <c r="E29" s="928">
        <f t="shared" si="6"/>
        <v>15811.918264778942</v>
      </c>
      <c r="F29" s="929">
        <f t="shared" si="6"/>
        <v>6346.5209432264301</v>
      </c>
      <c r="G29" s="928">
        <f t="shared" si="6"/>
        <v>15585.987518268223</v>
      </c>
      <c r="H29" s="928">
        <f t="shared" si="6"/>
        <v>6097.4283041901072</v>
      </c>
      <c r="I29" s="928">
        <f t="shared" si="6"/>
        <v>21683.439706634254</v>
      </c>
      <c r="J29" s="928">
        <f t="shared" si="6"/>
        <v>-5871.5000000000018</v>
      </c>
      <c r="K29" s="2436">
        <f>ROUND(E29,1)-ROUND(C29,1)-ROUND(D29,1)</f>
        <v>0</v>
      </c>
      <c r="L29" s="1869">
        <f>ROUND(I29,1)-ROUND(G29,1)-ROUND(H29,1)</f>
        <v>0</v>
      </c>
    </row>
    <row r="30" spans="1:13" s="915" customFormat="1" ht="21" customHeight="1">
      <c r="A30" s="1729">
        <v>2026</v>
      </c>
      <c r="B30" s="1730" t="s">
        <v>242</v>
      </c>
      <c r="C30" s="1731">
        <f t="shared" ref="C30:J30" si="7">C41</f>
        <v>4946.1408916177134</v>
      </c>
      <c r="D30" s="1731">
        <f t="shared" si="7"/>
        <v>11389.126742691549</v>
      </c>
      <c r="E30" s="1731">
        <f t="shared" si="7"/>
        <v>16335.199098380101</v>
      </c>
      <c r="F30" s="1732">
        <f t="shared" si="7"/>
        <v>6600.9931348665696</v>
      </c>
      <c r="G30" s="1731">
        <f t="shared" si="7"/>
        <v>16568.307082343334</v>
      </c>
      <c r="H30" s="1731">
        <f t="shared" si="7"/>
        <v>6271.8157318829544</v>
      </c>
      <c r="I30" s="1731">
        <f t="shared" si="7"/>
        <v>22840.137720907245</v>
      </c>
      <c r="J30" s="1731">
        <f t="shared" si="7"/>
        <v>-6504.8999999999978</v>
      </c>
      <c r="K30" s="2436">
        <f>ROUND(E30,1)-ROUND(C30,1)-ROUND(D30,1)</f>
        <v>0</v>
      </c>
      <c r="L30" s="1869">
        <f>ROUND(I30,1)-ROUND(G30,1)-ROUND(H30,1)</f>
        <v>0</v>
      </c>
    </row>
    <row r="31" spans="1:13" s="654" customFormat="1" ht="21" customHeight="1">
      <c r="A31" s="1985">
        <v>2025</v>
      </c>
      <c r="B31" s="1986" t="s">
        <v>427</v>
      </c>
      <c r="C31" s="1294">
        <v>4848.230494130119</v>
      </c>
      <c r="D31" s="1294">
        <v>10420.510344273025</v>
      </c>
      <c r="E31" s="1294">
        <v>15268.652679477085</v>
      </c>
      <c r="F31" s="1868">
        <v>6579.2075677094635</v>
      </c>
      <c r="G31" s="1294">
        <v>15306.084666865552</v>
      </c>
      <c r="H31" s="1294">
        <v>5119.8383967689542</v>
      </c>
      <c r="I31" s="1294">
        <v>20425.892499162794</v>
      </c>
      <c r="J31" s="1294">
        <v>-5157.2000000000007</v>
      </c>
      <c r="K31" s="1869">
        <v>0</v>
      </c>
      <c r="L31" s="1869">
        <v>0</v>
      </c>
      <c r="M31" s="2291"/>
    </row>
    <row r="32" spans="1:13" s="654" customFormat="1" ht="15" customHeight="1">
      <c r="A32" s="1985"/>
      <c r="B32" s="1986" t="s">
        <v>428</v>
      </c>
      <c r="C32" s="1294">
        <f>SUM('[5]3B'!$D$272:$J$272,'[5]3B'!$S$272:$Y$272)-SUM('[5]3B'!$D$186:$J$186,'[5]3B'!$S$186:$Y$186)</f>
        <v>4830.499452097114</v>
      </c>
      <c r="D32" s="1294">
        <f>SUM('[5]3B'!$K$272:$Q$272,'[5]3B'!$Z$272:$AF$272)-SUM('[5]3B'!$K$186:$Q$186,'[5]3B'!$Z$186:$AF$186)</f>
        <v>10506.413783679953</v>
      </c>
      <c r="E32" s="1294">
        <f>SUM('[5]1'!$E$98:$P$98)</f>
        <v>15336.864423943316</v>
      </c>
      <c r="F32" s="1868">
        <f>SUM('[5]1'!$E$84:$P$84)</f>
        <v>6784.5517516065538</v>
      </c>
      <c r="G32" s="1294">
        <f>SUM('[5]3A'!$D$272:$J$272,'[5]3A'!$S$272:$Y$272,'[5]3A'!$AI$272:$AO$272)-SUM('[5]3A'!$D$186:$J$186,'[5]3A'!$S$186:$Y$186,'[5]3A'!$AI$186:$AO$186)</f>
        <v>16051.668485226455</v>
      </c>
      <c r="H32" s="1294">
        <f>SUM('[5]3A'!$K$272:$Q$272,'[5]3A'!$Z$272:$AF$272,'[5]3A'!$AP$272:$AV$272)-SUM('[5]3A'!$K$186:$Q$186,'[5]3A'!$Z$186:$AF$186,'[5]3A'!$AP$186:$AV$186)</f>
        <v>4469.3246386527098</v>
      </c>
      <c r="I32" s="1294">
        <f>SUM('[5]1'!$E$38:$P$38)</f>
        <v>20521.005799603656</v>
      </c>
      <c r="J32" s="1294">
        <f t="shared" ref="J32" si="8">ROUND(E32,1)-ROUND(I32,1)</f>
        <v>-5184.1000000000004</v>
      </c>
      <c r="K32" s="1869">
        <f t="shared" ref="K32" si="9">ROUND(E32,1)-ROUND(C32,1)-ROUND(D32,1)</f>
        <v>0</v>
      </c>
      <c r="L32" s="1869">
        <f t="shared" ref="L32" si="10">ROUND(I32,1)-ROUND(G32,1)-ROUND(H32,1)</f>
        <v>0</v>
      </c>
      <c r="M32" s="2291"/>
    </row>
    <row r="33" spans="1:13" s="654" customFormat="1" ht="15" customHeight="1">
      <c r="A33" s="1985"/>
      <c r="B33" s="1986" t="s">
        <v>429</v>
      </c>
      <c r="C33" s="997">
        <f>SUM('[6]3B'!$D$272:$J$272,'[6]3B'!$S$272:$Y$272)-SUM('[6]3B'!$D$186:$J$186,'[6]3B'!$S$186:$Y$186)-0.05</f>
        <v>5000.6346386774649</v>
      </c>
      <c r="D33" s="1294">
        <f>SUM('[6]3B'!$K$272:$Q$272,'[6]3B'!$Z$272:$AF$272)-SUM('[6]3B'!$K$186:$Q$186,'[6]3B'!$Z$186:$AF$186)</f>
        <v>10587.995823277408</v>
      </c>
      <c r="E33" s="1294">
        <f>SUM('[6]1'!$E$98:$P$98)</f>
        <v>15588.617386193881</v>
      </c>
      <c r="F33" s="1868">
        <f>SUM('[6]1'!$E$84:$P$84)</f>
        <v>6784.5836816694919</v>
      </c>
      <c r="G33" s="1294">
        <f>SUM('[6]3A'!$D$272:$J$272,'[6]3A'!$S$272:$Y$272,'[6]3A'!$AI$272:$AO$272)-SUM('[6]3A'!$D$186:$J$186,'[6]3A'!$S$186:$Y$186,'[6]3A'!$AI$186:$AO$186)</f>
        <v>15903.730598464761</v>
      </c>
      <c r="H33" s="1294">
        <f>SUM('[6]3A'!$K$272:$Q$272,'[6]3A'!$Z$272:$AF$272,'[6]3A'!$AP$272:$AV$272)-SUM('[6]3A'!$K$186:$Q$186,'[6]3A'!$Z$186:$AF$186,'[6]3A'!$AP$186:$AV$186)</f>
        <v>4938.2109670891659</v>
      </c>
      <c r="I33" s="997">
        <f>SUM('[6]1'!$E$38:$P$38)-0.01</f>
        <v>20841.943666804782</v>
      </c>
      <c r="J33" s="1294">
        <f t="shared" ref="J33" si="11">ROUND(E33,1)-ROUND(I33,1)</f>
        <v>-5253.3000000000011</v>
      </c>
      <c r="K33" s="1869">
        <f t="shared" ref="K33" si="12">ROUND(E33,1)-ROUND(C33,1)-ROUND(D33,1)</f>
        <v>0</v>
      </c>
      <c r="L33" s="1869">
        <f t="shared" ref="L33" si="13">ROUND(I33,1)-ROUND(G33,1)-ROUND(H33,1)</f>
        <v>0</v>
      </c>
      <c r="M33" s="2291"/>
    </row>
    <row r="34" spans="1:13" s="654" customFormat="1" ht="15" customHeight="1">
      <c r="A34" s="1985"/>
      <c r="B34" s="1986" t="s">
        <v>430</v>
      </c>
      <c r="C34" s="997">
        <f>SUM('[7]3B'!$D$272:$J$272,'[7]3B'!$S$272:$Y$272)-SUM('[7]3B'!$D$186:$J$186,'[7]3B'!$S$186:$Y$186)-0.02</f>
        <v>5440.9352203382277</v>
      </c>
      <c r="D34" s="1294">
        <f>SUM('[7]3B'!$K$272:$Q$272,'[7]3B'!$Z$272:$AF$272)-SUM('[7]3B'!$K$186:$Q$186,'[7]3B'!$Z$186:$AF$186)</f>
        <v>10769.183902448549</v>
      </c>
      <c r="E34" s="1294">
        <f>SUM('[7]1'!$E$98:$P$98)</f>
        <v>16210.065705840276</v>
      </c>
      <c r="F34" s="1868">
        <f>SUM('[7]1'!$E$84:$P$84)</f>
        <v>6862.7351399999243</v>
      </c>
      <c r="G34" s="997">
        <f>SUM('[7]3A'!$D$272:$J$272,'[7]3A'!$S$272:$Y$272,'[7]3A'!$AI$272:$AO$272)-SUM('[7]3A'!$D$186:$J$186,'[7]3A'!$S$186:$Y$186,'[7]3A'!$AI$186:$AO$186)+0.01</f>
        <v>16148.855871202679</v>
      </c>
      <c r="H34" s="1294">
        <f>SUM('[7]3A'!$K$272:$Q$272,'[7]3A'!$Z$272:$AF$272,'[7]3A'!$AP$272:$AV$272)-SUM('[7]3A'!$K$186:$Q$186,'[7]3A'!$Z$186:$AF$186,'[7]3A'!$AP$186:$AV$186)</f>
        <v>5113.9868290960731</v>
      </c>
      <c r="I34" s="997">
        <f>SUM('[7]1'!$E$38:$P$38)-0.05</f>
        <v>21262.937433559287</v>
      </c>
      <c r="J34" s="1294">
        <f t="shared" ref="J34" si="14">ROUND(E34,1)-ROUND(I34,1)</f>
        <v>-5052.8000000000011</v>
      </c>
      <c r="K34" s="1869">
        <f t="shared" ref="K34" si="15">ROUND(E34,1)-ROUND(C34,1)-ROUND(D34,1)</f>
        <v>0</v>
      </c>
      <c r="L34" s="1869">
        <f t="shared" ref="L34" si="16">ROUND(I34,1)-ROUND(G34,1)-ROUND(H34,1)</f>
        <v>0</v>
      </c>
      <c r="M34" s="2291"/>
    </row>
    <row r="35" spans="1:13" s="654" customFormat="1" ht="15" customHeight="1">
      <c r="A35" s="1985"/>
      <c r="B35" s="1986" t="s">
        <v>431</v>
      </c>
      <c r="C35" s="1294">
        <f>SUM('[8]3B'!$D$272:$J$272,'[8]3B'!$S$272:$Y$272)-SUM('[8]3B'!$D$186:$J$186,'[8]3B'!$S$186:$Y$186)</f>
        <v>5267.0104131727585</v>
      </c>
      <c r="D35" s="1294">
        <f>SUM('[8]3B'!$K$272:$Q$272,'[8]3B'!$Z$272:$AF$272)-SUM('[8]3B'!$K$186:$Q$186,'[8]3B'!$Z$186:$AF$186)</f>
        <v>10692.475938242085</v>
      </c>
      <c r="E35" s="1294">
        <f>SUM('[8]1'!$E$98:$P$98)</f>
        <v>15959.487446916028</v>
      </c>
      <c r="F35" s="1868">
        <f>SUM('[8]1'!$E$84:$P$84)</f>
        <v>6965.508282138092</v>
      </c>
      <c r="G35" s="997">
        <f>SUM('[8]3A'!$D$272:$J$272,'[8]3A'!$S$272:$Y$272,'[8]3A'!$AI$272:$AO$272)-SUM('[8]3A'!$D$186:$J$186,'[8]3A'!$S$186:$Y$186,'[8]3A'!$AI$186:$AO$186)-0.01</f>
        <v>15916.841140336403</v>
      </c>
      <c r="H35" s="1294">
        <f>SUM('[8]3A'!$K$272:$Q$272,'[8]3A'!$Z$272:$AF$272,'[8]3A'!$AP$272:$AV$272)-SUM('[8]3A'!$K$186:$Q$186,'[8]3A'!$Z$186:$AF$186,'[8]3A'!$AP$186:$AV$186)</f>
        <v>5158.4331686617406</v>
      </c>
      <c r="I35" s="1294">
        <f>SUM('[8]1'!$E$38:$P$38)</f>
        <v>21075.22897491201</v>
      </c>
      <c r="J35" s="1294">
        <f t="shared" ref="J35" si="17">ROUND(E35,1)-ROUND(I35,1)</f>
        <v>-5115.7000000000007</v>
      </c>
      <c r="K35" s="1869">
        <f t="shared" ref="K35" si="18">ROUND(E35,1)-ROUND(C35,1)-ROUND(D35,1)</f>
        <v>0</v>
      </c>
      <c r="L35" s="1869">
        <f t="shared" ref="L35" si="19">ROUND(I35,1)-ROUND(G35,1)-ROUND(H35,1)</f>
        <v>0</v>
      </c>
      <c r="M35" s="2291"/>
    </row>
    <row r="36" spans="1:13" s="654" customFormat="1" ht="15" customHeight="1">
      <c r="A36" s="1985"/>
      <c r="B36" s="1986" t="s">
        <v>420</v>
      </c>
      <c r="C36" s="1294">
        <f>SUM('[9]3B'!$D$272:$J$272,'[9]3B'!$S$272:$Y$272)-SUM('[9]3B'!$D$186:$J$186,'[9]3B'!$S$186:$Y$186)</f>
        <v>4919.0056045653473</v>
      </c>
      <c r="D36" s="1294">
        <f>SUM('[9]3B'!$K$272:$Q$272,'[9]3B'!$Z$272:$AF$272)-SUM('[9]3B'!$K$186:$Q$186,'[9]3B'!$Z$186:$AF$186)</f>
        <v>10758.255003074741</v>
      </c>
      <c r="E36" s="1294">
        <f>SUM('[9]1'!$E$98:$P$98)</f>
        <v>15677.273757909072</v>
      </c>
      <c r="F36" s="1868">
        <f>SUM('[9]1'!$E$84:$P$84)</f>
        <v>6343.3166108797741</v>
      </c>
      <c r="G36" s="1294">
        <f>SUM('[9]3A'!$D$272:$J$272,'[9]3A'!$S$272:$Y$272,'[9]3A'!$AI$272:$AO$272)-SUM('[9]3A'!$D$186:$J$186,'[9]3A'!$S$186:$Y$186,'[9]3A'!$AI$186:$AO$186)</f>
        <v>15668.264510499394</v>
      </c>
      <c r="H36" s="997">
        <f>SUM('[9]3A'!$K$272:$Q$272,'[9]3A'!$Z$272:$AF$272,'[9]3A'!$AP$272:$AV$272)-SUM('[9]3A'!$K$186:$Q$186,'[9]3A'!$Z$186:$AF$186,'[9]3A'!$AP$186:$AV$186)-0.05</f>
        <v>5833.7371570795576</v>
      </c>
      <c r="I36" s="1294">
        <f>SUM('[9]1'!$E$38:$P$38)</f>
        <v>21501.998173392392</v>
      </c>
      <c r="J36" s="1294">
        <f t="shared" ref="J36" si="20">ROUND(E36,1)-ROUND(I36,1)</f>
        <v>-5824.7000000000007</v>
      </c>
      <c r="K36" s="1869">
        <f t="shared" ref="K36" si="21">ROUND(E36,1)-ROUND(C36,1)-ROUND(D36,1)</f>
        <v>0</v>
      </c>
      <c r="L36" s="1869">
        <f t="shared" ref="L36" si="22">ROUND(I36,1)-ROUND(G36,1)-ROUND(H36,1)</f>
        <v>0</v>
      </c>
      <c r="M36" s="2291"/>
    </row>
    <row r="37" spans="1:13" s="654" customFormat="1" ht="15" customHeight="1">
      <c r="A37" s="1985"/>
      <c r="B37" s="1986" t="s">
        <v>421</v>
      </c>
      <c r="C37" s="1294">
        <f>SUM('[10]3B'!$D$272:$J$272,'[10]3B'!$S$272:$Y$272)-SUM('[10]3B'!$D$186:$J$186,'[10]3B'!$S$186:$Y$186)</f>
        <v>4977.5102978897867</v>
      </c>
      <c r="D37" s="1294">
        <f>SUM('[10]3B'!$K$272:$Q$272,'[10]3B'!$Z$272:$AF$272)-SUM('[10]3B'!$K$186:$Q$186,'[10]3B'!$Z$186:$AF$186)</f>
        <v>10738.678245878946</v>
      </c>
      <c r="E37" s="1294">
        <f>SUM('[10]1'!$E$98:$P$98)</f>
        <v>15716.22946449363</v>
      </c>
      <c r="F37" s="1868">
        <f>SUM('[10]1'!$E$84:$P$84)</f>
        <v>6345.2080726496151</v>
      </c>
      <c r="G37" s="1294">
        <f>SUM('[10]3A'!$D$272:$J$272,'[10]3A'!$S$272:$Y$272,'[10]3A'!$AI$272:$AO$272)-SUM('[10]3A'!$D$186:$J$186,'[10]3A'!$S$186:$Y$186,'[10]3A'!$AI$186:$AO$186)</f>
        <v>15455.04157318057</v>
      </c>
      <c r="H37" s="1294">
        <f>SUM('[10]3A'!$K$272:$Q$272,'[10]3A'!$Z$272:$AF$272,'[10]3A'!$AP$272:$AV$272)-SUM('[10]3A'!$K$186:$Q$186,'[10]3A'!$Z$186:$AF$186,'[10]3A'!$AP$186:$AV$186)</f>
        <v>5982.136908110926</v>
      </c>
      <c r="I37" s="1294">
        <f>SUM('[10]1'!$E$38:$P$38)</f>
        <v>21437.143699120588</v>
      </c>
      <c r="J37" s="1294">
        <f t="shared" ref="J37" si="23">ROUND(E37,1)-ROUND(I37,1)</f>
        <v>-5720.8999999999978</v>
      </c>
      <c r="K37" s="1869">
        <f t="shared" ref="K37" si="24">ROUND(E37,1)-ROUND(C37,1)-ROUND(D37,1)</f>
        <v>0</v>
      </c>
      <c r="L37" s="1869">
        <f t="shared" ref="L37" si="25">ROUND(I37,1)-ROUND(G37,1)-ROUND(H37,1)</f>
        <v>0</v>
      </c>
      <c r="M37" s="2291"/>
    </row>
    <row r="38" spans="1:13" s="654" customFormat="1" ht="15" customHeight="1">
      <c r="A38" s="1985"/>
      <c r="B38" s="1986" t="s">
        <v>422</v>
      </c>
      <c r="C38" s="1294">
        <f>SUM('[11]3B'!$D$272:$J$272,'[11]3B'!$S$272:$Y$272)-SUM('[11]3B'!$D$186:$J$186,'[11]3B'!$S$186:$Y$186)</f>
        <v>4954.4010995929657</v>
      </c>
      <c r="D38" s="997">
        <f>SUM('[11]3B'!$K$272:$Q$272,'[11]3B'!$Z$272:$AF$272)-SUM('[11]3B'!$K$186:$Q$186,'[11]3B'!$Z$186:$AF$186)-0.02</f>
        <v>10857.536353737654</v>
      </c>
      <c r="E38" s="1294">
        <f>SUM('[11]1'!$E$98:$P$98)</f>
        <v>15811.918264778942</v>
      </c>
      <c r="F38" s="1868">
        <f>SUM('[11]1'!$E$84:$P$84)</f>
        <v>6346.5209432264301</v>
      </c>
      <c r="G38" s="1294">
        <f>SUM('[11]3A'!$D$272:$J$272,'[11]3A'!$S$272:$Y$272,'[11]3A'!$AI$272:$AO$272)-SUM('[11]3A'!$D$186:$J$186,'[11]3A'!$S$186:$Y$186,'[11]3A'!$AI$186:$AO$186)</f>
        <v>15585.987518268223</v>
      </c>
      <c r="H38" s="1294">
        <f>SUM('[11]3A'!$K$272:$Q$272,'[11]3A'!$Z$272:$AF$272,'[11]3A'!$AP$272:$AV$272)-SUM('[11]3A'!$K$186:$Q$186,'[11]3A'!$Z$186:$AF$186,'[11]3A'!$AP$186:$AV$186)</f>
        <v>6097.4283041901072</v>
      </c>
      <c r="I38" s="997">
        <f>SUM('[11]1'!$E$38:$P$38)-0.02</f>
        <v>21683.439706634254</v>
      </c>
      <c r="J38" s="1294">
        <f t="shared" ref="J38" si="26">ROUND(E38,1)-ROUND(I38,1)</f>
        <v>-5871.5000000000018</v>
      </c>
      <c r="K38" s="1869">
        <f t="shared" ref="K38" si="27">ROUND(E38,1)-ROUND(C38,1)-ROUND(D38,1)</f>
        <v>0</v>
      </c>
      <c r="L38" s="1869">
        <f t="shared" ref="L38" si="28">ROUND(I38,1)-ROUND(G38,1)-ROUND(H38,1)</f>
        <v>0</v>
      </c>
      <c r="M38" s="2291"/>
    </row>
    <row r="39" spans="1:13" s="654" customFormat="1" ht="21" customHeight="1">
      <c r="A39" s="1985">
        <v>2026</v>
      </c>
      <c r="B39" s="1986" t="s">
        <v>423</v>
      </c>
      <c r="C39" s="1294">
        <f>SUM('[12]3B'!$D$272:$J$272,'[12]3B'!$S$272:$Y$272)-SUM('[12]3B'!$D$186:$J$186,'[12]3B'!$S$186:$Y$186)</f>
        <v>5036.2191263555706</v>
      </c>
      <c r="D39" s="1294">
        <f>SUM('[12]3B'!$K$272:$Q$272,'[12]3B'!$Z$272:$AF$272)-SUM('[12]3B'!$K$186:$Q$186,'[12]3B'!$Z$186:$AF$186)</f>
        <v>10988.701748680181</v>
      </c>
      <c r="E39" s="1294">
        <f>SUM('[12]1'!$E$98:$P$98)</f>
        <v>16024.903032997125</v>
      </c>
      <c r="F39" s="1868">
        <f>SUM('[12]1'!$E$84:$P$84)</f>
        <v>6441.1011905568275</v>
      </c>
      <c r="G39" s="997">
        <f>SUM('[12]3A'!$D$272:$J$272,'[12]3A'!$S$272:$Y$272,'[12]3A'!$AI$272:$AO$272)-SUM('[12]3A'!$D$186:$J$186,'[12]3A'!$S$186:$Y$186,'[12]3A'!$AI$186:$AO$186)-0.05</f>
        <v>15091.849702173784</v>
      </c>
      <c r="H39" s="997">
        <f>SUM('[12]3A'!$K$272:$Q$272,'[12]3A'!$Z$272:$AF$272,'[12]3A'!$AP$272:$AV$272)-SUM('[12]3A'!$K$186:$Q$186,'[12]3A'!$Z$186:$AF$186,'[12]3A'!$AP$186:$AV$186)-0.05</f>
        <v>6624.8746898634809</v>
      </c>
      <c r="I39" s="1294">
        <f>SUM('[12]1'!$E$38:$P$38)</f>
        <v>21716.744861516854</v>
      </c>
      <c r="J39" s="1294">
        <f t="shared" ref="J39" si="29">ROUND(E39,1)-ROUND(I39,1)</f>
        <v>-5691.8000000000011</v>
      </c>
      <c r="K39" s="1869">
        <f t="shared" ref="K39" si="30">ROUND(E39,1)-ROUND(C39,1)-ROUND(D39,1)</f>
        <v>0</v>
      </c>
      <c r="L39" s="1869">
        <f t="shared" ref="L39" si="31">ROUND(I39,1)-ROUND(G39,1)-ROUND(H39,1)</f>
        <v>0</v>
      </c>
      <c r="M39" s="2291"/>
    </row>
    <row r="40" spans="1:13" s="654" customFormat="1" ht="15" customHeight="1">
      <c r="A40" s="1985"/>
      <c r="B40" s="1986" t="s">
        <v>424</v>
      </c>
      <c r="C40" s="1294">
        <f>SUM('[13]3B'!$D$272:$J$272,'[13]3B'!$S$272:$Y$272)-SUM('[13]3B'!$D$186:$J$186,'[13]3B'!$S$186:$Y$186)</f>
        <v>5230.4327357467409</v>
      </c>
      <c r="D40" s="1294">
        <f>SUM('[13]3B'!$K$272:$Q$272,'[13]3B'!$Z$272:$AF$272)-SUM('[13]3B'!$K$186:$Q$186,'[13]3B'!$Z$186:$AF$186)</f>
        <v>11451.723314148607</v>
      </c>
      <c r="E40" s="1294">
        <f>SUM('[13]1'!$E$98:$P$98)</f>
        <v>16682.057821675338</v>
      </c>
      <c r="F40" s="1868">
        <f>SUM('[13]1'!$E$84:$P$84)</f>
        <v>6896.4597419590709</v>
      </c>
      <c r="G40" s="1294">
        <f>SUM('[13]3A'!$D$272:$J$272,'[13]3A'!$S$272:$Y$272,'[13]3A'!$AI$272:$AO$272)-SUM('[13]3A'!$D$186:$J$186,'[13]3A'!$S$186:$Y$186,'[13]3A'!$AI$186:$AO$186)</f>
        <v>15853.07675967648</v>
      </c>
      <c r="H40" s="997">
        <f>SUM('[13]3A'!$K$272:$Q$272,'[13]3A'!$Z$272:$AF$272,'[13]3A'!$AP$272:$AV$272)-SUM('[13]3A'!$K$186:$Q$186,'[13]3A'!$Z$186:$AF$186,'[13]3A'!$AP$186:$AV$186)-0.03</f>
        <v>6415.1445370557913</v>
      </c>
      <c r="I40" s="1294">
        <f>SUM('[13]1'!$E$38:$P$38)</f>
        <v>22268.194742652988</v>
      </c>
      <c r="J40" s="1294">
        <f t="shared" ref="J40" si="32">ROUND(E40,1)-ROUND(I40,1)</f>
        <v>-5586.1000000000022</v>
      </c>
      <c r="K40" s="1869">
        <f t="shared" ref="K40" si="33">ROUND(E40,1)-ROUND(C40,1)-ROUND(D40,1)</f>
        <v>0</v>
      </c>
      <c r="L40" s="1869">
        <f t="shared" ref="L40" si="34">ROUND(I40,1)-ROUND(G40,1)-ROUND(H40,1)</f>
        <v>0</v>
      </c>
      <c r="M40" s="2291"/>
    </row>
    <row r="41" spans="1:13" s="654" customFormat="1" ht="15" customHeight="1">
      <c r="A41" s="1985"/>
      <c r="B41" s="1986" t="s">
        <v>425</v>
      </c>
      <c r="C41" s="997">
        <f>SUM('[14]3B'!$D$272:$J$272,'[14]3B'!$S$272:$Y$272)-SUM('[14]3B'!$D$186:$J$186,'[14]3B'!$S$186:$Y$186)-0.1</f>
        <v>4946.1408916177134</v>
      </c>
      <c r="D41" s="997">
        <f>SUM('[14]3B'!$K$272:$Q$272,'[14]3B'!$Z$272:$AF$272)-SUM('[14]3B'!$K$186:$Q$186,'[14]3B'!$Z$186:$AF$186)-0.1</f>
        <v>11389.126742691549</v>
      </c>
      <c r="E41" s="1294">
        <f>SUM('[14]1'!$E$98:$P$98)</f>
        <v>16335.199098380101</v>
      </c>
      <c r="F41" s="1868">
        <f>SUM('[14]1'!$E$84:$P$84)</f>
        <v>6600.9931348665696</v>
      </c>
      <c r="G41" s="1294">
        <f>SUM('[14]3A'!$D$272:$J$272,'[14]3A'!$S$272:$Y$272,'[14]3A'!$AI$272:$AO$272)-SUM('[14]3A'!$D$186:$J$186,'[14]3A'!$S$186:$Y$186,'[14]3A'!$AI$186:$AO$186)</f>
        <v>16568.307082343334</v>
      </c>
      <c r="H41" s="1294">
        <f>SUM('[14]3A'!$K$272:$Q$272,'[14]3A'!$Z$272:$AF$272,'[14]3A'!$AP$272:$AV$272)-SUM('[14]3A'!$K$186:$Q$186,'[14]3A'!$Z$186:$AF$186,'[14]3A'!$AP$186:$AV$186)</f>
        <v>6271.8157318829544</v>
      </c>
      <c r="I41" s="997">
        <f>SUM('[14]1'!$E$38:$P$38)-0.05</f>
        <v>22840.137720907245</v>
      </c>
      <c r="J41" s="1294">
        <f t="shared" ref="J41" si="35">ROUND(E41,1)-ROUND(I41,1)</f>
        <v>-6504.8999999999978</v>
      </c>
      <c r="K41" s="1869">
        <f t="shared" ref="K41" si="36">ROUND(E41,1)-ROUND(C41,1)-ROUND(D41,1)</f>
        <v>0</v>
      </c>
      <c r="L41" s="1869">
        <f t="shared" ref="L41" si="37">ROUND(I41,1)-ROUND(G41,1)-ROUND(H41,1)</f>
        <v>0</v>
      </c>
      <c r="M41" s="2291"/>
    </row>
    <row r="42" spans="1:13" s="654" customFormat="1" ht="15" customHeight="1">
      <c r="A42" s="1985"/>
      <c r="B42" s="1986" t="s">
        <v>426</v>
      </c>
      <c r="C42" s="1294">
        <f>SUM('[15]3B'!$D$272:$J$272,'[15]3B'!$S$272:$Y$272)-SUM('[15]3B'!$D$186:$J$186,'[15]3B'!$S$186:$Y$186)</f>
        <v>5402.2591060651976</v>
      </c>
      <c r="D42" s="1294">
        <f>SUM('[15]3B'!$K$272:$Q$272,'[15]3B'!$Z$272:$AF$272)-SUM('[15]3B'!$K$186:$Q$186,'[15]3B'!$Z$186:$AF$186)</f>
        <v>11515.109020497945</v>
      </c>
      <c r="E42" s="1294">
        <f>SUM('[15]1'!$E$98:$P$98)</f>
        <v>16917.431469528528</v>
      </c>
      <c r="F42" s="1868">
        <f>SUM('[15]1'!$E$84:$P$84)</f>
        <v>6605.4512342417474</v>
      </c>
      <c r="G42" s="997">
        <f>SUM('[15]3A'!$D$272:$J$272,'[15]3A'!$S$272:$Y$272,'[15]3A'!$AI$272:$AO$272)-SUM('[15]3A'!$D$186:$J$186,'[15]3A'!$S$186:$Y$186,'[15]3A'!$AI$186:$AO$186)-0.03</f>
        <v>16409.645388138964</v>
      </c>
      <c r="H42" s="997">
        <f>SUM('[15]3A'!$K$272:$Q$272,'[15]3A'!$Z$272:$AF$272,'[15]3A'!$AP$272:$AV$272)-SUM('[15]3A'!$K$186:$Q$186,'[15]3A'!$Z$186:$AF$186,'[15]3A'!$AP$186:$AV$186)-0.06</f>
        <v>6079.0435580869935</v>
      </c>
      <c r="I42" s="997">
        <f>SUM('[15]1'!$E$38:$P$38)-0.06</f>
        <v>22488.64558065496</v>
      </c>
      <c r="J42" s="1294">
        <f t="shared" ref="J42" si="38">ROUND(E42,1)-ROUND(I42,1)</f>
        <v>-5571.1999999999971</v>
      </c>
      <c r="K42" s="1869">
        <f t="shared" ref="K42" si="39">ROUND(E42,1)-ROUND(C42,1)-ROUND(D42,1)</f>
        <v>0</v>
      </c>
      <c r="L42" s="1869">
        <f t="shared" ref="L42" si="40">ROUND(I42,1)-ROUND(G42,1)-ROUND(H42,1)</f>
        <v>0</v>
      </c>
      <c r="M42" s="2291"/>
    </row>
    <row r="43" spans="1:13" s="654" customFormat="1" ht="15" customHeight="1">
      <c r="A43" s="1985"/>
      <c r="B43" s="1986" t="s">
        <v>427</v>
      </c>
      <c r="C43" s="1294">
        <f>SUM('[16]3B'!$D$272:$J$272,'[16]3B'!$S$272:$Y$272)-SUM('[16]3B'!$D$186:$J$186,'[16]3B'!$S$186:$Y$186)</f>
        <v>5371.3810213927391</v>
      </c>
      <c r="D43" s="1294">
        <f>SUM('[16]3B'!$K$272:$Q$272,'[16]3B'!$Z$272:$AF$272)-SUM('[16]3B'!$K$186:$Q$186,'[16]3B'!$Z$186:$AF$186)</f>
        <v>11536.558942671236</v>
      </c>
      <c r="E43" s="1294">
        <f>SUM('[16]1'!$E$98:$P$98)</f>
        <v>16907.956996278888</v>
      </c>
      <c r="F43" s="1868">
        <f>SUM('[16]1'!$E$84:$P$84)</f>
        <v>6422.1007748333541</v>
      </c>
      <c r="G43" s="1294">
        <f>SUM('[16]3A'!$D$272:$J$272,'[16]3A'!$S$272:$Y$272,'[16]3A'!$AI$272:$AO$272)-SUM('[16]3A'!$D$186:$J$186,'[16]3A'!$S$186:$Y$186,'[16]3A'!$AI$186:$AO$186)</f>
        <v>15991.516316583371</v>
      </c>
      <c r="H43" s="1294">
        <f>SUM('[16]3A'!$K$272:$Q$272,'[16]3A'!$Z$272:$AF$272,'[16]3A'!$AP$272:$AV$272)-SUM('[16]3A'!$K$186:$Q$186,'[16]3A'!$Z$186:$AF$186,'[16]3A'!$AP$186:$AV$186)</f>
        <v>6211.9893948547651</v>
      </c>
      <c r="I43" s="1294">
        <f>SUM('[16]1'!$E$38:$P$38)</f>
        <v>22203.462498612153</v>
      </c>
      <c r="J43" s="1294">
        <f t="shared" ref="J43" si="41">ROUND(E43,1)-ROUND(I43,1)</f>
        <v>-5295.5</v>
      </c>
      <c r="K43" s="1869">
        <f t="shared" ref="K43" si="42">ROUND(E43,1)-ROUND(C43,1)-ROUND(D43,1)</f>
        <v>0</v>
      </c>
      <c r="L43" s="1869">
        <f t="shared" ref="L43" si="43">ROUND(I43,1)-ROUND(G43,1)-ROUND(H43,1)</f>
        <v>0</v>
      </c>
      <c r="M43" s="2291"/>
    </row>
    <row r="44" spans="1:13" s="485" customFormat="1" ht="21.25" customHeight="1">
      <c r="A44" s="322"/>
      <c r="B44" s="509"/>
      <c r="C44" s="509"/>
      <c r="D44" s="509"/>
      <c r="E44" s="509"/>
      <c r="F44" s="509"/>
      <c r="G44" s="509"/>
      <c r="H44" s="509"/>
      <c r="I44" s="510"/>
      <c r="J44" s="511"/>
    </row>
    <row r="45" spans="1:13" ht="14">
      <c r="A45" s="624"/>
      <c r="B45" s="483"/>
      <c r="C45" s="483"/>
      <c r="D45" s="483"/>
      <c r="E45" s="483"/>
      <c r="F45" s="483"/>
      <c r="G45" s="483"/>
      <c r="J45" s="512"/>
    </row>
    <row r="46" spans="1:13">
      <c r="G46" s="513"/>
    </row>
    <row r="47" spans="1:13">
      <c r="A47" s="615" t="s">
        <v>859</v>
      </c>
      <c r="B47" s="269"/>
      <c r="C47" s="269"/>
      <c r="D47" s="269"/>
      <c r="E47" s="269"/>
      <c r="F47" s="269"/>
      <c r="G47" s="269"/>
      <c r="H47" s="269"/>
      <c r="I47" s="269"/>
      <c r="J47" s="269"/>
    </row>
    <row r="48" spans="1:13">
      <c r="C48" s="1473"/>
      <c r="D48" s="1473"/>
      <c r="E48" s="1473"/>
      <c r="F48" s="1473"/>
      <c r="G48" s="1473"/>
      <c r="H48" s="1473"/>
      <c r="I48" s="1473"/>
      <c r="J48" s="1473"/>
    </row>
    <row r="49" spans="1:10">
      <c r="C49" s="1473"/>
      <c r="D49" s="1473"/>
      <c r="E49" s="1473"/>
      <c r="F49" s="1473"/>
      <c r="G49" s="1473"/>
      <c r="H49" s="1473"/>
      <c r="I49" s="1473"/>
      <c r="J49" s="1473"/>
    </row>
    <row r="51" spans="1:10">
      <c r="C51" s="269"/>
    </row>
    <row r="53" spans="1:10">
      <c r="A53" s="616"/>
    </row>
    <row r="54" spans="1:10">
      <c r="C54" s="617"/>
    </row>
  </sheetData>
  <phoneticPr fontId="0" type="noConversion"/>
  <printOptions horizontalCentered="1" verticalCentered="1"/>
  <pageMargins left="0" right="0" top="0" bottom="0" header="0.511811023622047" footer="0.511811023622047"/>
  <pageSetup paperSize="9" scale="8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dimension ref="A1:I56"/>
  <sheetViews>
    <sheetView showGridLines="0" topLeftCell="A42" zoomScale="70" zoomScaleNormal="70" workbookViewId="0">
      <selection activeCell="B9" sqref="B9"/>
    </sheetView>
  </sheetViews>
  <sheetFormatPr defaultColWidth="12.453125" defaultRowHeight="15.5"/>
  <cols>
    <col min="1" max="1" width="34.453125" style="1959" customWidth="1"/>
    <col min="2" max="2" width="18.26953125" style="1967" customWidth="1"/>
    <col min="3" max="3" width="17.453125" style="1967" customWidth="1"/>
    <col min="4" max="4" width="62.453125" style="1968" customWidth="1"/>
    <col min="5" max="5" width="16.26953125" style="1954" bestFit="1" customWidth="1"/>
    <col min="6" max="7" width="12.453125" style="1954"/>
    <col min="8" max="8" width="25.26953125" style="1954" customWidth="1"/>
    <col min="9" max="16384" width="12.453125" style="1954"/>
  </cols>
  <sheetData>
    <row r="1" spans="1:8" ht="18">
      <c r="A1" s="2594" t="s">
        <v>119</v>
      </c>
      <c r="B1" s="2594"/>
      <c r="C1" s="2594"/>
      <c r="D1" s="2594"/>
      <c r="E1" s="2594"/>
      <c r="F1" s="2594"/>
      <c r="G1" s="2594"/>
      <c r="H1" s="2594"/>
    </row>
    <row r="2" spans="1:8" ht="24" customHeight="1">
      <c r="A2" s="2595" t="s">
        <v>120</v>
      </c>
      <c r="B2" s="2596"/>
      <c r="C2" s="2596"/>
      <c r="D2" s="2596"/>
      <c r="E2" s="2596"/>
      <c r="F2" s="2596"/>
      <c r="G2" s="2596"/>
      <c r="H2" s="2597"/>
    </row>
    <row r="3" spans="1:8" ht="27" customHeight="1">
      <c r="A3" s="2575" t="s">
        <v>121</v>
      </c>
      <c r="B3" s="2575"/>
      <c r="C3" s="2575"/>
      <c r="D3" s="2575"/>
      <c r="E3" s="2575"/>
      <c r="F3" s="2575"/>
      <c r="G3" s="2575"/>
      <c r="H3" s="2575"/>
    </row>
    <row r="4" spans="1:8" ht="42" customHeight="1">
      <c r="A4" s="1955" t="s">
        <v>122</v>
      </c>
      <c r="B4" s="2571" t="s">
        <v>123</v>
      </c>
      <c r="C4" s="2571"/>
      <c r="D4" s="2571"/>
      <c r="E4" s="2571"/>
      <c r="F4" s="2571"/>
      <c r="G4" s="2571"/>
      <c r="H4" s="2571"/>
    </row>
    <row r="5" spans="1:8" ht="45" customHeight="1">
      <c r="A5" s="1965" t="s">
        <v>124</v>
      </c>
      <c r="B5" s="2571" t="s">
        <v>125</v>
      </c>
      <c r="C5" s="2571"/>
      <c r="D5" s="2571"/>
      <c r="E5" s="2571"/>
      <c r="F5" s="2571"/>
      <c r="G5" s="2571"/>
      <c r="H5" s="2571"/>
    </row>
    <row r="6" spans="1:8" ht="33" customHeight="1">
      <c r="A6" s="1955" t="s">
        <v>126</v>
      </c>
      <c r="B6" s="2579" t="s">
        <v>127</v>
      </c>
      <c r="C6" s="2579"/>
      <c r="D6" s="2579"/>
      <c r="E6" s="2579"/>
      <c r="F6" s="2579"/>
      <c r="G6" s="2579"/>
      <c r="H6" s="2579"/>
    </row>
    <row r="7" spans="1:8" ht="42.75" customHeight="1">
      <c r="A7" s="1955" t="s">
        <v>128</v>
      </c>
      <c r="B7" s="2579" t="s">
        <v>129</v>
      </c>
      <c r="C7" s="2579"/>
      <c r="D7" s="2579"/>
      <c r="E7" s="2579"/>
      <c r="F7" s="2579"/>
      <c r="G7" s="2579"/>
      <c r="H7" s="2579"/>
    </row>
    <row r="8" spans="1:8" ht="58.4" customHeight="1">
      <c r="A8" s="1955" t="s">
        <v>130</v>
      </c>
      <c r="B8" s="2590" t="s">
        <v>131</v>
      </c>
      <c r="C8" s="2591"/>
      <c r="D8" s="2591"/>
      <c r="E8" s="2591"/>
      <c r="F8" s="2591"/>
      <c r="G8" s="2591"/>
      <c r="H8" s="2592"/>
    </row>
    <row r="9" spans="1:8" ht="21.75" customHeight="1">
      <c r="A9" s="1955" t="s">
        <v>132</v>
      </c>
      <c r="B9" s="2579" t="s">
        <v>133</v>
      </c>
      <c r="C9" s="2579"/>
      <c r="D9" s="2579"/>
      <c r="E9" s="2579"/>
      <c r="F9" s="2579"/>
      <c r="G9" s="2579"/>
      <c r="H9" s="2579"/>
    </row>
    <row r="10" spans="1:8" ht="165" customHeight="1">
      <c r="A10" s="1955" t="s">
        <v>134</v>
      </c>
      <c r="B10" s="2590" t="s">
        <v>135</v>
      </c>
      <c r="C10" s="2591"/>
      <c r="D10" s="2591"/>
      <c r="E10" s="2591"/>
      <c r="F10" s="2591"/>
      <c r="G10" s="2591"/>
      <c r="H10" s="2592"/>
    </row>
    <row r="11" spans="1:8" ht="51.75" customHeight="1">
      <c r="A11" s="1955" t="s">
        <v>136</v>
      </c>
      <c r="B11" s="2579" t="s">
        <v>137</v>
      </c>
      <c r="C11" s="2579"/>
      <c r="D11" s="2579"/>
      <c r="E11" s="2579"/>
      <c r="F11" s="2579"/>
      <c r="G11" s="2579"/>
      <c r="H11" s="2579"/>
    </row>
    <row r="12" spans="1:8" ht="27.65" customHeight="1">
      <c r="A12" s="1955" t="s">
        <v>138</v>
      </c>
      <c r="B12" s="2579" t="s">
        <v>139</v>
      </c>
      <c r="C12" s="2579"/>
      <c r="D12" s="2579"/>
      <c r="E12" s="2579"/>
      <c r="F12" s="2579"/>
      <c r="G12" s="2579"/>
      <c r="H12" s="2579"/>
    </row>
    <row r="13" spans="1:8" ht="34.5" customHeight="1">
      <c r="A13" s="2593" t="s">
        <v>140</v>
      </c>
      <c r="B13" s="2593"/>
      <c r="C13" s="2593"/>
      <c r="D13" s="2593"/>
      <c r="E13" s="2593"/>
      <c r="F13" s="2593"/>
      <c r="G13" s="2593"/>
      <c r="H13" s="2593"/>
    </row>
    <row r="14" spans="1:8" ht="24.75" customHeight="1">
      <c r="A14" s="2587" t="s">
        <v>141</v>
      </c>
      <c r="B14" s="2587"/>
      <c r="C14" s="2587"/>
      <c r="D14" s="2587"/>
      <c r="E14" s="2587"/>
      <c r="F14" s="2587"/>
      <c r="G14" s="2587"/>
      <c r="H14" s="2587"/>
    </row>
    <row r="15" spans="1:8" ht="20.5" customHeight="1">
      <c r="A15" s="1992" t="s">
        <v>142</v>
      </c>
      <c r="B15" s="2574" t="s">
        <v>143</v>
      </c>
      <c r="C15" s="2574"/>
      <c r="D15" s="2574"/>
      <c r="E15" s="1992" t="s">
        <v>144</v>
      </c>
      <c r="F15" s="1992" t="s">
        <v>145</v>
      </c>
      <c r="G15" s="1992" t="s">
        <v>8</v>
      </c>
      <c r="H15" s="1992" t="s">
        <v>146</v>
      </c>
    </row>
    <row r="16" spans="1:8" ht="130.5" customHeight="1">
      <c r="A16" s="1956" t="s">
        <v>10</v>
      </c>
      <c r="B16" s="2582" t="s">
        <v>147</v>
      </c>
      <c r="C16" s="2582"/>
      <c r="D16" s="2582"/>
      <c r="E16" s="1957" t="s">
        <v>148</v>
      </c>
      <c r="F16" s="1957">
        <v>3</v>
      </c>
      <c r="G16" s="1957" t="s">
        <v>149</v>
      </c>
      <c r="H16" s="1957" t="s">
        <v>150</v>
      </c>
    </row>
    <row r="17" spans="1:9" ht="57.75" customHeight="1">
      <c r="A17" s="1956" t="s">
        <v>12</v>
      </c>
      <c r="B17" s="2588" t="s">
        <v>151</v>
      </c>
      <c r="C17" s="2588"/>
      <c r="D17" s="2588"/>
      <c r="E17" s="1957" t="s">
        <v>148</v>
      </c>
      <c r="F17" s="1957">
        <v>4</v>
      </c>
      <c r="G17" s="1957" t="s">
        <v>149</v>
      </c>
      <c r="H17" s="1957" t="s">
        <v>150</v>
      </c>
    </row>
    <row r="18" spans="1:9" ht="44.25" customHeight="1">
      <c r="A18" s="1956" t="s">
        <v>152</v>
      </c>
      <c r="B18" s="2588" t="s">
        <v>153</v>
      </c>
      <c r="C18" s="2588"/>
      <c r="D18" s="2588"/>
      <c r="E18" s="1957" t="s">
        <v>148</v>
      </c>
      <c r="F18" s="1958" t="s">
        <v>154</v>
      </c>
      <c r="G18" s="1957" t="s">
        <v>155</v>
      </c>
      <c r="H18" s="1957" t="s">
        <v>156</v>
      </c>
      <c r="I18" s="1959"/>
    </row>
    <row r="19" spans="1:9" ht="44.25" customHeight="1">
      <c r="A19" s="1956" t="s">
        <v>157</v>
      </c>
      <c r="B19" s="2588" t="s">
        <v>158</v>
      </c>
      <c r="C19" s="2588"/>
      <c r="D19" s="2588"/>
      <c r="E19" s="1957" t="s">
        <v>148</v>
      </c>
      <c r="F19" s="1958" t="s">
        <v>159</v>
      </c>
      <c r="G19" s="1957" t="s">
        <v>155</v>
      </c>
      <c r="H19" s="1957" t="s">
        <v>156</v>
      </c>
      <c r="I19" s="1959"/>
    </row>
    <row r="20" spans="1:9" ht="111.65" customHeight="1">
      <c r="A20" s="1956" t="s">
        <v>28</v>
      </c>
      <c r="B20" s="2588" t="s">
        <v>160</v>
      </c>
      <c r="C20" s="2588"/>
      <c r="D20" s="2588"/>
      <c r="E20" s="1957" t="s">
        <v>148</v>
      </c>
      <c r="F20" s="1958" t="s">
        <v>161</v>
      </c>
      <c r="G20" s="1957" t="s">
        <v>149</v>
      </c>
      <c r="H20" s="1957" t="s">
        <v>150</v>
      </c>
    </row>
    <row r="21" spans="1:9" ht="25.5" customHeight="1">
      <c r="A21" s="2587" t="s">
        <v>2</v>
      </c>
      <c r="B21" s="2587"/>
      <c r="C21" s="2587"/>
      <c r="D21" s="2587"/>
      <c r="E21" s="2587"/>
      <c r="F21" s="2587"/>
      <c r="G21" s="2587"/>
      <c r="H21" s="2587"/>
    </row>
    <row r="22" spans="1:9" ht="20.5" customHeight="1">
      <c r="A22" s="1992" t="s">
        <v>142</v>
      </c>
      <c r="B22" s="2574" t="s">
        <v>143</v>
      </c>
      <c r="C22" s="2574"/>
      <c r="D22" s="2574"/>
      <c r="E22" s="1992" t="s">
        <v>144</v>
      </c>
      <c r="F22" s="1992" t="s">
        <v>145</v>
      </c>
      <c r="G22" s="1992" t="s">
        <v>8</v>
      </c>
      <c r="H22" s="1992" t="s">
        <v>146</v>
      </c>
    </row>
    <row r="23" spans="1:9" ht="127.5" customHeight="1">
      <c r="A23" s="1993" t="s">
        <v>162</v>
      </c>
      <c r="B23" s="2589" t="s">
        <v>163</v>
      </c>
      <c r="C23" s="2589"/>
      <c r="D23" s="2589"/>
      <c r="E23" s="1957" t="s">
        <v>148</v>
      </c>
      <c r="F23" s="1960">
        <v>1</v>
      </c>
      <c r="G23" s="1957" t="s">
        <v>149</v>
      </c>
      <c r="H23" s="1957" t="s">
        <v>150</v>
      </c>
    </row>
    <row r="24" spans="1:9" ht="101.25" customHeight="1">
      <c r="A24" s="1956" t="s">
        <v>164</v>
      </c>
      <c r="B24" s="2588" t="s">
        <v>165</v>
      </c>
      <c r="C24" s="2588"/>
      <c r="D24" s="2588"/>
      <c r="E24" s="1957" t="s">
        <v>148</v>
      </c>
      <c r="F24" s="1957">
        <v>13</v>
      </c>
      <c r="G24" s="1957" t="s">
        <v>166</v>
      </c>
      <c r="H24" s="1957" t="s">
        <v>150</v>
      </c>
    </row>
    <row r="25" spans="1:9" ht="103.5" customHeight="1">
      <c r="A25" s="1956" t="s">
        <v>167</v>
      </c>
      <c r="B25" s="2582" t="s">
        <v>168</v>
      </c>
      <c r="C25" s="2582"/>
      <c r="D25" s="2582"/>
      <c r="E25" s="1957" t="s">
        <v>148</v>
      </c>
      <c r="F25" s="1958" t="s">
        <v>169</v>
      </c>
      <c r="G25" s="1957" t="s">
        <v>149</v>
      </c>
      <c r="H25" s="1957" t="s">
        <v>150</v>
      </c>
    </row>
    <row r="26" spans="1:9" ht="60.65" customHeight="1">
      <c r="A26" s="1956" t="s">
        <v>170</v>
      </c>
      <c r="B26" s="2582" t="s">
        <v>171</v>
      </c>
      <c r="C26" s="2582"/>
      <c r="D26" s="2582"/>
      <c r="E26" s="1957" t="s">
        <v>148</v>
      </c>
      <c r="F26" s="1958" t="s">
        <v>172</v>
      </c>
      <c r="G26" s="1957" t="s">
        <v>166</v>
      </c>
      <c r="H26" s="1957" t="s">
        <v>150</v>
      </c>
    </row>
    <row r="27" spans="1:9" ht="90.75" customHeight="1">
      <c r="A27" s="1956" t="s">
        <v>173</v>
      </c>
      <c r="B27" s="2582" t="s">
        <v>174</v>
      </c>
      <c r="C27" s="2582"/>
      <c r="D27" s="2582"/>
      <c r="E27" s="1957" t="s">
        <v>148</v>
      </c>
      <c r="F27" s="1958" t="s">
        <v>175</v>
      </c>
      <c r="G27" s="1957" t="s">
        <v>166</v>
      </c>
      <c r="H27" s="1957" t="s">
        <v>150</v>
      </c>
    </row>
    <row r="28" spans="1:9" ht="61.5" customHeight="1">
      <c r="A28" s="1956" t="s">
        <v>75</v>
      </c>
      <c r="B28" s="2582" t="s">
        <v>176</v>
      </c>
      <c r="C28" s="2582"/>
      <c r="D28" s="2582"/>
      <c r="E28" s="1957" t="s">
        <v>177</v>
      </c>
      <c r="F28" s="1958" t="s">
        <v>178</v>
      </c>
      <c r="G28" s="1957" t="s">
        <v>149</v>
      </c>
      <c r="H28" s="1957" t="s">
        <v>150</v>
      </c>
    </row>
    <row r="29" spans="1:9" ht="57" customHeight="1">
      <c r="A29" s="1956" t="s">
        <v>179</v>
      </c>
      <c r="B29" s="2582" t="s">
        <v>180</v>
      </c>
      <c r="C29" s="2582"/>
      <c r="D29" s="2582"/>
      <c r="E29" s="1957" t="s">
        <v>177</v>
      </c>
      <c r="F29" s="1958" t="s">
        <v>181</v>
      </c>
      <c r="G29" s="1957" t="s">
        <v>149</v>
      </c>
      <c r="H29" s="1957" t="s">
        <v>182</v>
      </c>
    </row>
    <row r="30" spans="1:9" ht="141" customHeight="1">
      <c r="A30" s="1956" t="s">
        <v>79</v>
      </c>
      <c r="B30" s="2588" t="s">
        <v>183</v>
      </c>
      <c r="C30" s="2588"/>
      <c r="D30" s="2588"/>
      <c r="E30" s="1957" t="s">
        <v>148</v>
      </c>
      <c r="F30" s="1958" t="s">
        <v>184</v>
      </c>
      <c r="G30" s="1957" t="s">
        <v>149</v>
      </c>
      <c r="H30" s="1957" t="s">
        <v>150</v>
      </c>
    </row>
    <row r="31" spans="1:9" ht="73.5" customHeight="1">
      <c r="A31" s="1956" t="s">
        <v>83</v>
      </c>
      <c r="B31" s="2588" t="s">
        <v>185</v>
      </c>
      <c r="C31" s="2588"/>
      <c r="D31" s="2588"/>
      <c r="E31" s="1957" t="s">
        <v>148</v>
      </c>
      <c r="F31" s="1961" t="s">
        <v>186</v>
      </c>
      <c r="G31" s="1957" t="s">
        <v>149</v>
      </c>
      <c r="H31" s="1957" t="s">
        <v>150</v>
      </c>
    </row>
    <row r="32" spans="1:9" ht="28.5" customHeight="1">
      <c r="A32" s="2587" t="s">
        <v>187</v>
      </c>
      <c r="B32" s="2587"/>
      <c r="C32" s="2587"/>
      <c r="D32" s="2587"/>
      <c r="E32" s="2587"/>
      <c r="F32" s="2587"/>
      <c r="G32" s="2587"/>
      <c r="H32" s="2587"/>
    </row>
    <row r="33" spans="1:8" ht="20.5" customHeight="1">
      <c r="A33" s="1992" t="s">
        <v>142</v>
      </c>
      <c r="B33" s="2574" t="s">
        <v>143</v>
      </c>
      <c r="C33" s="2574"/>
      <c r="D33" s="2574"/>
      <c r="E33" s="1992" t="s">
        <v>144</v>
      </c>
      <c r="F33" s="1992" t="s">
        <v>145</v>
      </c>
      <c r="G33" s="1992" t="s">
        <v>8</v>
      </c>
      <c r="H33" s="1992" t="s">
        <v>146</v>
      </c>
    </row>
    <row r="34" spans="1:8" ht="43.5" customHeight="1">
      <c r="A34" s="1962" t="s">
        <v>99</v>
      </c>
      <c r="B34" s="2584" t="s">
        <v>188</v>
      </c>
      <c r="C34" s="2585"/>
      <c r="D34" s="2586"/>
      <c r="E34" s="1961" t="s">
        <v>177</v>
      </c>
      <c r="F34" s="1963" t="s">
        <v>189</v>
      </c>
      <c r="G34" s="1961" t="s">
        <v>155</v>
      </c>
      <c r="H34" s="1964" t="s">
        <v>190</v>
      </c>
    </row>
    <row r="35" spans="1:8" ht="319.5" customHeight="1">
      <c r="A35" s="1956" t="s">
        <v>101</v>
      </c>
      <c r="B35" s="2580" t="s">
        <v>191</v>
      </c>
      <c r="C35" s="2581"/>
      <c r="D35" s="2581"/>
      <c r="E35" s="1957" t="s">
        <v>177</v>
      </c>
      <c r="F35" s="1961">
        <v>52</v>
      </c>
      <c r="G35" s="1957" t="s">
        <v>149</v>
      </c>
      <c r="H35" s="1957" t="s">
        <v>150</v>
      </c>
    </row>
    <row r="36" spans="1:8" ht="41.25" customHeight="1">
      <c r="A36" s="1956" t="s">
        <v>103</v>
      </c>
      <c r="B36" s="2582" t="s">
        <v>192</v>
      </c>
      <c r="C36" s="2582"/>
      <c r="D36" s="2582"/>
      <c r="E36" s="1957" t="s">
        <v>177</v>
      </c>
      <c r="F36" s="1958" t="s">
        <v>193</v>
      </c>
      <c r="G36" s="1957" t="s">
        <v>149</v>
      </c>
      <c r="H36" s="1957" t="s">
        <v>150</v>
      </c>
    </row>
    <row r="37" spans="1:8" ht="41.25" customHeight="1">
      <c r="A37" s="1956" t="s">
        <v>105</v>
      </c>
      <c r="B37" s="2582" t="s">
        <v>194</v>
      </c>
      <c r="C37" s="2582"/>
      <c r="D37" s="2582"/>
      <c r="E37" s="1957" t="s">
        <v>148</v>
      </c>
      <c r="F37" s="1958" t="s">
        <v>195</v>
      </c>
      <c r="G37" s="1957" t="s">
        <v>149</v>
      </c>
      <c r="H37" s="1957" t="s">
        <v>150</v>
      </c>
    </row>
    <row r="38" spans="1:8" ht="105" customHeight="1">
      <c r="A38" s="1956" t="s">
        <v>196</v>
      </c>
      <c r="B38" s="2582" t="s">
        <v>197</v>
      </c>
      <c r="C38" s="2582"/>
      <c r="D38" s="2582"/>
      <c r="E38" s="1960" t="s">
        <v>198</v>
      </c>
      <c r="F38" s="1958" t="s">
        <v>199</v>
      </c>
      <c r="G38" s="1957" t="s">
        <v>149</v>
      </c>
      <c r="H38" s="1957" t="s">
        <v>182</v>
      </c>
    </row>
    <row r="39" spans="1:8" ht="48.75" customHeight="1">
      <c r="A39" s="1956" t="s">
        <v>200</v>
      </c>
      <c r="B39" s="2582" t="s">
        <v>201</v>
      </c>
      <c r="C39" s="2582"/>
      <c r="D39" s="2582"/>
      <c r="E39" s="1957" t="s">
        <v>177</v>
      </c>
      <c r="F39" s="1957">
        <v>59</v>
      </c>
      <c r="G39" s="1957" t="s">
        <v>166</v>
      </c>
      <c r="H39" s="1957" t="s">
        <v>182</v>
      </c>
    </row>
    <row r="40" spans="1:8" ht="27.75" customHeight="1">
      <c r="A40" s="2583" t="s">
        <v>202</v>
      </c>
      <c r="B40" s="2583"/>
      <c r="C40" s="2583"/>
      <c r="D40" s="2583"/>
      <c r="E40" s="2583"/>
      <c r="F40" s="2583"/>
      <c r="G40" s="2583"/>
      <c r="H40" s="2583"/>
    </row>
    <row r="41" spans="1:8" ht="208.4" customHeight="1">
      <c r="A41" s="1993" t="s">
        <v>68</v>
      </c>
      <c r="B41" s="2576" t="s">
        <v>203</v>
      </c>
      <c r="C41" s="2576"/>
      <c r="D41" s="2576"/>
      <c r="E41" s="1960" t="s">
        <v>177</v>
      </c>
      <c r="F41" s="1960" t="s">
        <v>204</v>
      </c>
      <c r="G41" s="1960" t="s">
        <v>155</v>
      </c>
      <c r="H41" s="1960" t="s">
        <v>205</v>
      </c>
    </row>
    <row r="42" spans="1:8" ht="24.65" customHeight="1">
      <c r="A42" s="2575" t="s">
        <v>206</v>
      </c>
      <c r="B42" s="2575"/>
      <c r="C42" s="2575"/>
      <c r="D42" s="2575"/>
      <c r="E42" s="2575"/>
      <c r="F42" s="2575"/>
      <c r="G42" s="2575"/>
      <c r="H42" s="2575"/>
    </row>
    <row r="43" spans="1:8" ht="31.5" customHeight="1">
      <c r="A43" s="2577" t="s">
        <v>144</v>
      </c>
      <c r="B43" s="2579" t="s">
        <v>207</v>
      </c>
      <c r="C43" s="2579"/>
      <c r="D43" s="2579"/>
      <c r="E43" s="2579"/>
      <c r="F43" s="2579"/>
      <c r="G43" s="2579"/>
      <c r="H43" s="2579"/>
    </row>
    <row r="44" spans="1:8" ht="28.5" customHeight="1">
      <c r="A44" s="2578"/>
      <c r="B44" s="2579" t="s">
        <v>208</v>
      </c>
      <c r="C44" s="2579"/>
      <c r="D44" s="2579"/>
      <c r="E44" s="2579"/>
      <c r="F44" s="2579"/>
      <c r="G44" s="2579"/>
      <c r="H44" s="2579"/>
    </row>
    <row r="45" spans="1:8" ht="18" customHeight="1">
      <c r="A45" s="2577" t="s">
        <v>209</v>
      </c>
      <c r="B45" s="2571" t="s">
        <v>210</v>
      </c>
      <c r="C45" s="2571"/>
      <c r="D45" s="2571"/>
      <c r="E45" s="2571"/>
      <c r="F45" s="2571"/>
      <c r="G45" s="2571"/>
      <c r="H45" s="2571"/>
    </row>
    <row r="46" spans="1:8" ht="18" customHeight="1">
      <c r="A46" s="2578"/>
      <c r="B46" s="2571" t="s">
        <v>211</v>
      </c>
      <c r="C46" s="2571"/>
      <c r="D46" s="2571"/>
      <c r="E46" s="2571"/>
      <c r="F46" s="2571"/>
      <c r="G46" s="2571"/>
      <c r="H46" s="2571"/>
    </row>
    <row r="47" spans="1:8" ht="18" customHeight="1">
      <c r="A47" s="1994" t="s">
        <v>212</v>
      </c>
      <c r="B47" s="2571" t="s">
        <v>213</v>
      </c>
      <c r="C47" s="2571"/>
      <c r="D47" s="2571"/>
      <c r="E47" s="2571"/>
      <c r="F47" s="2571"/>
      <c r="G47" s="2571"/>
      <c r="H47" s="2571"/>
    </row>
    <row r="48" spans="1:8" ht="76.5" customHeight="1">
      <c r="A48" s="1955" t="s">
        <v>214</v>
      </c>
      <c r="B48" s="2571" t="s">
        <v>215</v>
      </c>
      <c r="C48" s="2571"/>
      <c r="D48" s="2571"/>
      <c r="E48" s="2571"/>
      <c r="F48" s="2571"/>
      <c r="G48" s="2571"/>
      <c r="H48" s="2571"/>
    </row>
    <row r="49" spans="1:8" ht="28.5" customHeight="1">
      <c r="A49" s="2575" t="s">
        <v>216</v>
      </c>
      <c r="B49" s="2575"/>
      <c r="C49" s="2575"/>
      <c r="D49" s="2575"/>
      <c r="E49" s="2575"/>
      <c r="F49" s="2575"/>
      <c r="G49" s="2575"/>
      <c r="H49" s="2575"/>
    </row>
    <row r="50" spans="1:8" ht="101.25" customHeight="1">
      <c r="A50" s="1965" t="s">
        <v>217</v>
      </c>
      <c r="B50" s="2571" t="s">
        <v>218</v>
      </c>
      <c r="C50" s="2571"/>
      <c r="D50" s="2571"/>
      <c r="E50" s="2571"/>
      <c r="F50" s="2571"/>
      <c r="G50" s="2571"/>
      <c r="H50" s="2571"/>
    </row>
    <row r="51" spans="1:8" ht="50.5" customHeight="1">
      <c r="A51" s="1965" t="s">
        <v>219</v>
      </c>
      <c r="B51" s="2571" t="s">
        <v>220</v>
      </c>
      <c r="C51" s="2571"/>
      <c r="D51" s="2571"/>
      <c r="E51" s="2571"/>
      <c r="F51" s="2571"/>
      <c r="G51" s="2571"/>
      <c r="H51" s="2571"/>
    </row>
    <row r="52" spans="1:8" ht="44.15" customHeight="1">
      <c r="A52" s="1965" t="s">
        <v>221</v>
      </c>
      <c r="B52" s="2571" t="s">
        <v>222</v>
      </c>
      <c r="C52" s="2571"/>
      <c r="D52" s="2571"/>
      <c r="E52" s="2571"/>
      <c r="F52" s="2571"/>
      <c r="G52" s="2571"/>
      <c r="H52" s="2571"/>
    </row>
    <row r="53" spans="1:8" ht="42.65" customHeight="1">
      <c r="A53" s="1955" t="s">
        <v>223</v>
      </c>
      <c r="B53" s="2571" t="s">
        <v>224</v>
      </c>
      <c r="C53" s="2571"/>
      <c r="D53" s="2571"/>
      <c r="E53" s="2571"/>
      <c r="F53" s="2571"/>
      <c r="G53" s="2571"/>
      <c r="H53" s="2571"/>
    </row>
    <row r="54" spans="1:8" ht="54.65" customHeight="1">
      <c r="A54" s="1965" t="s">
        <v>225</v>
      </c>
      <c r="B54" s="2571" t="s">
        <v>226</v>
      </c>
      <c r="C54" s="2571"/>
      <c r="D54" s="2571"/>
      <c r="E54" s="2571"/>
      <c r="F54" s="2571"/>
      <c r="G54" s="2571"/>
      <c r="H54" s="2571"/>
    </row>
    <row r="55" spans="1:8" ht="41.5" customHeight="1">
      <c r="A55" s="1966" t="s">
        <v>227</v>
      </c>
      <c r="B55" s="2572" t="s">
        <v>228</v>
      </c>
      <c r="C55" s="2572"/>
      <c r="D55" s="2572"/>
      <c r="E55" s="2572"/>
      <c r="F55" s="2572"/>
      <c r="G55" s="2572"/>
      <c r="H55" s="2572"/>
    </row>
    <row r="56" spans="1:8" ht="15.75" customHeight="1">
      <c r="A56" s="1966" t="s">
        <v>229</v>
      </c>
      <c r="B56" s="2573" t="s">
        <v>230</v>
      </c>
      <c r="C56" s="2573"/>
      <c r="D56" s="2573"/>
      <c r="E56" s="2573"/>
      <c r="F56" s="2573"/>
      <c r="G56" s="2573"/>
      <c r="H56" s="2573"/>
    </row>
  </sheetData>
  <mergeCells count="58">
    <mergeCell ref="B6:H6"/>
    <mergeCell ref="A1:H1"/>
    <mergeCell ref="A2:H2"/>
    <mergeCell ref="A3:H3"/>
    <mergeCell ref="B4:H4"/>
    <mergeCell ref="B5:H5"/>
    <mergeCell ref="B19:D19"/>
    <mergeCell ref="B7:H7"/>
    <mergeCell ref="B8:H8"/>
    <mergeCell ref="B9:H9"/>
    <mergeCell ref="B10:H10"/>
    <mergeCell ref="B11:H11"/>
    <mergeCell ref="B12:H12"/>
    <mergeCell ref="A13:H13"/>
    <mergeCell ref="B15:D15"/>
    <mergeCell ref="A14:H14"/>
    <mergeCell ref="B16:D16"/>
    <mergeCell ref="B17:D17"/>
    <mergeCell ref="B18:D18"/>
    <mergeCell ref="B34:D34"/>
    <mergeCell ref="B36:D36"/>
    <mergeCell ref="A32:H32"/>
    <mergeCell ref="B20:D20"/>
    <mergeCell ref="A21:H21"/>
    <mergeCell ref="B23:D23"/>
    <mergeCell ref="B24:D24"/>
    <mergeCell ref="B25:D25"/>
    <mergeCell ref="B26:D26"/>
    <mergeCell ref="B27:D27"/>
    <mergeCell ref="B28:D28"/>
    <mergeCell ref="B29:D29"/>
    <mergeCell ref="B30:D30"/>
    <mergeCell ref="B31:D31"/>
    <mergeCell ref="B44:H44"/>
    <mergeCell ref="A45:A46"/>
    <mergeCell ref="B45:H45"/>
    <mergeCell ref="B46:H46"/>
    <mergeCell ref="B35:D35"/>
    <mergeCell ref="B37:D37"/>
    <mergeCell ref="B38:D38"/>
    <mergeCell ref="B39:D39"/>
    <mergeCell ref="A40:H40"/>
    <mergeCell ref="B53:H53"/>
    <mergeCell ref="B54:H54"/>
    <mergeCell ref="B55:H55"/>
    <mergeCell ref="B56:H56"/>
    <mergeCell ref="B22:D22"/>
    <mergeCell ref="B33:D33"/>
    <mergeCell ref="B47:H47"/>
    <mergeCell ref="B48:H48"/>
    <mergeCell ref="A49:H49"/>
    <mergeCell ref="B50:H50"/>
    <mergeCell ref="B51:H51"/>
    <mergeCell ref="B52:H52"/>
    <mergeCell ref="B41:D41"/>
    <mergeCell ref="A42:H42"/>
    <mergeCell ref="A43:A44"/>
    <mergeCell ref="B43:H43"/>
  </mergeCells>
  <printOptions horizontalCentered="1"/>
  <pageMargins left="0.7" right="0.7" top="0.25" bottom="0.25" header="0.3" footer="0.3"/>
  <pageSetup scale="56" fitToHeight="7" orientation="landscape" horizontalDpi="300" verticalDpi="300" r:id="rId1"/>
  <rowBreaks count="3" manualBreakCount="3">
    <brk id="20" max="16383" man="1"/>
    <brk id="31" max="16383" man="1"/>
    <brk id="4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tabColor rgb="FFFF0000"/>
    <pageSetUpPr fitToPage="1"/>
  </sheetPr>
  <dimension ref="A1:P51"/>
  <sheetViews>
    <sheetView zoomScale="80" zoomScaleNormal="80" workbookViewId="0">
      <pane ySplit="12" topLeftCell="A40" activePane="bottomLeft" state="frozen"/>
      <selection activeCell="B44" sqref="B44"/>
      <selection pane="bottomLeft" activeCell="E43" sqref="E43"/>
    </sheetView>
  </sheetViews>
  <sheetFormatPr defaultColWidth="8.81640625" defaultRowHeight="12.5"/>
  <cols>
    <col min="1" max="2" width="9.26953125" customWidth="1"/>
    <col min="3" max="6" width="12.7265625" customWidth="1"/>
    <col min="7" max="7" width="12.453125" customWidth="1"/>
    <col min="8" max="11" width="12.7265625" customWidth="1"/>
    <col min="12" max="12" width="13.26953125" customWidth="1"/>
    <col min="13" max="14" width="12.7265625" customWidth="1"/>
  </cols>
  <sheetData>
    <row r="1" spans="1:16" s="1111" customFormat="1" ht="18" customHeight="1">
      <c r="A1" s="1073" t="s">
        <v>860</v>
      </c>
      <c r="B1" s="1074"/>
      <c r="C1" s="1081"/>
      <c r="D1" s="1081"/>
      <c r="E1" s="1081"/>
      <c r="F1" s="1081"/>
      <c r="G1" s="1081"/>
      <c r="H1" s="1081"/>
      <c r="I1" s="1081"/>
      <c r="J1" s="1081"/>
      <c r="K1" s="1081"/>
      <c r="L1" s="1081"/>
      <c r="M1" s="1081"/>
      <c r="N1" s="1081"/>
    </row>
    <row r="2" spans="1:16" s="1111" customFormat="1" ht="18" customHeight="1">
      <c r="A2" s="1084" t="s">
        <v>804</v>
      </c>
      <c r="B2" s="1074"/>
      <c r="C2" s="1081"/>
      <c r="D2" s="1081"/>
      <c r="E2" s="1081"/>
      <c r="F2" s="1081"/>
      <c r="G2" s="1081"/>
      <c r="H2" s="1081"/>
      <c r="I2" s="1081"/>
      <c r="J2" s="1081"/>
      <c r="K2" s="1081"/>
      <c r="L2" s="1081"/>
      <c r="M2" s="1081"/>
      <c r="N2" s="1081"/>
    </row>
    <row r="3" spans="1:16" s="1111" customFormat="1" ht="18" customHeight="1">
      <c r="A3" s="1073" t="s">
        <v>805</v>
      </c>
      <c r="B3" s="1109"/>
      <c r="C3" s="1109"/>
      <c r="D3" s="1109"/>
      <c r="E3" s="1109"/>
      <c r="F3" s="1109"/>
      <c r="G3" s="1109"/>
      <c r="H3" s="1109"/>
      <c r="I3" s="1109"/>
      <c r="J3" s="1109"/>
      <c r="K3" s="1109"/>
      <c r="L3" s="1109"/>
      <c r="M3" s="1085"/>
      <c r="N3" s="1116"/>
    </row>
    <row r="4" spans="1:16" s="1111" customFormat="1" ht="18" customHeight="1">
      <c r="A4" s="1084" t="s">
        <v>41</v>
      </c>
      <c r="B4" s="1074"/>
      <c r="C4" s="1081"/>
      <c r="D4" s="1081"/>
      <c r="E4" s="1081"/>
      <c r="F4" s="1081"/>
      <c r="G4" s="1081"/>
      <c r="H4" s="1081"/>
      <c r="I4" s="1081"/>
      <c r="J4" s="1081"/>
      <c r="K4" s="1081"/>
      <c r="L4" s="1081"/>
      <c r="M4" s="1081"/>
      <c r="N4" s="1081"/>
    </row>
    <row r="5" spans="1:16" s="1111" customFormat="1" ht="18" customHeight="1">
      <c r="A5" s="1073" t="s">
        <v>40</v>
      </c>
      <c r="B5" s="1074"/>
      <c r="C5" s="1081"/>
      <c r="D5" s="1081"/>
      <c r="E5" s="1081"/>
      <c r="F5" s="1081"/>
      <c r="G5" s="1081"/>
      <c r="H5" s="1081"/>
      <c r="I5" s="1081"/>
      <c r="J5" s="1081"/>
      <c r="K5" s="1081"/>
      <c r="L5" s="1081"/>
      <c r="M5" s="1081"/>
      <c r="N5" s="1081"/>
    </row>
    <row r="6" spans="1:16" ht="0.65" customHeight="1">
      <c r="A6" s="17"/>
      <c r="B6" s="5"/>
      <c r="C6" s="4"/>
      <c r="D6" s="4" t="s">
        <v>806</v>
      </c>
      <c r="E6" s="4"/>
      <c r="F6" s="4"/>
      <c r="G6" s="4"/>
      <c r="H6" s="4"/>
      <c r="I6" s="4"/>
      <c r="J6" s="4"/>
      <c r="K6" s="4"/>
      <c r="L6" s="4" t="s">
        <v>806</v>
      </c>
      <c r="M6" s="4"/>
      <c r="N6" s="4"/>
    </row>
    <row r="7" spans="1:16" s="1111" customFormat="1" ht="13.75" customHeight="1">
      <c r="A7" s="1104" t="s">
        <v>377</v>
      </c>
      <c r="N7" s="1204" t="s">
        <v>378</v>
      </c>
    </row>
    <row r="8" spans="1:16" s="41" customFormat="1" ht="17.5" customHeight="1">
      <c r="A8" s="55"/>
      <c r="B8" s="257"/>
      <c r="C8" s="304" t="s">
        <v>503</v>
      </c>
      <c r="D8" s="42"/>
      <c r="E8" s="256"/>
      <c r="F8" s="135"/>
      <c r="G8" s="136"/>
      <c r="H8" s="137"/>
      <c r="I8" s="267"/>
      <c r="J8" s="361" t="s">
        <v>501</v>
      </c>
      <c r="K8" s="2629" t="s">
        <v>861</v>
      </c>
      <c r="L8" s="2630"/>
      <c r="M8" s="2629" t="s">
        <v>862</v>
      </c>
      <c r="N8" s="2630"/>
    </row>
    <row r="9" spans="1:16" s="41" customFormat="1" ht="17.5" customHeight="1">
      <c r="A9" s="58"/>
      <c r="C9" s="29" t="s">
        <v>441</v>
      </c>
      <c r="D9" s="102"/>
      <c r="E9" s="30" t="s">
        <v>863</v>
      </c>
      <c r="F9" s="83"/>
      <c r="G9" s="138" t="s">
        <v>398</v>
      </c>
      <c r="H9" s="139"/>
      <c r="I9" s="140" t="s">
        <v>399</v>
      </c>
      <c r="J9" s="115"/>
      <c r="K9" s="2631"/>
      <c r="L9" s="2632"/>
      <c r="M9" s="2631"/>
      <c r="N9" s="2632"/>
    </row>
    <row r="10" spans="1:16" s="41" customFormat="1" ht="17.5" customHeight="1">
      <c r="A10" s="26" t="s">
        <v>387</v>
      </c>
      <c r="B10" s="76"/>
      <c r="C10" s="99" t="s">
        <v>413</v>
      </c>
      <c r="D10" s="62"/>
      <c r="E10" s="99" t="s">
        <v>864</v>
      </c>
      <c r="F10" s="62"/>
      <c r="G10" s="59" t="s">
        <v>810</v>
      </c>
      <c r="H10" s="100"/>
      <c r="I10" s="59" t="s">
        <v>407</v>
      </c>
      <c r="J10" s="100"/>
      <c r="K10" s="2633"/>
      <c r="L10" s="2634"/>
      <c r="M10" s="2633"/>
      <c r="N10" s="2634"/>
    </row>
    <row r="11" spans="1:16" s="41" customFormat="1" ht="17.5" customHeight="1">
      <c r="A11" s="64" t="s">
        <v>395</v>
      </c>
      <c r="B11" s="62"/>
      <c r="C11" s="96" t="s">
        <v>482</v>
      </c>
      <c r="D11" s="96" t="s">
        <v>396</v>
      </c>
      <c r="E11" s="96" t="s">
        <v>482</v>
      </c>
      <c r="F11" s="96" t="s">
        <v>396</v>
      </c>
      <c r="G11" s="96" t="s">
        <v>482</v>
      </c>
      <c r="H11" s="96" t="s">
        <v>396</v>
      </c>
      <c r="I11" s="96" t="s">
        <v>482</v>
      </c>
      <c r="J11" s="96" t="s">
        <v>396</v>
      </c>
      <c r="K11" s="96" t="s">
        <v>482</v>
      </c>
      <c r="L11" s="96" t="s">
        <v>396</v>
      </c>
      <c r="M11" s="96" t="s">
        <v>482</v>
      </c>
      <c r="N11" s="96" t="s">
        <v>396</v>
      </c>
    </row>
    <row r="12" spans="1:16" s="41" customFormat="1" ht="17.5" customHeight="1">
      <c r="A12" s="34"/>
      <c r="B12" s="68"/>
      <c r="C12" s="141" t="s">
        <v>149</v>
      </c>
      <c r="D12" s="142" t="s">
        <v>486</v>
      </c>
      <c r="E12" s="123" t="s">
        <v>149</v>
      </c>
      <c r="F12" s="123" t="s">
        <v>486</v>
      </c>
      <c r="G12" s="122" t="s">
        <v>149</v>
      </c>
      <c r="H12" s="141" t="s">
        <v>486</v>
      </c>
      <c r="I12" s="122" t="s">
        <v>149</v>
      </c>
      <c r="J12" s="141" t="s">
        <v>486</v>
      </c>
      <c r="K12" s="59" t="s">
        <v>149</v>
      </c>
      <c r="L12" s="70" t="s">
        <v>486</v>
      </c>
      <c r="M12" s="59" t="s">
        <v>149</v>
      </c>
      <c r="N12" s="70" t="s">
        <v>486</v>
      </c>
      <c r="O12" s="202" t="s">
        <v>149</v>
      </c>
      <c r="P12" s="202" t="s">
        <v>486</v>
      </c>
    </row>
    <row r="13" spans="1:16" s="274" customFormat="1" ht="20.25" customHeight="1">
      <c r="A13" s="263">
        <v>2016</v>
      </c>
      <c r="B13" s="273"/>
      <c r="C13" s="450">
        <v>2241.9197084711595</v>
      </c>
      <c r="D13" s="451">
        <v>982.80852227224796</v>
      </c>
      <c r="E13" s="279">
        <v>7220.5557834359906</v>
      </c>
      <c r="F13" s="279">
        <v>1534.9834630955163</v>
      </c>
      <c r="G13" s="281">
        <v>3603.1453387712995</v>
      </c>
      <c r="H13" s="315">
        <v>1033.0679236714145</v>
      </c>
      <c r="I13" s="281">
        <v>422.71642688375033</v>
      </c>
      <c r="J13" s="280">
        <v>309.81442793346923</v>
      </c>
      <c r="K13" s="280">
        <v>359.37773054676381</v>
      </c>
      <c r="L13" s="283">
        <v>13505.142608357241</v>
      </c>
      <c r="M13" s="452">
        <v>13847.714479513312</v>
      </c>
      <c r="N13" s="452">
        <v>17365.836945329891</v>
      </c>
      <c r="O13" s="2252">
        <f t="shared" ref="O13:O18" si="0">M13-(C13+E13+G13+I13+K13)</f>
        <v>-5.0859564908023458E-4</v>
      </c>
      <c r="P13" s="1855">
        <f t="shared" ref="P13:P18" si="1">N13-(D13+F13+H13+J13+L13)</f>
        <v>2.0000000004074536E-2</v>
      </c>
    </row>
    <row r="14" spans="1:16" s="276" customFormat="1" ht="14.25" customHeight="1">
      <c r="A14" s="265">
        <v>2017</v>
      </c>
      <c r="B14" s="275"/>
      <c r="C14" s="453">
        <v>1805.3731951232771</v>
      </c>
      <c r="D14" s="454">
        <v>1321.1626571899901</v>
      </c>
      <c r="E14" s="455">
        <v>7406.1137585436081</v>
      </c>
      <c r="F14" s="455">
        <v>1564.0839115697083</v>
      </c>
      <c r="G14" s="456">
        <v>3680.8766901588542</v>
      </c>
      <c r="H14" s="457">
        <v>1389.4876380810647</v>
      </c>
      <c r="I14" s="456">
        <v>647.546344134317</v>
      </c>
      <c r="J14" s="457">
        <v>210.30022560414562</v>
      </c>
      <c r="K14" s="458">
        <v>400.25913072478875</v>
      </c>
      <c r="L14" s="467">
        <v>12963.744519810403</v>
      </c>
      <c r="M14" s="459">
        <v>13940.169101222122</v>
      </c>
      <c r="N14" s="459">
        <v>17448.818952255315</v>
      </c>
      <c r="O14" s="2252">
        <f t="shared" si="0"/>
        <v>-1.7462722098571248E-5</v>
      </c>
      <c r="P14" s="1855">
        <f t="shared" si="1"/>
        <v>4.0000000000873115E-2</v>
      </c>
    </row>
    <row r="15" spans="1:16" s="355" customFormat="1" ht="14.25" customHeight="1">
      <c r="A15" s="1398">
        <v>2018</v>
      </c>
      <c r="B15" s="1399"/>
      <c r="C15" s="1400">
        <v>1728.9934081527347</v>
      </c>
      <c r="D15" s="1401">
        <v>1384.2007318882495</v>
      </c>
      <c r="E15" s="1402">
        <v>7880.1793050599927</v>
      </c>
      <c r="F15" s="1402">
        <v>1980.3431307119811</v>
      </c>
      <c r="G15" s="1403">
        <v>3785.4850874866829</v>
      </c>
      <c r="H15" s="1404">
        <v>1266.5280800091759</v>
      </c>
      <c r="I15" s="1405">
        <v>665.44588410057418</v>
      </c>
      <c r="J15" s="1404">
        <v>248.15564364648375</v>
      </c>
      <c r="K15" s="1404">
        <v>402.74333957722922</v>
      </c>
      <c r="L15" s="1406">
        <v>13226.954740486637</v>
      </c>
      <c r="M15" s="1407">
        <v>14462.842695332831</v>
      </c>
      <c r="N15" s="1407">
        <v>18106.182326742528</v>
      </c>
      <c r="O15" s="2252">
        <f t="shared" si="0"/>
        <v>-4.3290443827572744E-3</v>
      </c>
      <c r="P15" s="1855">
        <f t="shared" si="1"/>
        <v>0</v>
      </c>
    </row>
    <row r="16" spans="1:16" s="355" customFormat="1" ht="14.25" customHeight="1">
      <c r="A16" s="1398">
        <v>2019</v>
      </c>
      <c r="B16" s="1399"/>
      <c r="C16" s="1400">
        <v>2180.6278704200699</v>
      </c>
      <c r="D16" s="1401">
        <v>1371.416890401</v>
      </c>
      <c r="E16" s="1402">
        <v>7967.2746840819391</v>
      </c>
      <c r="F16" s="1402">
        <v>1999.5105152603878</v>
      </c>
      <c r="G16" s="1403">
        <v>4110.5731272226203</v>
      </c>
      <c r="H16" s="1404">
        <v>1425.9638774436141</v>
      </c>
      <c r="I16" s="1405">
        <v>657.7577115403501</v>
      </c>
      <c r="J16" s="1404">
        <v>233.4447737333669</v>
      </c>
      <c r="K16" s="1404">
        <v>408.33242946602365</v>
      </c>
      <c r="L16" s="1406">
        <v>15014.900359838257</v>
      </c>
      <c r="M16" s="1407">
        <v>15324.564850064096</v>
      </c>
      <c r="N16" s="1407">
        <v>20045.236416676627</v>
      </c>
      <c r="O16" s="2252">
        <f t="shared" si="0"/>
        <v>-9.726669049996417E-4</v>
      </c>
      <c r="P16" s="1855">
        <f t="shared" si="1"/>
        <v>0</v>
      </c>
    </row>
    <row r="17" spans="1:16" s="355" customFormat="1" ht="14.25" customHeight="1">
      <c r="A17" s="1398">
        <v>2020</v>
      </c>
      <c r="B17" s="1399"/>
      <c r="C17" s="1400">
        <v>2086.0830684103757</v>
      </c>
      <c r="D17" s="1401">
        <v>1225.8267552026164</v>
      </c>
      <c r="E17" s="1402">
        <v>8647.3298049779605</v>
      </c>
      <c r="F17" s="1402">
        <v>1996.9894211305998</v>
      </c>
      <c r="G17" s="1403">
        <v>4204.9430043860884</v>
      </c>
      <c r="H17" s="1404">
        <v>1805.7602954840879</v>
      </c>
      <c r="I17" s="1405">
        <v>643.88072840408779</v>
      </c>
      <c r="J17" s="1404">
        <v>328.87657437006823</v>
      </c>
      <c r="K17" s="1404">
        <v>314.25472310182943</v>
      </c>
      <c r="L17" s="1406">
        <v>14193.330142048115</v>
      </c>
      <c r="M17" s="1407">
        <v>15896.53070040784</v>
      </c>
      <c r="N17" s="1407">
        <v>19550.80381710799</v>
      </c>
      <c r="O17" s="2252">
        <f t="shared" si="0"/>
        <v>3.9371127497361158E-2</v>
      </c>
      <c r="P17" s="1855">
        <f t="shared" si="1"/>
        <v>2.0628872502129525E-2</v>
      </c>
    </row>
    <row r="18" spans="1:16" s="355" customFormat="1" ht="14.25" customHeight="1">
      <c r="A18" s="1398">
        <v>2021</v>
      </c>
      <c r="B18" s="1399"/>
      <c r="C18" s="1400">
        <v>2581.0980337518458</v>
      </c>
      <c r="D18" s="1401">
        <v>1232.7892185193825</v>
      </c>
      <c r="E18" s="1402">
        <v>9112.3303129845972</v>
      </c>
      <c r="F18" s="1402">
        <v>1998.7970612516267</v>
      </c>
      <c r="G18" s="1403">
        <v>4177.9175002049833</v>
      </c>
      <c r="H18" s="1404">
        <v>2101.5095958580255</v>
      </c>
      <c r="I18" s="1405">
        <v>672.09250113343592</v>
      </c>
      <c r="J18" s="1404">
        <v>249.66496613441313</v>
      </c>
      <c r="K18" s="1404">
        <v>235.71413871026149</v>
      </c>
      <c r="L18" s="1406">
        <v>15012.103961217619</v>
      </c>
      <c r="M18" s="1407">
        <v>16779.13972157225</v>
      </c>
      <c r="N18" s="1407">
        <v>20594.857567788935</v>
      </c>
      <c r="O18" s="2252">
        <f t="shared" si="0"/>
        <v>-1.2765212872182019E-2</v>
      </c>
      <c r="P18" s="1855">
        <f t="shared" si="1"/>
        <v>-7.2351921298832167E-3</v>
      </c>
    </row>
    <row r="19" spans="1:16" s="483" customFormat="1" ht="14.25" customHeight="1">
      <c r="A19" s="1782">
        <v>2022</v>
      </c>
      <c r="B19" s="1783"/>
      <c r="C19" s="2384">
        <v>3778.7774098079249</v>
      </c>
      <c r="D19" s="2376">
        <v>986.09263033792263</v>
      </c>
      <c r="E19" s="2376">
        <v>9492.6956354081321</v>
      </c>
      <c r="F19" s="2376">
        <v>2012.704595707509</v>
      </c>
      <c r="G19" s="1851">
        <v>4258.4236957163212</v>
      </c>
      <c r="H19" s="2385">
        <v>2160.4888362533788</v>
      </c>
      <c r="I19" s="2378">
        <v>733.30571172024702</v>
      </c>
      <c r="J19" s="2385">
        <v>459.93298391512099</v>
      </c>
      <c r="K19" s="2385">
        <v>243.26403618512978</v>
      </c>
      <c r="L19" s="2383">
        <v>14121.74016028702</v>
      </c>
      <c r="M19" s="2379">
        <v>18506.466488837756</v>
      </c>
      <c r="N19" s="2379">
        <v>19740.939206500949</v>
      </c>
      <c r="O19" s="2252">
        <v>0</v>
      </c>
      <c r="P19" s="1855">
        <v>-2.0000000000436557E-2</v>
      </c>
    </row>
    <row r="20" spans="1:16" s="483" customFormat="1" ht="14.25" customHeight="1">
      <c r="A20" s="1782">
        <v>2023</v>
      </c>
      <c r="B20" s="1783"/>
      <c r="C20" s="2384">
        <v>5271.9115894603692</v>
      </c>
      <c r="D20" s="2375">
        <v>999.99121646635058</v>
      </c>
      <c r="E20" s="2376">
        <v>9312.1377551914738</v>
      </c>
      <c r="F20" s="2376">
        <v>2492.7932144980614</v>
      </c>
      <c r="G20" s="1851">
        <v>3724.3620432554553</v>
      </c>
      <c r="H20" s="2385">
        <v>2739.6142896728402</v>
      </c>
      <c r="I20" s="2378">
        <v>739.85087319588081</v>
      </c>
      <c r="J20" s="2385">
        <v>371.6402519642254</v>
      </c>
      <c r="K20" s="2385">
        <v>288.89795858719913</v>
      </c>
      <c r="L20" s="2383">
        <v>14319.460048120731</v>
      </c>
      <c r="M20" s="2379">
        <v>19337.160219690373</v>
      </c>
      <c r="N20" s="2379">
        <v>20923.519020722208</v>
      </c>
      <c r="O20" s="2252">
        <v>0</v>
      </c>
      <c r="P20" s="1855">
        <v>2.0000000000436557E-2</v>
      </c>
    </row>
    <row r="21" spans="1:16" s="483" customFormat="1" ht="14.25" customHeight="1">
      <c r="A21" s="1782">
        <v>2024</v>
      </c>
      <c r="B21" s="1783"/>
      <c r="C21" s="2384">
        <v>5744.192081734911</v>
      </c>
      <c r="D21" s="2375">
        <v>1037.5755893101007</v>
      </c>
      <c r="E21" s="2376">
        <v>9200.9377915581754</v>
      </c>
      <c r="F21" s="2376">
        <v>2696.0696973528684</v>
      </c>
      <c r="G21" s="1851">
        <v>3553.2149766721632</v>
      </c>
      <c r="H21" s="2385">
        <v>3381.2093407789757</v>
      </c>
      <c r="I21" s="2378">
        <v>842.87488864541831</v>
      </c>
      <c r="J21" s="2385">
        <v>406.93969637970042</v>
      </c>
      <c r="K21" s="2385">
        <v>61.115379244246824</v>
      </c>
      <c r="L21" s="2383">
        <v>14785.379437590287</v>
      </c>
      <c r="M21" s="2379">
        <v>19402.315117854912</v>
      </c>
      <c r="N21" s="2379">
        <v>22307.203761411933</v>
      </c>
      <c r="O21" s="2252">
        <v>-2.0000000004074536E-2</v>
      </c>
      <c r="P21" s="1855">
        <v>2.9999999998835847E-2</v>
      </c>
    </row>
    <row r="22" spans="1:16" s="483" customFormat="1" ht="14.25" customHeight="1">
      <c r="A22" s="2058">
        <v>2025</v>
      </c>
      <c r="B22" s="2200"/>
      <c r="C22" s="2250">
        <f t="shared" ref="C22:N22" si="2">C29</f>
        <v>5690.4605366929072</v>
      </c>
      <c r="D22" s="2238">
        <f t="shared" si="2"/>
        <v>1364.6873823791664</v>
      </c>
      <c r="E22" s="2239">
        <f t="shared" si="2"/>
        <v>9359.5895293878839</v>
      </c>
      <c r="F22" s="2239">
        <f t="shared" si="2"/>
        <v>2961.9740453121799</v>
      </c>
      <c r="G22" s="2246">
        <f t="shared" si="2"/>
        <v>4315.129820693428</v>
      </c>
      <c r="H22" s="2251">
        <f t="shared" si="2"/>
        <v>4216.9969961714605</v>
      </c>
      <c r="I22" s="2241">
        <f t="shared" si="2"/>
        <v>907.79223705822949</v>
      </c>
      <c r="J22" s="2251">
        <f t="shared" si="2"/>
        <v>372.4891029467787</v>
      </c>
      <c r="K22" s="2251">
        <f t="shared" si="2"/>
        <v>159.92422899496597</v>
      </c>
      <c r="L22" s="2249">
        <f t="shared" si="2"/>
        <v>15651.994035783977</v>
      </c>
      <c r="M22" s="2242">
        <f t="shared" si="2"/>
        <v>20432.946352827414</v>
      </c>
      <c r="N22" s="2242">
        <f t="shared" si="2"/>
        <v>24568.161562593559</v>
      </c>
      <c r="O22" s="2252">
        <f>M22-(C22+E22+G22+I22+K22)</f>
        <v>4.9999999999272404E-2</v>
      </c>
      <c r="P22" s="1855">
        <f>N22-(D22+F22+H22+J22+L22)</f>
        <v>1.9999999996798579E-2</v>
      </c>
    </row>
    <row r="23" spans="1:16" s="355" customFormat="1" ht="21" customHeight="1">
      <c r="A23" s="1398">
        <v>2024</v>
      </c>
      <c r="B23" s="1399" t="s">
        <v>243</v>
      </c>
      <c r="C23" s="1400">
        <v>5509.2012285140117</v>
      </c>
      <c r="D23" s="1401">
        <v>1022.6210433750223</v>
      </c>
      <c r="E23" s="1402">
        <v>9411.7824305124232</v>
      </c>
      <c r="F23" s="1402">
        <v>2830.4775419966436</v>
      </c>
      <c r="G23" s="1403">
        <v>3589.0568292421995</v>
      </c>
      <c r="H23" s="1404">
        <v>3001.4442848773788</v>
      </c>
      <c r="I23" s="1405">
        <v>840.12712742166764</v>
      </c>
      <c r="J23" s="1404">
        <v>338.162242385958</v>
      </c>
      <c r="K23" s="1404">
        <v>213.69745932866709</v>
      </c>
      <c r="L23" s="1406">
        <v>14441.343644941131</v>
      </c>
      <c r="M23" s="1407">
        <v>19563.855075018975</v>
      </c>
      <c r="N23" s="1407">
        <v>21634.028757576136</v>
      </c>
      <c r="O23" s="1806">
        <v>-9.9999999947613105E-3</v>
      </c>
      <c r="P23" s="382">
        <v>-1.9999999996798579E-2</v>
      </c>
    </row>
    <row r="24" spans="1:16" s="355" customFormat="1" ht="15" customHeight="1">
      <c r="A24" s="1398"/>
      <c r="B24" s="1399" t="s">
        <v>240</v>
      </c>
      <c r="C24" s="1400">
        <v>6099.6432338433115</v>
      </c>
      <c r="D24" s="1401">
        <v>986.18268099025317</v>
      </c>
      <c r="E24" s="1402">
        <v>9415.7859072480278</v>
      </c>
      <c r="F24" s="1402">
        <v>2716.380117097493</v>
      </c>
      <c r="G24" s="1403">
        <v>3528.9750683616512</v>
      </c>
      <c r="H24" s="1404">
        <v>3253.8491691414902</v>
      </c>
      <c r="I24" s="1405">
        <v>789.42914558159191</v>
      </c>
      <c r="J24" s="1404">
        <v>465.16374890984383</v>
      </c>
      <c r="K24" s="1404">
        <v>58.480571016295457</v>
      </c>
      <c r="L24" s="1406">
        <v>14218.118450187547</v>
      </c>
      <c r="M24" s="1407">
        <v>19892.313926050883</v>
      </c>
      <c r="N24" s="1407">
        <v>21639.674166326626</v>
      </c>
      <c r="O24" s="1806">
        <v>0</v>
      </c>
      <c r="P24" s="382">
        <v>-2.0000000000436557E-2</v>
      </c>
    </row>
    <row r="25" spans="1:16" s="355" customFormat="1" ht="15" customHeight="1">
      <c r="A25" s="1398"/>
      <c r="B25" s="1399" t="s">
        <v>241</v>
      </c>
      <c r="C25" s="1400">
        <v>5744.192081734911</v>
      </c>
      <c r="D25" s="1401">
        <v>1037.5755893101007</v>
      </c>
      <c r="E25" s="1402">
        <v>9200.9377915581754</v>
      </c>
      <c r="F25" s="1402">
        <v>2696.0696973528684</v>
      </c>
      <c r="G25" s="1403">
        <v>3553.2149766721632</v>
      </c>
      <c r="H25" s="1404">
        <v>3381.2093407789757</v>
      </c>
      <c r="I25" s="1405">
        <v>842.87488864541831</v>
      </c>
      <c r="J25" s="1404">
        <v>406.93969637970042</v>
      </c>
      <c r="K25" s="1404">
        <v>61.115379244246824</v>
      </c>
      <c r="L25" s="1406">
        <v>14785.379437590287</v>
      </c>
      <c r="M25" s="1407">
        <v>19402.315117854912</v>
      </c>
      <c r="N25" s="1407">
        <v>22307.203761411933</v>
      </c>
      <c r="O25" s="1806">
        <v>-2.0000000004074536E-2</v>
      </c>
      <c r="P25" s="382">
        <v>2.9999999998835847E-2</v>
      </c>
    </row>
    <row r="26" spans="1:16" s="355" customFormat="1" ht="21" customHeight="1">
      <c r="A26" s="1398">
        <v>2025</v>
      </c>
      <c r="B26" s="1399" t="s">
        <v>242</v>
      </c>
      <c r="C26" s="1400">
        <v>6174.4822321740648</v>
      </c>
      <c r="D26" s="1401">
        <v>1221.5685891409726</v>
      </c>
      <c r="E26" s="1402">
        <v>9320.9150851286195</v>
      </c>
      <c r="F26" s="1402">
        <v>2888.4885730699057</v>
      </c>
      <c r="G26" s="1403">
        <v>3467.1049914566661</v>
      </c>
      <c r="H26" s="1404">
        <v>3491.1097714417983</v>
      </c>
      <c r="I26" s="1405">
        <v>907.4563050088824</v>
      </c>
      <c r="J26" s="1404">
        <v>354.73180621175339</v>
      </c>
      <c r="K26" s="1404">
        <v>139.10299156218213</v>
      </c>
      <c r="L26" s="1406">
        <v>14478.113618028379</v>
      </c>
      <c r="M26" s="1407">
        <v>20009.071605330424</v>
      </c>
      <c r="N26" s="1407">
        <v>22434.012357892811</v>
      </c>
      <c r="O26" s="1806">
        <v>1.0000000005675247E-2</v>
      </c>
      <c r="P26" s="382">
        <v>0</v>
      </c>
    </row>
    <row r="27" spans="1:16" s="355" customFormat="1" ht="15" customHeight="1">
      <c r="A27" s="1398"/>
      <c r="B27" s="1399" t="s">
        <v>243</v>
      </c>
      <c r="C27" s="1400">
        <v>6045.9517197261075</v>
      </c>
      <c r="D27" s="1401">
        <v>1046.2982146225997</v>
      </c>
      <c r="E27" s="1402">
        <v>9360.1815903129664</v>
      </c>
      <c r="F27" s="1402">
        <v>2866.0114155227857</v>
      </c>
      <c r="G27" s="1403">
        <v>3808.6276445895369</v>
      </c>
      <c r="H27" s="1404">
        <v>3802.7221006311402</v>
      </c>
      <c r="I27" s="1405">
        <v>864.47639993511302</v>
      </c>
      <c r="J27" s="1404">
        <v>421.81779784993921</v>
      </c>
      <c r="K27" s="1404">
        <v>115.57014593158601</v>
      </c>
      <c r="L27" s="1406">
        <v>15221.29427801173</v>
      </c>
      <c r="M27" s="1407">
        <v>20194.857500495309</v>
      </c>
      <c r="N27" s="1407">
        <v>23358.143806638192</v>
      </c>
      <c r="O27" s="1806">
        <v>4.9999999999272404E-2</v>
      </c>
      <c r="P27" s="382">
        <v>0</v>
      </c>
    </row>
    <row r="28" spans="1:16" s="355" customFormat="1" ht="15" customHeight="1">
      <c r="A28" s="1398"/>
      <c r="B28" s="1399" t="s">
        <v>240</v>
      </c>
      <c r="C28" s="1400">
        <f t="shared" ref="C28:N28" si="3">C35</f>
        <v>5183.3850556084917</v>
      </c>
      <c r="D28" s="1401">
        <f t="shared" si="3"/>
        <v>1230.741957589622</v>
      </c>
      <c r="E28" s="1402">
        <f t="shared" si="3"/>
        <v>9343.8965127904667</v>
      </c>
      <c r="F28" s="1402">
        <f t="shared" si="3"/>
        <v>2726.9782774882915</v>
      </c>
      <c r="G28" s="1403">
        <f t="shared" si="3"/>
        <v>4206.3971113845828</v>
      </c>
      <c r="H28" s="1404">
        <f t="shared" si="3"/>
        <v>4231.1280173743644</v>
      </c>
      <c r="I28" s="1405">
        <f t="shared" si="3"/>
        <v>799.99636400237432</v>
      </c>
      <c r="J28" s="1404">
        <f t="shared" si="3"/>
        <v>378.69889483828905</v>
      </c>
      <c r="K28" s="1404">
        <f t="shared" si="3"/>
        <v>142.580116935766</v>
      </c>
      <c r="L28" s="1406">
        <f t="shared" si="3"/>
        <v>15816.907329980262</v>
      </c>
      <c r="M28" s="1407">
        <f t="shared" si="3"/>
        <v>19676.255160721685</v>
      </c>
      <c r="N28" s="1407">
        <f t="shared" si="3"/>
        <v>24384.44447727083</v>
      </c>
      <c r="O28" s="1806">
        <f t="shared" ref="O28" si="4">M28-(C28+E28+G28+I28+K28)</f>
        <v>0</v>
      </c>
      <c r="P28" s="382">
        <f t="shared" ref="P28" si="5">N28-(D28+F28+H28+J28+L28)</f>
        <v>-9.9999999983992893E-3</v>
      </c>
    </row>
    <row r="29" spans="1:16" s="355" customFormat="1" ht="15" customHeight="1">
      <c r="A29" s="1398"/>
      <c r="B29" s="1399" t="s">
        <v>241</v>
      </c>
      <c r="C29" s="1400">
        <f t="shared" ref="C29:N29" si="6">C38</f>
        <v>5690.4605366929072</v>
      </c>
      <c r="D29" s="1401">
        <f t="shared" si="6"/>
        <v>1364.6873823791664</v>
      </c>
      <c r="E29" s="1402">
        <f t="shared" si="6"/>
        <v>9359.5895293878839</v>
      </c>
      <c r="F29" s="1402">
        <f t="shared" si="6"/>
        <v>2961.9740453121799</v>
      </c>
      <c r="G29" s="1403">
        <f t="shared" si="6"/>
        <v>4315.129820693428</v>
      </c>
      <c r="H29" s="1404">
        <f t="shared" si="6"/>
        <v>4216.9969961714605</v>
      </c>
      <c r="I29" s="1405">
        <f t="shared" si="6"/>
        <v>907.79223705822949</v>
      </c>
      <c r="J29" s="1404">
        <f t="shared" si="6"/>
        <v>372.4891029467787</v>
      </c>
      <c r="K29" s="1404">
        <f t="shared" si="6"/>
        <v>159.92422899496597</v>
      </c>
      <c r="L29" s="1406">
        <f t="shared" si="6"/>
        <v>15651.994035783977</v>
      </c>
      <c r="M29" s="1407">
        <f t="shared" si="6"/>
        <v>20432.946352827414</v>
      </c>
      <c r="N29" s="1407">
        <f t="shared" si="6"/>
        <v>24568.161562593559</v>
      </c>
      <c r="O29" s="1806">
        <f t="shared" ref="O29" si="7">M29-(C29+E29+G29+I29+K29)</f>
        <v>4.9999999999272404E-2</v>
      </c>
      <c r="P29" s="382">
        <f t="shared" ref="P29" si="8">N29-(D29+F29+H29+J29+L29)</f>
        <v>1.9999999996798579E-2</v>
      </c>
    </row>
    <row r="30" spans="1:16" s="355" customFormat="1" ht="21" customHeight="1">
      <c r="A30" s="1733">
        <v>2026</v>
      </c>
      <c r="B30" s="1734" t="s">
        <v>242</v>
      </c>
      <c r="C30" s="1735">
        <f t="shared" ref="C30:N30" si="9">C41</f>
        <v>6700.5929820897272</v>
      </c>
      <c r="D30" s="1736">
        <f t="shared" si="9"/>
        <v>1202.9599353906124</v>
      </c>
      <c r="E30" s="1737">
        <f t="shared" si="9"/>
        <v>9495.6805432186593</v>
      </c>
      <c r="F30" s="1737">
        <f t="shared" si="9"/>
        <v>2937.0494632753866</v>
      </c>
      <c r="G30" s="1738">
        <f t="shared" si="9"/>
        <v>4367.4359687404394</v>
      </c>
      <c r="H30" s="1739">
        <f t="shared" si="9"/>
        <v>4409.4511948414774</v>
      </c>
      <c r="I30" s="1740">
        <f t="shared" si="9"/>
        <v>906.37760103080689</v>
      </c>
      <c r="J30" s="1739">
        <f t="shared" si="9"/>
        <v>482.50144966622111</v>
      </c>
      <c r="K30" s="1739">
        <f t="shared" si="9"/>
        <v>164.66719102706597</v>
      </c>
      <c r="L30" s="1741">
        <f t="shared" si="9"/>
        <v>16170.531907353034</v>
      </c>
      <c r="M30" s="1742">
        <f t="shared" si="9"/>
        <v>21634.754286106698</v>
      </c>
      <c r="N30" s="1742">
        <f t="shared" si="9"/>
        <v>25202.463950526733</v>
      </c>
      <c r="O30" s="1806">
        <f t="shared" ref="O30" si="10">M30-(C30+E30+G30+I30+K30)</f>
        <v>0</v>
      </c>
      <c r="P30" s="382">
        <f t="shared" ref="P30" si="11">N30-(D30+F30+H30+J30+L30)</f>
        <v>-2.9999999998835847E-2</v>
      </c>
    </row>
    <row r="31" spans="1:16" s="372" customFormat="1" ht="21" customHeight="1">
      <c r="A31" s="704">
        <v>2025</v>
      </c>
      <c r="B31" s="801" t="s">
        <v>427</v>
      </c>
      <c r="C31" s="1870">
        <v>6081.8081511230284</v>
      </c>
      <c r="D31" s="1870">
        <v>1076.2569001500899</v>
      </c>
      <c r="E31" s="1527">
        <v>9338.5169237477512</v>
      </c>
      <c r="F31" s="1527">
        <v>2880.1585820429941</v>
      </c>
      <c r="G31" s="1641">
        <v>3792.3201207868128</v>
      </c>
      <c r="H31" s="1871">
        <v>3763.2354608824994</v>
      </c>
      <c r="I31" s="1641">
        <v>842.86385015139126</v>
      </c>
      <c r="J31" s="1871">
        <v>410.9394825658274</v>
      </c>
      <c r="K31" s="1871">
        <v>129.15778669406816</v>
      </c>
      <c r="L31" s="1526">
        <v>15139.494892783016</v>
      </c>
      <c r="M31" s="1512">
        <v>20184.656832503049</v>
      </c>
      <c r="N31" s="1512">
        <v>23270.115318424425</v>
      </c>
      <c r="O31" s="412">
        <v>1.3073986337985843E-12</v>
      </c>
      <c r="P31" s="412">
        <v>0</v>
      </c>
    </row>
    <row r="32" spans="1:16" s="372" customFormat="1" ht="16.5" customHeight="1">
      <c r="A32" s="704"/>
      <c r="B32" s="801" t="s">
        <v>428</v>
      </c>
      <c r="C32" s="1870">
        <f>SUM('[5]1'!$C$68:$C$69)+'[5]1'!$C$72+'[5]1'!$C$95</f>
        <v>6045.9517197261075</v>
      </c>
      <c r="D32" s="1870">
        <f>SUM('[5]1'!$D$68:$D$69)+'[5]1'!$D$72+'[5]1'!$D$95</f>
        <v>1046.2982146225997</v>
      </c>
      <c r="E32" s="1527">
        <f>SUM('[5]1'!$C$79:$C$83)+'[5]1'!$C$89+'[5]1'!$C$92</f>
        <v>9360.1815903129664</v>
      </c>
      <c r="F32" s="1527">
        <f>SUM('[5]1'!$D$79:$D$83)+'[5]1'!$D$89+'[5]1'!$D$92</f>
        <v>2866.0114155227857</v>
      </c>
      <c r="G32" s="1641">
        <f>SUM('[5]1'!$C$77:$C$78)+'[5]1'!$C$86</f>
        <v>3808.6276445895369</v>
      </c>
      <c r="H32" s="1871">
        <f>SUM('[5]1'!$D$77:$D$78)+'[5]1'!$D$86</f>
        <v>3802.7221006311402</v>
      </c>
      <c r="I32" s="1641">
        <f>'[5]1'!$C$93+SUM('[5]1'!$C$96:$C$97)</f>
        <v>864.47639993511302</v>
      </c>
      <c r="J32" s="1871">
        <f>'[5]1'!$D$93+SUM('[5]1'!$D$96:$D$97)</f>
        <v>421.81779784993921</v>
      </c>
      <c r="K32" s="1871">
        <f>'[5]1'!$E$98+'[5]1'!$G$98+'[5]1'!$I$98+'[5]1'!$K$98+'[5]1'!$M$98+'[5]1'!$O$98</f>
        <v>115.57014593158601</v>
      </c>
      <c r="L32" s="1526">
        <f>'[5]1'!$F$98+'[5]1'!$H$98+'[5]1'!$J$98+'[5]1'!$L$98+'[5]1'!$N$98+'[5]1'!$P$98</f>
        <v>15221.29427801173</v>
      </c>
      <c r="M32" s="1483">
        <f>'[5]1'!$C$98+'[5]1'!$E$98+'[5]1'!$G$98+'[5]1'!$I$98+'[5]1'!$K$98+'[5]1'!$M$98+'[5]1'!$O$98+0.05</f>
        <v>20194.857500495309</v>
      </c>
      <c r="N32" s="1512">
        <f>'[5]1'!$D$98+'[5]1'!$F$98+'[5]1'!$H$98+'[5]1'!$J$98+'[5]1'!$L$98+'[5]1'!$N$98+'[5]1'!$P$98</f>
        <v>23358.143806638192</v>
      </c>
      <c r="O32" s="412">
        <f t="shared" ref="O32" si="12">ROUND(M32,1)-ROUND(C32,1)-ROUND(E32,1)-ROUND(G32,1)-ROUND(I32,1)-ROUND(K32,1)</f>
        <v>8.2422957348171622E-13</v>
      </c>
      <c r="P32" s="412">
        <f t="shared" ref="P32" si="13">ROUND(N32,1)-ROUND(D32,1)-ROUND(F32,1)-ROUND(H32,1)-ROUND(J32,1)-ROUND(L32,1)</f>
        <v>0</v>
      </c>
    </row>
    <row r="33" spans="1:16" s="372" customFormat="1" ht="16.5" customHeight="1">
      <c r="A33" s="704"/>
      <c r="B33" s="801" t="s">
        <v>429</v>
      </c>
      <c r="C33" s="1870">
        <f>SUM('[6]1'!$C$68:$C$69)+'[6]1'!$C$72+'[6]1'!$C$95</f>
        <v>5889.7772837661532</v>
      </c>
      <c r="D33" s="1870">
        <f>SUM('[6]1'!$D$68:$D$69)+'[6]1'!$D$72+'[6]1'!$D$95</f>
        <v>1174.0263996884023</v>
      </c>
      <c r="E33" s="1527">
        <f>SUM('[6]1'!$C$79:$C$83)+'[6]1'!$C$89+'[6]1'!$C$92</f>
        <v>9344.0253017316245</v>
      </c>
      <c r="F33" s="1487">
        <f>SUM('[6]1'!$D$79:$D$83)+'[6]1'!$D$89+'[6]1'!$D$92+0.01</f>
        <v>2826.5588192589057</v>
      </c>
      <c r="G33" s="1641">
        <f>SUM('[6]1'!$C$77:$C$78)+'[6]1'!$C$86</f>
        <v>3777.6254517686784</v>
      </c>
      <c r="H33" s="1871">
        <f>SUM('[6]1'!$D$77:$D$78)+'[6]1'!$D$86</f>
        <v>3993.7219360018789</v>
      </c>
      <c r="I33" s="1641">
        <f>'[6]1'!$C$93+SUM('[6]1'!$C$96:$C$97)</f>
        <v>862.75254675655231</v>
      </c>
      <c r="J33" s="1871">
        <f>'[6]1'!$D$93+SUM('[6]1'!$D$96:$D$97)</f>
        <v>342.53322706109992</v>
      </c>
      <c r="K33" s="1871">
        <f>'[6]1'!$E$98+'[6]1'!$G$98+'[6]1'!$I$98+'[6]1'!$K$98+'[6]1'!$M$98+'[6]1'!$O$98</f>
        <v>116.68122227596601</v>
      </c>
      <c r="L33" s="1526">
        <f>'[6]1'!$F$98+'[6]1'!$H$98+'[6]1'!$J$98+'[6]1'!$L$98+'[6]1'!$N$98+'[6]1'!$P$98</f>
        <v>15471.936163917915</v>
      </c>
      <c r="M33" s="1512">
        <f>'[6]1'!$C$98+'[6]1'!$E$98+'[6]1'!$G$98+'[6]1'!$I$98+'[6]1'!$K$98+'[6]1'!$M$98+'[6]1'!$O$98</f>
        <v>19990.861806298977</v>
      </c>
      <c r="N33" s="1483">
        <f>'[6]1'!$D$98+'[6]1'!$F$98+'[6]1'!$H$98+'[6]1'!$J$98+'[6]1'!$L$98+'[6]1'!$N$98+'[6]1'!$P$98-0.03</f>
        <v>23808.736545928201</v>
      </c>
      <c r="O33" s="412">
        <f t="shared" ref="O33" si="14">ROUND(M33,1)-ROUND(C33,1)-ROUND(E33,1)-ROUND(G33,1)-ROUND(I33,1)-ROUND(K33,1)</f>
        <v>2.3163693185779266E-12</v>
      </c>
      <c r="P33" s="412">
        <f t="shared" ref="P33" si="15">ROUND(N33,1)-ROUND(D33,1)-ROUND(F33,1)-ROUND(H33,1)-ROUND(J33,1)-ROUND(L33,1)</f>
        <v>0</v>
      </c>
    </row>
    <row r="34" spans="1:16" s="372" customFormat="1" ht="16.5" customHeight="1">
      <c r="A34" s="704"/>
      <c r="B34" s="801" t="s">
        <v>430</v>
      </c>
      <c r="C34" s="1870">
        <f>SUM('[7]1'!$C$68:$C$69)+'[7]1'!$C$72+'[7]1'!$C$95</f>
        <v>5382.6111329489831</v>
      </c>
      <c r="D34" s="1870">
        <f>SUM('[7]1'!$D$68:$D$69)+'[7]1'!$D$72+'[7]1'!$D$95</f>
        <v>1093.5200676300012</v>
      </c>
      <c r="E34" s="1527">
        <f>SUM('[7]1'!$C$79:$C$83)+'[7]1'!$C$89+'[7]1'!$C$92</f>
        <v>9300.410142191964</v>
      </c>
      <c r="F34" s="1527">
        <f>SUM('[7]1'!$D$79:$D$83)+'[7]1'!$D$89+'[7]1'!$D$92</f>
        <v>2801.8783244062361</v>
      </c>
      <c r="G34" s="1641">
        <f>SUM('[7]1'!$C$77:$C$78)+'[7]1'!$C$86</f>
        <v>4172.8679013411383</v>
      </c>
      <c r="H34" s="1871">
        <f>SUM('[7]1'!$D$77:$D$78)+'[7]1'!$D$86</f>
        <v>4079.4094300331099</v>
      </c>
      <c r="I34" s="1641">
        <f>'[7]1'!$C$93+SUM('[7]1'!$C$96:$C$97)</f>
        <v>873.24183190792849</v>
      </c>
      <c r="J34" s="2334">
        <f>'[7]1'!$D$93+SUM('[7]1'!$D$96:$D$97)+0.03</f>
        <v>332.96292589171674</v>
      </c>
      <c r="K34" s="1871">
        <f>'[7]1'!$E$98+'[7]1'!$G$98+'[7]1'!$I$98+'[7]1'!$K$98+'[7]1'!$M$98+'[7]1'!$O$98</f>
        <v>195.49207999570001</v>
      </c>
      <c r="L34" s="1526">
        <f>'[7]1'!$F$98+'[7]1'!$H$98+'[7]1'!$J$98+'[7]1'!$L$98+'[7]1'!$N$98+'[7]1'!$P$98</f>
        <v>16014.573625844576</v>
      </c>
      <c r="M34" s="1512">
        <f>'[7]1'!$C$98+'[7]1'!$E$98+'[7]1'!$G$98+'[7]1'!$I$98+'[7]1'!$K$98+'[7]1'!$M$98+'[7]1'!$O$98</f>
        <v>19924.623088385717</v>
      </c>
      <c r="N34" s="1483">
        <f>'[7]1'!$D$98+'[7]1'!$F$98+'[7]1'!$H$98+'[7]1'!$J$98+'[7]1'!$L$98+'[7]1'!$N$98+'[7]1'!$P$98+0.05</f>
        <v>24322.364373805645</v>
      </c>
      <c r="O34" s="412">
        <f t="shared" ref="O34" si="16">ROUND(M34,1)-ROUND(C34,1)-ROUND(E34,1)-ROUND(G34,1)-ROUND(I34,1)-ROUND(K34,1)</f>
        <v>-1.1368683772161603E-12</v>
      </c>
      <c r="P34" s="412">
        <f t="shared" ref="P34" si="17">ROUND(N34,1)-ROUND(D34,1)-ROUND(F34,1)-ROUND(H34,1)-ROUND(J34,1)-ROUND(L34,1)</f>
        <v>0</v>
      </c>
    </row>
    <row r="35" spans="1:16" s="372" customFormat="1" ht="16.5" customHeight="1">
      <c r="A35" s="704"/>
      <c r="B35" s="801" t="s">
        <v>431</v>
      </c>
      <c r="C35" s="1870">
        <f>SUM('[8]1'!$C$68:$C$69)+'[8]1'!$C$72+'[8]1'!$C$95</f>
        <v>5183.3850556084917</v>
      </c>
      <c r="D35" s="2333">
        <f>SUM('[8]1'!$D$68:$D$69)+'[8]1'!$D$72+'[8]1'!$D$95-0.04</f>
        <v>1230.741957589622</v>
      </c>
      <c r="E35" s="1527">
        <f>SUM('[8]1'!$C$79:$C$83)+'[8]1'!$C$89+'[8]1'!$C$92</f>
        <v>9343.8965127904667</v>
      </c>
      <c r="F35" s="1527">
        <f>SUM('[8]1'!$D$79:$D$83)+'[8]1'!$D$89+'[8]1'!$D$92</f>
        <v>2726.9782774882915</v>
      </c>
      <c r="G35" s="1641">
        <f>SUM('[8]1'!$C$77:$C$78)+'[8]1'!$C$86</f>
        <v>4206.3971113845828</v>
      </c>
      <c r="H35" s="1871">
        <f>SUM('[8]1'!$D$77:$D$78)+'[8]1'!$D$86</f>
        <v>4231.1280173743644</v>
      </c>
      <c r="I35" s="1641">
        <f>'[8]1'!$C$93+SUM('[8]1'!$C$96:$C$97)</f>
        <v>799.99636400237432</v>
      </c>
      <c r="J35" s="1871">
        <f>'[8]1'!$D$93+SUM('[8]1'!$D$96:$D$97)</f>
        <v>378.69889483828905</v>
      </c>
      <c r="K35" s="1871">
        <f>'[8]1'!$E$98+'[8]1'!$G$98+'[8]1'!$I$98+'[8]1'!$K$98+'[8]1'!$M$98+'[8]1'!$O$98</f>
        <v>142.580116935766</v>
      </c>
      <c r="L35" s="1526">
        <f>'[8]1'!$F$98+'[8]1'!$H$98+'[8]1'!$J$98+'[8]1'!$L$98+'[8]1'!$N$98+'[8]1'!$P$98</f>
        <v>15816.907329980262</v>
      </c>
      <c r="M35" s="1512">
        <f>'[8]1'!$C$98+'[8]1'!$E$98+'[8]1'!$G$98+'[8]1'!$I$98+'[8]1'!$K$98+'[8]1'!$M$98+'[8]1'!$O$98</f>
        <v>19676.255160721685</v>
      </c>
      <c r="N35" s="1483">
        <f>'[8]1'!$D$98+'[8]1'!$F$98+'[8]1'!$H$98+'[8]1'!$J$98+'[8]1'!$L$98+'[8]1'!$N$98+'[8]1'!$P$98-0.05</f>
        <v>24384.44447727083</v>
      </c>
      <c r="O35" s="412">
        <f t="shared" ref="O35" si="18">ROUND(M35,1)-ROUND(C35,1)-ROUND(E35,1)-ROUND(G35,1)-ROUND(I35,1)-ROUND(K35,1)</f>
        <v>3.694822225952521E-13</v>
      </c>
      <c r="P35" s="412">
        <f t="shared" ref="P35" si="19">ROUND(N35,1)-ROUND(D35,1)-ROUND(F35,1)-ROUND(H35,1)-ROUND(J35,1)-ROUND(L35,1)</f>
        <v>0</v>
      </c>
    </row>
    <row r="36" spans="1:16" s="372" customFormat="1" ht="16.5" customHeight="1">
      <c r="A36" s="704"/>
      <c r="B36" s="801" t="s">
        <v>420</v>
      </c>
      <c r="C36" s="1870">
        <f>SUM('[9]1'!$C$68:$C$69)+'[9]1'!$C$72+'[9]1'!$C$95</f>
        <v>5524.1935543917243</v>
      </c>
      <c r="D36" s="1870">
        <f>SUM('[9]1'!$D$68:$D$69)+'[9]1'!$D$72+'[9]1'!$D$95</f>
        <v>1266.2737701423521</v>
      </c>
      <c r="E36" s="1527">
        <f>SUM('[9]1'!$C$79:$C$83)+'[9]1'!$C$89+'[9]1'!$C$92</f>
        <v>9362.2319394318256</v>
      </c>
      <c r="F36" s="1527">
        <f>SUM('[9]1'!$D$79:$D$83)+'[9]1'!$D$89+'[9]1'!$D$92</f>
        <v>2823.505643115061</v>
      </c>
      <c r="G36" s="1641">
        <f>SUM('[9]1'!$C$77:$C$78)+'[9]1'!$C$86</f>
        <v>4236.6708973132672</v>
      </c>
      <c r="H36" s="1871">
        <f>SUM('[9]1'!$D$77:$D$78)+'[9]1'!$D$86</f>
        <v>4136.7132714690197</v>
      </c>
      <c r="I36" s="1641">
        <f>'[9]1'!$C$93+SUM('[9]1'!$C$96:$C$97)</f>
        <v>854.16996554387651</v>
      </c>
      <c r="J36" s="1871">
        <f>'[9]1'!$D$93+SUM('[9]1'!$D$96:$D$97)</f>
        <v>307.30785193708238</v>
      </c>
      <c r="K36" s="1871">
        <f>'[9]1'!$E$98+'[9]1'!$G$98+'[9]1'!$I$98+'[9]1'!$K$98+'[9]1'!$M$98+'[9]1'!$O$98</f>
        <v>125.33268749476599</v>
      </c>
      <c r="L36" s="1525">
        <f>'[9]1'!$F$98+'[9]1'!$H$98+'[9]1'!$J$98+'[9]1'!$L$98+'[9]1'!$N$98+'[9]1'!$P$98+0.02</f>
        <v>15551.961070414305</v>
      </c>
      <c r="M36" s="1512">
        <f>'[9]1'!$C$98+'[9]1'!$E$98+'[9]1'!$G$98+'[9]1'!$I$98+'[9]1'!$K$98+'[9]1'!$M$98+'[9]1'!$O$98</f>
        <v>20102.599044175462</v>
      </c>
      <c r="N36" s="1483">
        <f>'[9]1'!$D$98+'[9]1'!$F$98+'[9]1'!$H$98+'[9]1'!$J$98+'[9]1'!$L$98+'[9]1'!$N$98+'[9]1'!$P$98+0.02</f>
        <v>24085.761607077824</v>
      </c>
      <c r="O36" s="412">
        <f t="shared" ref="O36" si="20">ROUND(M36,1)-ROUND(C36,1)-ROUND(E36,1)-ROUND(G36,1)-ROUND(I36,1)-ROUND(K36,1)</f>
        <v>-2.7711166694643907E-12</v>
      </c>
      <c r="P36" s="412">
        <f t="shared" ref="P36" si="21">ROUND(N36,1)-ROUND(D36,1)-ROUND(F36,1)-ROUND(H36,1)-ROUND(J36,1)-ROUND(L36,1)</f>
        <v>0</v>
      </c>
    </row>
    <row r="37" spans="1:16" s="372" customFormat="1" ht="16.5" customHeight="1">
      <c r="A37" s="704"/>
      <c r="B37" s="801" t="s">
        <v>421</v>
      </c>
      <c r="C37" s="1870">
        <f>SUM('[10]1'!$C$68:$C$69)+'[10]1'!$C$72+'[10]1'!$C$95</f>
        <v>5583.1870533430674</v>
      </c>
      <c r="D37" s="1870">
        <f>SUM('[10]1'!$D$68:$D$69)+'[10]1'!$D$72+'[10]1'!$D$95</f>
        <v>1366.4176196372034</v>
      </c>
      <c r="E37" s="1527">
        <f>SUM('[10]1'!$C$79:$C$83)+'[10]1'!$C$89+'[10]1'!$C$92</f>
        <v>9386.5096595468658</v>
      </c>
      <c r="F37" s="1527">
        <f>SUM('[10]1'!$D$79:$D$83)+'[10]1'!$D$89+'[10]1'!$D$92</f>
        <v>2788.3925495724229</v>
      </c>
      <c r="G37" s="1641">
        <f>SUM('[10]1'!$C$77:$C$78)+'[10]1'!$C$86</f>
        <v>4279.8995193698383</v>
      </c>
      <c r="H37" s="1871">
        <f>SUM('[10]1'!$D$77:$D$78)+'[10]1'!$D$86</f>
        <v>4191.0785861229897</v>
      </c>
      <c r="I37" s="1641">
        <f>'[10]1'!$C$93+SUM('[10]1'!$C$96:$C$97)</f>
        <v>885.3539775532455</v>
      </c>
      <c r="J37" s="1871">
        <f>'[10]1'!$D$93+SUM('[10]1'!$D$96:$D$97)</f>
        <v>330.69286112064646</v>
      </c>
      <c r="K37" s="1871">
        <f>'[10]1'!$E$98+'[10]1'!$G$98+'[10]1'!$I$98+'[10]1'!$K$98+'[10]1'!$M$98+'[10]1'!$O$98</f>
        <v>131.91679048368101</v>
      </c>
      <c r="L37" s="1526">
        <f>'[10]1'!$F$98+'[10]1'!$H$98+'[10]1'!$J$98+'[10]1'!$L$98+'[10]1'!$N$98+'[10]1'!$P$98</f>
        <v>15584.312674009951</v>
      </c>
      <c r="M37" s="1512">
        <f>'[10]1'!$C$98+'[10]1'!$E$98+'[10]1'!$G$98+'[10]1'!$I$98+'[10]1'!$K$98+'[10]1'!$M$98+'[10]1'!$O$98</f>
        <v>20266.867000296694</v>
      </c>
      <c r="N37" s="1512">
        <f>'[10]1'!$D$98+'[10]1'!$F$98+'[10]1'!$H$98+'[10]1'!$J$98+'[10]1'!$L$98+'[10]1'!$N$98+'[10]1'!$P$98</f>
        <v>24260.894290463209</v>
      </c>
      <c r="O37" s="412">
        <f t="shared" ref="O37" si="22">ROUND(M37,1)-ROUND(C37,1)-ROUND(E37,1)-ROUND(G37,1)-ROUND(I37,1)-ROUND(K37,1)</f>
        <v>1.1084466677857563E-12</v>
      </c>
      <c r="P37" s="412">
        <f t="shared" ref="P37" si="23">ROUND(N37,1)-ROUND(D37,1)-ROUND(F37,1)-ROUND(H37,1)-ROUND(J37,1)-ROUND(L37,1)</f>
        <v>0</v>
      </c>
    </row>
    <row r="38" spans="1:16" s="372" customFormat="1" ht="16.5" customHeight="1">
      <c r="A38" s="704"/>
      <c r="B38" s="801" t="s">
        <v>422</v>
      </c>
      <c r="C38" s="1870">
        <f>SUM('[11]1'!$C$68:$C$69)+'[11]1'!$C$72+'[11]1'!$C$95</f>
        <v>5690.4605366929072</v>
      </c>
      <c r="D38" s="1870">
        <f>SUM('[11]1'!$D$68:$D$69)+'[11]1'!$D$72+'[11]1'!$D$95</f>
        <v>1364.6873823791664</v>
      </c>
      <c r="E38" s="1527">
        <f>SUM('[11]1'!$C$79:$C$83)+'[11]1'!$C$89+'[11]1'!$C$92</f>
        <v>9359.5895293878839</v>
      </c>
      <c r="F38" s="1527">
        <f>SUM('[11]1'!$D$79:$D$83)+'[11]1'!$D$89+'[11]1'!$D$92</f>
        <v>2961.9740453121799</v>
      </c>
      <c r="G38" s="1642">
        <f>SUM('[11]1'!$C$77:$C$78)+'[11]1'!$C$86-0.05</f>
        <v>4315.129820693428</v>
      </c>
      <c r="H38" s="1871">
        <f>SUM('[11]1'!$D$77:$D$78)+'[11]1'!$D$86</f>
        <v>4216.9969961714605</v>
      </c>
      <c r="I38" s="1641">
        <f>'[11]1'!$C$93+SUM('[11]1'!$C$96:$C$97)</f>
        <v>907.79223705822949</v>
      </c>
      <c r="J38" s="1871">
        <f>'[11]1'!$D$93+SUM('[11]1'!$D$96:$D$97)</f>
        <v>372.4891029467787</v>
      </c>
      <c r="K38" s="1871">
        <f>'[11]1'!$E$98+'[11]1'!$G$98+'[11]1'!$I$98+'[11]1'!$K$98+'[11]1'!$M$98+'[11]1'!$O$98</f>
        <v>159.92422899496597</v>
      </c>
      <c r="L38" s="1526">
        <f>'[11]1'!$F$98+'[11]1'!$H$98+'[11]1'!$J$98+'[11]1'!$L$98+'[11]1'!$N$98+'[11]1'!$P$98</f>
        <v>15651.994035783977</v>
      </c>
      <c r="M38" s="1512">
        <f>'[11]1'!$C$98+'[11]1'!$E$98+'[11]1'!$G$98+'[11]1'!$I$98+'[11]1'!$K$98+'[11]1'!$M$98+'[11]1'!$O$98</f>
        <v>20432.946352827414</v>
      </c>
      <c r="N38" s="1483">
        <f>'[11]1'!$D$98+'[11]1'!$F$98+'[11]1'!$H$98+'[11]1'!$J$98+'[11]1'!$L$98+'[11]1'!$N$98+'[11]1'!$P$98+0.02</f>
        <v>24568.161562593559</v>
      </c>
      <c r="O38" s="412">
        <f t="shared" ref="O38" si="24">ROUND(M38,1)-ROUND(C38,1)-ROUND(E38,1)-ROUND(G38,1)-ROUND(I38,1)-ROUND(K38,1)</f>
        <v>7.673861546209082E-13</v>
      </c>
      <c r="P38" s="412">
        <f t="shared" ref="P38" si="25">ROUND(N38,1)-ROUND(D38,1)-ROUND(F38,1)-ROUND(H38,1)-ROUND(J38,1)-ROUND(L38,1)</f>
        <v>0</v>
      </c>
    </row>
    <row r="39" spans="1:16" s="372" customFormat="1" ht="21" customHeight="1">
      <c r="A39" s="704">
        <v>2026</v>
      </c>
      <c r="B39" s="801" t="s">
        <v>423</v>
      </c>
      <c r="C39" s="1870">
        <f>SUM('[12]1'!$C$68:$C$69)+'[12]1'!$C$72+'[12]1'!$C$95</f>
        <v>5813.9356060268419</v>
      </c>
      <c r="D39" s="1870">
        <f>SUM('[12]1'!$D$68:$D$69)+'[12]1'!$D$72+'[12]1'!$D$95</f>
        <v>1338.3801009130216</v>
      </c>
      <c r="E39" s="1487">
        <f>SUM('[12]1'!$C$79:$C$83)+'[12]1'!$C$89+'[12]1'!$C$92-0.02</f>
        <v>9351.8370352808088</v>
      </c>
      <c r="F39" s="1527">
        <f>SUM('[12]1'!$D$79:$D$83)+'[12]1'!$D$89+'[12]1'!$D$92</f>
        <v>2848.2968093432105</v>
      </c>
      <c r="G39" s="1641">
        <f>SUM('[12]1'!$C$77:$C$78)+'[12]1'!$C$86</f>
        <v>4373.4279507645906</v>
      </c>
      <c r="H39" s="2334">
        <f>SUM('[12]1'!$D$77:$D$78)+'[12]1'!$D$86+0.03</f>
        <v>4240.8601334155346</v>
      </c>
      <c r="I39" s="1641">
        <f>'[12]1'!$C$93+SUM('[12]1'!$C$96:$C$97)</f>
        <v>936.95826741432984</v>
      </c>
      <c r="J39" s="2334">
        <f>'[12]1'!$D$93+SUM('[12]1'!$D$96:$D$97)-0.05</f>
        <v>342.72658334892611</v>
      </c>
      <c r="K39" s="1871">
        <f>'[12]1'!$E$98+'[12]1'!$G$98+'[12]1'!$I$98+'[12]1'!$K$98+'[12]1'!$M$98+'[12]1'!$O$98</f>
        <v>170.62616406835375</v>
      </c>
      <c r="L39" s="1526">
        <f>'[12]1'!$F$98+'[12]1'!$H$98+'[12]1'!$J$98+'[12]1'!$L$98+'[12]1'!$N$98+'[12]1'!$P$98</f>
        <v>15854.276868928773</v>
      </c>
      <c r="M39" s="1483">
        <f>'[12]1'!$C$98+'[12]1'!$E$98+'[12]1'!$G$98+'[12]1'!$I$98+'[12]1'!$K$98+'[12]1'!$M$98+'[12]1'!$O$98-0.1</f>
        <v>20646.705023554925</v>
      </c>
      <c r="N39" s="1512">
        <f>'[12]1'!$D$98+'[12]1'!$F$98+'[12]1'!$H$98+'[12]1'!$J$98+'[12]1'!$L$98+'[12]1'!$N$98+'[12]1'!$P$98</f>
        <v>24624.56049594947</v>
      </c>
      <c r="O39" s="412">
        <f t="shared" ref="O39" si="26">ROUND(M39,1)-ROUND(C39,1)-ROUND(E39,1)-ROUND(G39,1)-ROUND(I39,1)-ROUND(K39,1)</f>
        <v>2.1884716261411086E-12</v>
      </c>
      <c r="P39" s="412">
        <f t="shared" ref="P39" si="27">ROUND(N39,1)-ROUND(D39,1)-ROUND(F39,1)-ROUND(H39,1)-ROUND(J39,1)-ROUND(L39,1)</f>
        <v>0</v>
      </c>
    </row>
    <row r="40" spans="1:16" s="372" customFormat="1" ht="16.5" customHeight="1">
      <c r="A40" s="704"/>
      <c r="B40" s="801" t="s">
        <v>424</v>
      </c>
      <c r="C40" s="1870">
        <f>SUM('[13]1'!$C$68:$C$69)+'[13]1'!$C$72+'[13]1'!$C$95</f>
        <v>5823.2816559569419</v>
      </c>
      <c r="D40" s="1870">
        <f>SUM('[13]1'!$D$68:$D$69)+'[13]1'!$D$72+'[13]1'!$D$95</f>
        <v>1021.6419949412947</v>
      </c>
      <c r="E40" s="1487">
        <f>SUM('[13]1'!$C$79:$C$83)+'[13]1'!$C$89+'[13]1'!$C$92-0.03</f>
        <v>9425.9368105309677</v>
      </c>
      <c r="F40" s="1487">
        <f>SUM('[13]1'!$D$79:$D$83)+'[13]1'!$D$89+'[13]1'!$D$92+0.03</f>
        <v>2783.4584692711492</v>
      </c>
      <c r="G40" s="1642">
        <f>SUM('[13]1'!$C$77:$C$78)+'[13]1'!$C$86+0.1</f>
        <v>4494.2454165101899</v>
      </c>
      <c r="H40" s="1871">
        <f>SUM('[13]1'!$D$77:$D$78)+'[13]1'!$D$86</f>
        <v>4488.1095849338581</v>
      </c>
      <c r="I40" s="1641">
        <f>'[13]1'!$C$93+SUM('[13]1'!$C$96:$C$97)</f>
        <v>910.06795679988238</v>
      </c>
      <c r="J40" s="1871">
        <f>'[13]1'!$D$93+SUM('[13]1'!$D$96:$D$97)</f>
        <v>381.70283397837028</v>
      </c>
      <c r="K40" s="1871">
        <f>'[13]1'!$E$98+'[13]1'!$G$98+'[13]1'!$I$98+'[13]1'!$K$98+'[13]1'!$M$98+'[13]1'!$O$98</f>
        <v>170.86225568176604</v>
      </c>
      <c r="L40" s="1526">
        <f>'[13]1'!$F$98+'[13]1'!$H$98+'[13]1'!$J$98+'[13]1'!$L$98+'[13]1'!$N$98+'[13]1'!$P$98</f>
        <v>16511.195565993574</v>
      </c>
      <c r="M40" s="1483">
        <f>'[13]1'!$C$98+'[13]1'!$E$98+'[13]1'!$G$98+'[13]1'!$I$98+'[13]1'!$K$98+'[13]1'!$M$98+'[13]1'!$O$98+0.05</f>
        <v>20824.37409547975</v>
      </c>
      <c r="N40" s="1512">
        <f>'[13]1'!$D$98+'[13]1'!$F$98+'[13]1'!$H$98+'[13]1'!$J$98+'[13]1'!$L$98+'[13]1'!$N$98+'[13]1'!$P$98</f>
        <v>25186.078449118242</v>
      </c>
      <c r="O40" s="412">
        <f t="shared" ref="O40" si="28">ROUND(M40,1)-ROUND(C40,1)-ROUND(E40,1)-ROUND(G40,1)-ROUND(I40,1)-ROUND(K40,1)</f>
        <v>2.7000623958883807E-12</v>
      </c>
      <c r="P40" s="412">
        <f t="shared" ref="P40" si="29">ROUND(N40,1)-ROUND(D40,1)-ROUND(F40,1)-ROUND(H40,1)-ROUND(J40,1)-ROUND(L40,1)</f>
        <v>0</v>
      </c>
    </row>
    <row r="41" spans="1:16" s="372" customFormat="1" ht="16.5" customHeight="1">
      <c r="A41" s="704"/>
      <c r="B41" s="801" t="s">
        <v>425</v>
      </c>
      <c r="C41" s="1870">
        <f>SUM('[14]1'!$C$68:$C$69)+'[14]1'!$C$72+'[14]1'!$C$95</f>
        <v>6700.5929820897272</v>
      </c>
      <c r="D41" s="1870">
        <f>SUM('[14]1'!$D$68:$D$69)+'[14]1'!$D$72+'[14]1'!$D$95</f>
        <v>1202.9599353906124</v>
      </c>
      <c r="E41" s="1527">
        <f>SUM('[14]1'!$C$79:$C$83)+'[14]1'!$C$89+'[14]1'!$C$92</f>
        <v>9495.6805432186593</v>
      </c>
      <c r="F41" s="1527">
        <f>SUM('[14]1'!$D$79:$D$83)+'[14]1'!$D$89+'[14]1'!$D$92</f>
        <v>2937.0494632753866</v>
      </c>
      <c r="G41" s="1641">
        <f>SUM('[14]1'!$C$77:$C$78)+'[14]1'!$C$86</f>
        <v>4367.4359687404394</v>
      </c>
      <c r="H41" s="2334">
        <f>SUM('[14]1'!$D$77:$D$78)+'[14]1'!$D$86+0.03</f>
        <v>4409.4511948414774</v>
      </c>
      <c r="I41" s="1641">
        <f>'[14]1'!$C$93+SUM('[14]1'!$C$96:$C$97)</f>
        <v>906.37760103080689</v>
      </c>
      <c r="J41" s="1871">
        <f>'[14]1'!$D$93+SUM('[14]1'!$D$96:$D$97)</f>
        <v>482.50144966622111</v>
      </c>
      <c r="K41" s="1871">
        <f>'[14]1'!$E$98+'[14]1'!$G$98+'[14]1'!$I$98+'[14]1'!$K$98+'[14]1'!$M$98+'[14]1'!$O$98</f>
        <v>164.66719102706597</v>
      </c>
      <c r="L41" s="1526">
        <f>'[14]1'!$F$98+'[14]1'!$H$98+'[14]1'!$J$98+'[14]1'!$L$98+'[14]1'!$N$98+'[14]1'!$P$98</f>
        <v>16170.531907353034</v>
      </c>
      <c r="M41" s="1512">
        <f>'[14]1'!$C$98+'[14]1'!$E$98+'[14]1'!$G$98+'[14]1'!$I$98+'[14]1'!$K$98+'[14]1'!$M$98+'[14]1'!$O$98</f>
        <v>21634.754286106698</v>
      </c>
      <c r="N41" s="1512">
        <f>'[14]1'!$D$98+'[14]1'!$F$98+'[14]1'!$H$98+'[14]1'!$J$98+'[14]1'!$L$98+'[14]1'!$N$98+'[14]1'!$P$98</f>
        <v>25202.463950526733</v>
      </c>
      <c r="O41" s="412">
        <f t="shared" ref="O41" si="30">ROUND(M41,1)-ROUND(C41,1)-ROUND(E41,1)-ROUND(G41,1)-ROUND(I41,1)-ROUND(K41,1)</f>
        <v>-1.4210854715202004E-12</v>
      </c>
      <c r="P41" s="412">
        <f t="shared" ref="P41" si="31">ROUND(N41,1)-ROUND(D41,1)-ROUND(F41,1)-ROUND(H41,1)-ROUND(J41,1)-ROUND(L41,1)</f>
        <v>0</v>
      </c>
    </row>
    <row r="42" spans="1:16" s="372" customFormat="1" ht="16.5" customHeight="1">
      <c r="A42" s="704"/>
      <c r="B42" s="801" t="s">
        <v>426</v>
      </c>
      <c r="C42" s="2333">
        <f>SUM('[15]1'!$C$68:$C$69)+'[15]1'!$C$72+'[15]1'!$C$95+0.01</f>
        <v>6392.0583271067899</v>
      </c>
      <c r="D42" s="1870">
        <f>SUM('[15]1'!$D$68:$D$69)+'[15]1'!$D$72+'[15]1'!$D$95</f>
        <v>1293.8003565377574</v>
      </c>
      <c r="E42" s="1527">
        <f>SUM('[15]1'!$C$79:$C$83)+'[15]1'!$C$89+'[15]1'!$C$92</f>
        <v>9549.9730229811576</v>
      </c>
      <c r="F42" s="1487">
        <f>SUM('[15]1'!$D$79:$D$83)+'[15]1'!$D$89+'[15]1'!$D$92-0.05</f>
        <v>3091.5451664844113</v>
      </c>
      <c r="G42" s="1641">
        <f>SUM('[15]1'!$C$77:$C$78)+'[15]1'!$C$86</f>
        <v>4262.5784826818399</v>
      </c>
      <c r="H42" s="2334">
        <f>SUM('[15]1'!$D$77:$D$78)+'[15]1'!$D$86-0.03</f>
        <v>4413.843309092902</v>
      </c>
      <c r="I42" s="1641">
        <f>'[15]1'!$C$93+SUM('[15]1'!$C$96:$C$97)</f>
        <v>821.51735868977391</v>
      </c>
      <c r="J42" s="1871">
        <f>'[15]1'!$D$93+SUM('[15]1'!$D$96:$D$97)</f>
        <v>394.15421998828066</v>
      </c>
      <c r="K42" s="1871">
        <f>'[15]1'!$E$98+'[15]1'!$G$98+'[15]1'!$I$98+'[15]1'!$K$98+'[15]1'!$M$98+'[15]1'!$O$98</f>
        <v>161.94260069763101</v>
      </c>
      <c r="L42" s="1526">
        <f>'[15]1'!$F$98+'[15]1'!$H$98+'[15]1'!$J$98+'[15]1'!$L$98+'[15]1'!$N$98+'[15]1'!$P$98</f>
        <v>16755.488868830893</v>
      </c>
      <c r="M42" s="1512">
        <f>'[15]1'!$C$98+'[15]1'!$E$98+'[15]1'!$G$98+'[15]1'!$I$98+'[15]1'!$K$98+'[15]1'!$M$98+'[15]1'!$O$98</f>
        <v>21188.059792157186</v>
      </c>
      <c r="N42" s="1483">
        <f>'[15]1'!$D$98+'[15]1'!$F$98+'[15]1'!$H$98+'[15]1'!$J$98+'[15]1'!$L$98+'[15]1'!$N$98+'[15]1'!$P$98-0.07</f>
        <v>25948.841920934246</v>
      </c>
      <c r="O42" s="412">
        <f t="shared" ref="O42" si="32">ROUND(M42,1)-ROUND(C42,1)-ROUND(E42,1)-ROUND(G42,1)-ROUND(I42,1)-ROUND(K42,1)</f>
        <v>-2.1884716261411086E-12</v>
      </c>
      <c r="P42" s="412">
        <f t="shared" ref="P42" si="33">ROUND(N42,1)-ROUND(D42,1)-ROUND(F42,1)-ROUND(H42,1)-ROUND(J42,1)-ROUND(L42,1)</f>
        <v>0</v>
      </c>
    </row>
    <row r="43" spans="1:16" s="372" customFormat="1" ht="16.5" customHeight="1">
      <c r="A43" s="704"/>
      <c r="B43" s="801" t="s">
        <v>427</v>
      </c>
      <c r="C43" s="1870">
        <f>SUM('[16]1'!$C$68:$C$69)+'[16]1'!$C$72+'[16]1'!$C$95</f>
        <v>6268.684916962553</v>
      </c>
      <c r="D43" s="1870">
        <f>SUM('[16]1'!$D$68:$D$69)+'[16]1'!$D$72+'[16]1'!$D$95</f>
        <v>1234.108559575599</v>
      </c>
      <c r="E43" s="1487">
        <f>SUM('[16]1'!$C$79:$C$83)+'[16]1'!$C$89+'[16]1'!$C$92-0.03</f>
        <v>9612.4438074859863</v>
      </c>
      <c r="F43" s="1527">
        <f>SUM('[16]1'!$D$79:$D$83)+'[16]1'!$D$89+'[16]1'!$D$92</f>
        <v>3011.4590280299103</v>
      </c>
      <c r="G43" s="1641">
        <f>SUM('[16]1'!$C$77:$C$78)+'[16]1'!$C$86</f>
        <v>4260.166293345821</v>
      </c>
      <c r="H43" s="2334">
        <f>SUM('[16]1'!$D$77:$D$78)+'[16]1'!$D$86-0.01</f>
        <v>4383.1427387181329</v>
      </c>
      <c r="I43" s="1641">
        <f>'[16]1'!$C$93+SUM('[16]1'!$C$96:$C$97)</f>
        <v>932.97094067591627</v>
      </c>
      <c r="J43" s="1871">
        <f>'[16]1'!$D$93+SUM('[16]1'!$D$96:$D$97)</f>
        <v>435.88770296623449</v>
      </c>
      <c r="K43" s="1871">
        <f>'[16]1'!$E$98+'[16]1'!$G$98+'[16]1'!$I$98+'[16]1'!$K$98+'[16]1'!$M$98+'[16]1'!$O$98</f>
        <v>167.60232938297702</v>
      </c>
      <c r="L43" s="1526">
        <f>'[16]1'!$F$98+'[16]1'!$H$98+'[16]1'!$J$98+'[16]1'!$L$98+'[16]1'!$N$98+'[16]1'!$P$98</f>
        <v>16740.35466689591</v>
      </c>
      <c r="M43" s="1512">
        <f>'[16]1'!$C$98+'[16]1'!$E$98+'[16]1'!$G$98+'[16]1'!$I$98+'[16]1'!$K$98+'[16]1'!$M$98+'[16]1'!$O$98</f>
        <v>21241.898287853255</v>
      </c>
      <c r="N43" s="1512">
        <f>'[16]1'!$D$98+'[16]1'!$F$98+'[16]1'!$H$98+'[16]1'!$J$98+'[16]1'!$L$98+'[16]1'!$N$98+'[16]1'!$P$98</f>
        <v>25804.962696185787</v>
      </c>
      <c r="O43" s="412">
        <f t="shared" ref="O43" si="34">ROUND(M43,1)-ROUND(C43,1)-ROUND(E43,1)-ROUND(G43,1)-ROUND(I43,1)-ROUND(K43,1)</f>
        <v>1.2789769243681803E-12</v>
      </c>
      <c r="P43" s="412">
        <f t="shared" ref="P43" si="35">ROUND(N43,1)-ROUND(D43,1)-ROUND(F43,1)-ROUND(H43,1)-ROUND(J43,1)-ROUND(L43,1)</f>
        <v>0</v>
      </c>
    </row>
    <row r="44" spans="1:16">
      <c r="A44" s="224"/>
      <c r="B44" s="224"/>
      <c r="C44" s="224"/>
      <c r="D44" s="224"/>
      <c r="E44" s="224"/>
      <c r="F44" s="224"/>
      <c r="G44" s="224"/>
      <c r="H44" s="224"/>
      <c r="I44" s="224"/>
      <c r="J44" s="224"/>
      <c r="K44" s="224"/>
      <c r="L44" s="224"/>
      <c r="M44" s="224"/>
      <c r="N44" s="224"/>
    </row>
    <row r="45" spans="1:16">
      <c r="C45" s="1472"/>
      <c r="D45" s="1472"/>
      <c r="E45" s="1472"/>
      <c r="F45" s="1472"/>
      <c r="G45" s="1472"/>
      <c r="H45" s="1472"/>
      <c r="I45" s="1472"/>
      <c r="J45" s="1472"/>
      <c r="K45" s="1472"/>
      <c r="L45" s="1472"/>
      <c r="M45" s="1472"/>
      <c r="N45" s="1472"/>
    </row>
    <row r="46" spans="1:16">
      <c r="B46" s="1"/>
      <c r="C46" s="1472"/>
      <c r="D46" s="1472"/>
      <c r="E46" s="1472"/>
      <c r="F46" s="1472"/>
      <c r="G46" s="1472"/>
      <c r="H46" s="1472"/>
      <c r="I46" s="1472"/>
      <c r="J46" s="1472"/>
      <c r="K46" s="1472"/>
      <c r="L46" s="1472"/>
      <c r="M46" s="1472"/>
      <c r="N46" s="1472"/>
    </row>
    <row r="47" spans="1:16" ht="14">
      <c r="A47" s="476" t="s">
        <v>865</v>
      </c>
      <c r="B47" s="1"/>
      <c r="C47" s="1"/>
      <c r="D47" s="1"/>
      <c r="E47" s="1"/>
      <c r="F47" s="1"/>
      <c r="G47" s="1"/>
      <c r="H47" s="1"/>
      <c r="I47" s="1"/>
      <c r="J47" s="1"/>
      <c r="K47" s="1"/>
      <c r="L47" s="1"/>
      <c r="M47" s="1"/>
      <c r="N47" s="1"/>
    </row>
    <row r="50" spans="1:1">
      <c r="A50" s="287"/>
    </row>
    <row r="51" spans="1:1">
      <c r="A51" s="1246"/>
    </row>
  </sheetData>
  <mergeCells count="2">
    <mergeCell ref="K8:L10"/>
    <mergeCell ref="M8:N10"/>
  </mergeCells>
  <phoneticPr fontId="0" type="noConversion"/>
  <printOptions horizontalCentered="1" verticalCentered="1"/>
  <pageMargins left="0" right="0" top="0" bottom="0" header="0.51181102362204722" footer="0.51181102362204722"/>
  <pageSetup paperSize="9" scale="7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tabColor rgb="FFFF0000"/>
    <pageSetUpPr fitToPage="1"/>
  </sheetPr>
  <dimension ref="A1:P50"/>
  <sheetViews>
    <sheetView zoomScale="80" zoomScaleNormal="80" workbookViewId="0">
      <pane ySplit="12" topLeftCell="A40" activePane="bottomLeft" state="frozen"/>
      <selection activeCell="B44" sqref="B44"/>
      <selection pane="bottomLeft" activeCell="I44" sqref="I44"/>
    </sheetView>
  </sheetViews>
  <sheetFormatPr defaultColWidth="8.81640625" defaultRowHeight="12.5"/>
  <cols>
    <col min="1" max="2" width="9.7265625" customWidth="1"/>
    <col min="3" max="14" width="12.7265625" customWidth="1"/>
  </cols>
  <sheetData>
    <row r="1" spans="1:16" s="1111" customFormat="1" ht="18" customHeight="1">
      <c r="A1" s="1073" t="s">
        <v>866</v>
      </c>
      <c r="B1" s="1074"/>
      <c r="C1" s="1081"/>
      <c r="D1" s="1081"/>
      <c r="E1" s="1081"/>
      <c r="F1" s="1081"/>
      <c r="G1" s="1081"/>
      <c r="H1" s="1081"/>
      <c r="I1" s="1081"/>
      <c r="J1" s="1081"/>
      <c r="K1" s="1081"/>
      <c r="L1" s="1081"/>
      <c r="M1" s="1081"/>
      <c r="N1" s="1081"/>
    </row>
    <row r="2" spans="1:16" s="1111" customFormat="1" ht="18" customHeight="1">
      <c r="A2" s="1084" t="s">
        <v>804</v>
      </c>
      <c r="B2" s="1074"/>
      <c r="C2" s="1081"/>
      <c r="D2" s="1081"/>
      <c r="E2" s="1081"/>
      <c r="F2" s="1081"/>
      <c r="G2" s="1081"/>
      <c r="H2" s="1081"/>
      <c r="I2" s="1081"/>
      <c r="J2" s="1081"/>
      <c r="K2" s="1081"/>
      <c r="L2" s="1081"/>
      <c r="M2" s="1081"/>
      <c r="N2" s="1081"/>
    </row>
    <row r="3" spans="1:16" s="1111" customFormat="1" ht="18" customHeight="1">
      <c r="A3" s="1073" t="s">
        <v>805</v>
      </c>
      <c r="B3" s="1109"/>
      <c r="C3" s="1109"/>
      <c r="D3" s="1109"/>
      <c r="E3" s="1109"/>
      <c r="F3" s="1109"/>
      <c r="G3" s="1109"/>
      <c r="H3" s="1109"/>
      <c r="I3" s="1109"/>
      <c r="J3" s="1109"/>
      <c r="K3" s="1109"/>
      <c r="L3" s="1109"/>
      <c r="M3" s="1085"/>
      <c r="N3" s="1116"/>
    </row>
    <row r="4" spans="1:16" s="1111" customFormat="1" ht="18" customHeight="1">
      <c r="A4" s="1084" t="s">
        <v>43</v>
      </c>
      <c r="B4" s="1074"/>
      <c r="C4" s="1081"/>
      <c r="D4" s="1081"/>
      <c r="E4" s="1081"/>
      <c r="F4" s="1081"/>
      <c r="G4" s="1081"/>
      <c r="H4" s="1081"/>
      <c r="I4" s="1081"/>
      <c r="J4" s="1081"/>
      <c r="K4" s="1081"/>
      <c r="L4" s="1081"/>
      <c r="M4" s="1081"/>
      <c r="N4" s="1081"/>
    </row>
    <row r="5" spans="1:16" s="1111" customFormat="1" ht="18" customHeight="1">
      <c r="A5" s="1073" t="s">
        <v>42</v>
      </c>
      <c r="B5" s="1074"/>
      <c r="C5" s="1081"/>
      <c r="D5" s="1081"/>
      <c r="E5" s="1081"/>
      <c r="F5" s="1081"/>
      <c r="G5" s="1081"/>
      <c r="H5" s="1081"/>
      <c r="I5" s="1081"/>
      <c r="J5" s="1081"/>
      <c r="K5" s="1081"/>
      <c r="L5" s="1081"/>
      <c r="M5" s="1081"/>
      <c r="N5" s="1081"/>
    </row>
    <row r="6" spans="1:16" ht="1.5" customHeight="1">
      <c r="A6" s="17"/>
      <c r="B6" s="5"/>
      <c r="C6" s="4"/>
      <c r="D6" s="4" t="s">
        <v>806</v>
      </c>
      <c r="E6" s="4"/>
      <c r="F6" s="4"/>
      <c r="G6" s="4"/>
      <c r="H6" s="4"/>
      <c r="I6" s="4"/>
      <c r="J6" s="4"/>
      <c r="K6" s="4"/>
      <c r="L6" s="4" t="s">
        <v>806</v>
      </c>
      <c r="M6" s="4"/>
      <c r="N6" s="4"/>
    </row>
    <row r="7" spans="1:16" s="1111" customFormat="1" ht="15.5">
      <c r="A7" s="1104" t="s">
        <v>377</v>
      </c>
      <c r="M7" s="1203"/>
      <c r="N7" s="1204" t="s">
        <v>378</v>
      </c>
    </row>
    <row r="8" spans="1:16" s="143" customFormat="1" ht="17.5" customHeight="1">
      <c r="A8" s="55"/>
      <c r="B8" s="129"/>
      <c r="C8" s="362" t="s">
        <v>832</v>
      </c>
      <c r="D8" s="135"/>
      <c r="E8" s="135"/>
      <c r="F8" s="135"/>
      <c r="G8" s="136"/>
      <c r="H8" s="137"/>
      <c r="I8" s="268"/>
      <c r="J8" s="361" t="s">
        <v>833</v>
      </c>
      <c r="K8" s="2629" t="s">
        <v>867</v>
      </c>
      <c r="L8" s="2630"/>
      <c r="M8" s="2629" t="s">
        <v>868</v>
      </c>
      <c r="N8" s="2630"/>
    </row>
    <row r="9" spans="1:16" s="143" customFormat="1" ht="17.5" customHeight="1">
      <c r="A9" s="58"/>
      <c r="B9" s="41"/>
      <c r="C9" s="29" t="s">
        <v>441</v>
      </c>
      <c r="D9" s="102"/>
      <c r="E9" s="30" t="s">
        <v>863</v>
      </c>
      <c r="F9" s="83"/>
      <c r="G9" s="138" t="s">
        <v>398</v>
      </c>
      <c r="H9" s="139"/>
      <c r="I9" s="144" t="s">
        <v>399</v>
      </c>
      <c r="J9" s="115"/>
      <c r="K9" s="2631"/>
      <c r="L9" s="2632"/>
      <c r="M9" s="2631"/>
      <c r="N9" s="2632"/>
    </row>
    <row r="10" spans="1:16" s="143" customFormat="1" ht="17.5" customHeight="1">
      <c r="A10" s="26" t="s">
        <v>387</v>
      </c>
      <c r="B10" s="76"/>
      <c r="C10" s="99" t="s">
        <v>413</v>
      </c>
      <c r="D10" s="62"/>
      <c r="E10" s="99" t="s">
        <v>864</v>
      </c>
      <c r="F10" s="62"/>
      <c r="G10" s="59" t="s">
        <v>810</v>
      </c>
      <c r="H10" s="100"/>
      <c r="I10" s="59" t="s">
        <v>407</v>
      </c>
      <c r="J10" s="100"/>
      <c r="K10" s="2633"/>
      <c r="L10" s="2634"/>
      <c r="M10" s="2633"/>
      <c r="N10" s="2634"/>
    </row>
    <row r="11" spans="1:16" s="143" customFormat="1" ht="17.5" customHeight="1">
      <c r="A11" s="64" t="s">
        <v>395</v>
      </c>
      <c r="B11" s="62"/>
      <c r="C11" s="96" t="s">
        <v>482</v>
      </c>
      <c r="D11" s="96" t="s">
        <v>396</v>
      </c>
      <c r="E11" s="96" t="s">
        <v>482</v>
      </c>
      <c r="F11" s="96" t="s">
        <v>396</v>
      </c>
      <c r="G11" s="96" t="s">
        <v>482</v>
      </c>
      <c r="H11" s="96" t="s">
        <v>396</v>
      </c>
      <c r="I11" s="96" t="s">
        <v>482</v>
      </c>
      <c r="J11" s="96" t="s">
        <v>396</v>
      </c>
      <c r="K11" s="96" t="s">
        <v>482</v>
      </c>
      <c r="L11" s="96" t="s">
        <v>396</v>
      </c>
      <c r="M11" s="96" t="s">
        <v>482</v>
      </c>
      <c r="N11" s="96" t="s">
        <v>396</v>
      </c>
    </row>
    <row r="12" spans="1:16" s="143" customFormat="1" ht="17.5" customHeight="1">
      <c r="A12" s="34"/>
      <c r="B12" s="68"/>
      <c r="C12" s="141" t="s">
        <v>149</v>
      </c>
      <c r="D12" s="142" t="s">
        <v>486</v>
      </c>
      <c r="E12" s="123" t="s">
        <v>149</v>
      </c>
      <c r="F12" s="123" t="s">
        <v>486</v>
      </c>
      <c r="G12" s="122" t="s">
        <v>149</v>
      </c>
      <c r="H12" s="141" t="s">
        <v>486</v>
      </c>
      <c r="I12" s="122" t="s">
        <v>149</v>
      </c>
      <c r="J12" s="141" t="s">
        <v>486</v>
      </c>
      <c r="K12" s="59" t="s">
        <v>149</v>
      </c>
      <c r="L12" s="70" t="s">
        <v>486</v>
      </c>
      <c r="M12" s="59" t="s">
        <v>149</v>
      </c>
      <c r="N12" s="70" t="s">
        <v>486</v>
      </c>
      <c r="O12" s="202" t="s">
        <v>149</v>
      </c>
      <c r="P12" s="202" t="s">
        <v>486</v>
      </c>
    </row>
    <row r="13" spans="1:16" s="274" customFormat="1" ht="20.25" customHeight="1">
      <c r="A13" s="263">
        <v>2016</v>
      </c>
      <c r="B13" s="273"/>
      <c r="C13" s="282">
        <v>579.85826877843999</v>
      </c>
      <c r="D13" s="282">
        <v>1044.308414674317</v>
      </c>
      <c r="E13" s="461">
        <v>7443.1104031751838</v>
      </c>
      <c r="F13" s="461">
        <v>2241.0663992753734</v>
      </c>
      <c r="G13" s="282">
        <v>1822.4270104740001</v>
      </c>
      <c r="H13" s="282">
        <v>299.88302245900002</v>
      </c>
      <c r="I13" s="461">
        <v>2571.3646182724069</v>
      </c>
      <c r="J13" s="462">
        <v>758.64686689305063</v>
      </c>
      <c r="K13" s="279">
        <v>1308.5493400848645</v>
      </c>
      <c r="L13" s="461">
        <v>13144.254380962431</v>
      </c>
      <c r="M13" s="283">
        <v>13725.349640784894</v>
      </c>
      <c r="N13" s="283">
        <v>17488.159084264171</v>
      </c>
      <c r="O13" s="412">
        <v>3.9999999999054126E-2</v>
      </c>
      <c r="P13" s="412">
        <v>0</v>
      </c>
    </row>
    <row r="14" spans="1:16" s="276" customFormat="1" ht="14.25" customHeight="1">
      <c r="A14" s="265">
        <v>2017</v>
      </c>
      <c r="B14" s="275"/>
      <c r="C14" s="463">
        <v>504.59508169000003</v>
      </c>
      <c r="D14" s="463">
        <v>754.4946556333731</v>
      </c>
      <c r="E14" s="464">
        <v>7541.8592944910406</v>
      </c>
      <c r="F14" s="464">
        <v>2576.602583168858</v>
      </c>
      <c r="G14" s="460">
        <v>1962.8939980619998</v>
      </c>
      <c r="H14" s="465">
        <v>257.598066604</v>
      </c>
      <c r="I14" s="464">
        <v>2669.4350580149198</v>
      </c>
      <c r="J14" s="466">
        <v>836.00724174297557</v>
      </c>
      <c r="K14" s="455">
        <v>1063.8516252512086</v>
      </c>
      <c r="L14" s="464">
        <v>13221.603134814433</v>
      </c>
      <c r="M14" s="467">
        <v>13742.655791509169</v>
      </c>
      <c r="N14" s="467">
        <v>17646.30568196364</v>
      </c>
      <c r="O14" s="425">
        <v>2.0733999999720254E-2</v>
      </c>
      <c r="P14" s="425">
        <v>0</v>
      </c>
    </row>
    <row r="15" spans="1:16" s="889" customFormat="1" ht="14.25" customHeight="1">
      <c r="A15" s="884">
        <v>2018</v>
      </c>
      <c r="B15" s="885"/>
      <c r="C15" s="909">
        <v>533.80858013498005</v>
      </c>
      <c r="D15" s="909">
        <v>980.25521297485989</v>
      </c>
      <c r="E15" s="910">
        <v>7543.6063947340472</v>
      </c>
      <c r="F15" s="910">
        <v>2803.369281584592</v>
      </c>
      <c r="G15" s="872">
        <v>1914.1885228199344</v>
      </c>
      <c r="H15" s="911">
        <v>290.54115872100004</v>
      </c>
      <c r="I15" s="910">
        <v>2847.7626825348239</v>
      </c>
      <c r="J15" s="912">
        <v>918.84185810735062</v>
      </c>
      <c r="K15" s="873">
        <v>1112.6454569580051</v>
      </c>
      <c r="L15" s="910">
        <v>13624.004320104132</v>
      </c>
      <c r="M15" s="913">
        <v>13951.992516181792</v>
      </c>
      <c r="N15" s="913">
        <v>18616.991831491934</v>
      </c>
      <c r="O15" s="1807">
        <v>-1.9120999999358901E-2</v>
      </c>
      <c r="P15" s="425">
        <v>-1.9999999998617568E-2</v>
      </c>
    </row>
    <row r="16" spans="1:16" s="889" customFormat="1" ht="14.25" customHeight="1">
      <c r="A16" s="884">
        <v>2019</v>
      </c>
      <c r="B16" s="885"/>
      <c r="C16" s="909">
        <v>453.11124023702553</v>
      </c>
      <c r="D16" s="909">
        <v>926.86142612692572</v>
      </c>
      <c r="E16" s="910">
        <v>8469.8172098400155</v>
      </c>
      <c r="F16" s="910">
        <v>3081.6416328226128</v>
      </c>
      <c r="G16" s="872">
        <v>1768.4751209395436</v>
      </c>
      <c r="H16" s="911">
        <v>358.33801689204216</v>
      </c>
      <c r="I16" s="910">
        <v>3010.6580249900762</v>
      </c>
      <c r="J16" s="912">
        <v>898.72388917093622</v>
      </c>
      <c r="K16" s="873">
        <v>1245.8330786345402</v>
      </c>
      <c r="L16" s="910">
        <v>15156.351784787163</v>
      </c>
      <c r="M16" s="913">
        <v>14947.895688641198</v>
      </c>
      <c r="N16" s="913">
        <v>20421.936749799679</v>
      </c>
      <c r="O16" s="1807">
        <v>1.0139999969851488E-3</v>
      </c>
      <c r="P16" s="425">
        <v>2.0000000000436557E-2</v>
      </c>
    </row>
    <row r="17" spans="1:16" s="889" customFormat="1" ht="14.25" customHeight="1">
      <c r="A17" s="884">
        <v>2020</v>
      </c>
      <c r="B17" s="885"/>
      <c r="C17" s="909">
        <v>627.23756981760005</v>
      </c>
      <c r="D17" s="909">
        <v>642.15942062757199</v>
      </c>
      <c r="E17" s="910">
        <v>9386.5943541492525</v>
      </c>
      <c r="F17" s="910">
        <v>2888.7396038415468</v>
      </c>
      <c r="G17" s="872">
        <v>1604.9321082341826</v>
      </c>
      <c r="H17" s="911">
        <v>224.40211251746001</v>
      </c>
      <c r="I17" s="910">
        <v>3161.3656544262094</v>
      </c>
      <c r="J17" s="912">
        <v>1075.2193343748693</v>
      </c>
      <c r="K17" s="873">
        <v>1492.1692631043511</v>
      </c>
      <c r="L17" s="910">
        <v>14344.527094388002</v>
      </c>
      <c r="M17" s="913">
        <v>16272.296949731597</v>
      </c>
      <c r="N17" s="913">
        <v>19175.037565749451</v>
      </c>
      <c r="O17" s="1807">
        <v>-1.9999999990432116E-3</v>
      </c>
      <c r="P17" s="425">
        <v>-1.0000000000218279E-2</v>
      </c>
    </row>
    <row r="18" spans="1:16" s="889" customFormat="1" ht="14.25" customHeight="1">
      <c r="A18" s="884">
        <v>2021</v>
      </c>
      <c r="B18" s="885"/>
      <c r="C18" s="909">
        <v>816.43419702265294</v>
      </c>
      <c r="D18" s="909">
        <v>855.5739111031329</v>
      </c>
      <c r="E18" s="910">
        <v>9801.1705898501423</v>
      </c>
      <c r="F18" s="910">
        <v>3136.8935231773212</v>
      </c>
      <c r="G18" s="872">
        <v>1530.7053879053758</v>
      </c>
      <c r="H18" s="911">
        <v>173.74944270008302</v>
      </c>
      <c r="I18" s="910">
        <v>3469.4260958318041</v>
      </c>
      <c r="J18" s="912">
        <v>848.29032313494008</v>
      </c>
      <c r="K18" s="873">
        <v>1670.9038253670476</v>
      </c>
      <c r="L18" s="910">
        <v>15070.876228906402</v>
      </c>
      <c r="M18" s="913">
        <v>17288.618830567022</v>
      </c>
      <c r="N18" s="913">
        <v>20085.38342902188</v>
      </c>
      <c r="O18" s="1807">
        <v>-2.1265409999841722E-2</v>
      </c>
      <c r="P18" s="425">
        <v>0</v>
      </c>
    </row>
    <row r="19" spans="1:16" s="483" customFormat="1" ht="14.25" customHeight="1">
      <c r="A19" s="1782">
        <v>2022</v>
      </c>
      <c r="B19" s="1783"/>
      <c r="C19" s="2381">
        <v>843.29459444807503</v>
      </c>
      <c r="D19" s="1851">
        <v>1004.4372093795953</v>
      </c>
      <c r="E19" s="2382">
        <v>10241.441116201067</v>
      </c>
      <c r="F19" s="2382">
        <v>3270.567586424575</v>
      </c>
      <c r="G19" s="1851">
        <v>1470.3895143201501</v>
      </c>
      <c r="H19" s="2353">
        <v>182.31648988007402</v>
      </c>
      <c r="I19" s="2382">
        <v>3715.7714144109677</v>
      </c>
      <c r="J19" s="2352">
        <v>554.71056840436722</v>
      </c>
      <c r="K19" s="2376">
        <v>2033.2400491979361</v>
      </c>
      <c r="L19" s="2382">
        <v>14931.257699244801</v>
      </c>
      <c r="M19" s="2383">
        <v>18304.136688578201</v>
      </c>
      <c r="N19" s="2383">
        <v>19943.289553333412</v>
      </c>
      <c r="O19" s="1803">
        <v>5.4569682106375694E-12</v>
      </c>
      <c r="P19" s="412">
        <v>0</v>
      </c>
    </row>
    <row r="20" spans="1:16" s="483" customFormat="1" ht="14.25" customHeight="1">
      <c r="A20" s="1782">
        <v>2023</v>
      </c>
      <c r="B20" s="1783"/>
      <c r="C20" s="2381">
        <v>1202.2561152707158</v>
      </c>
      <c r="D20" s="2381">
        <v>839.33579682030654</v>
      </c>
      <c r="E20" s="2382">
        <v>10658.7212228889</v>
      </c>
      <c r="F20" s="2382">
        <v>3533.7552126449473</v>
      </c>
      <c r="G20" s="1851">
        <v>1535.0102197801789</v>
      </c>
      <c r="H20" s="2353">
        <v>217.27361716870001</v>
      </c>
      <c r="I20" s="2382">
        <v>3839.9558149555178</v>
      </c>
      <c r="J20" s="2352">
        <v>724.52645095472292</v>
      </c>
      <c r="K20" s="2376">
        <v>2154.9120775464348</v>
      </c>
      <c r="L20" s="2382">
        <v>15554.859786865323</v>
      </c>
      <c r="M20" s="2383">
        <v>19390.855450441741</v>
      </c>
      <c r="N20" s="2383">
        <v>20869.760864454001</v>
      </c>
      <c r="O20" s="1803">
        <v>-7.73070496506989E-12</v>
      </c>
      <c r="P20" s="412">
        <v>1.0000000002037268E-2</v>
      </c>
    </row>
    <row r="21" spans="1:16" s="483" customFormat="1" ht="14.25" customHeight="1">
      <c r="A21" s="1782">
        <v>2024</v>
      </c>
      <c r="B21" s="1783"/>
      <c r="C21" s="2381">
        <v>930.28124494219765</v>
      </c>
      <c r="D21" s="2381">
        <v>871.19956732233447</v>
      </c>
      <c r="E21" s="2382">
        <v>10988.361236316472</v>
      </c>
      <c r="F21" s="2382">
        <v>3261.5264831030895</v>
      </c>
      <c r="G21" s="1851">
        <v>1623.8124745880173</v>
      </c>
      <c r="H21" s="2353">
        <v>289.86764528721</v>
      </c>
      <c r="I21" s="2382">
        <v>4117.5987201834232</v>
      </c>
      <c r="J21" s="2352">
        <v>556.62891809954442</v>
      </c>
      <c r="K21" s="2376">
        <v>2403.9347012814801</v>
      </c>
      <c r="L21" s="2382">
        <v>16666.301775618158</v>
      </c>
      <c r="M21" s="2383">
        <v>20063.988377311591</v>
      </c>
      <c r="N21" s="2383">
        <v>21645.474389430336</v>
      </c>
      <c r="O21" s="1803">
        <v>0</v>
      </c>
      <c r="P21" s="412">
        <v>-5.0000000002910383E-2</v>
      </c>
    </row>
    <row r="22" spans="1:16" s="483" customFormat="1" ht="14.25" customHeight="1">
      <c r="A22" s="2058">
        <v>2025</v>
      </c>
      <c r="B22" s="2200"/>
      <c r="C22" s="2244">
        <f t="shared" ref="C22:N22" si="0">C29</f>
        <v>653.62368731123001</v>
      </c>
      <c r="D22" s="2244">
        <f t="shared" si="0"/>
        <v>1218.0002038631199</v>
      </c>
      <c r="E22" s="2245">
        <f t="shared" si="0"/>
        <v>11464.482173835304</v>
      </c>
      <c r="F22" s="2245">
        <f t="shared" si="0"/>
        <v>3222.6332339687829</v>
      </c>
      <c r="G22" s="2246">
        <f t="shared" si="0"/>
        <v>1528.5469031369998</v>
      </c>
      <c r="H22" s="2247">
        <f t="shared" si="0"/>
        <v>224.85899180074</v>
      </c>
      <c r="I22" s="2245">
        <f t="shared" si="0"/>
        <v>4352.6126618135359</v>
      </c>
      <c r="J22" s="2248">
        <f t="shared" si="0"/>
        <v>652.95864373374275</v>
      </c>
      <c r="K22" s="2239">
        <f t="shared" si="0"/>
        <v>2172.3118998635673</v>
      </c>
      <c r="L22" s="2245">
        <f t="shared" si="0"/>
        <v>19511.147806770692</v>
      </c>
      <c r="M22" s="2249">
        <f t="shared" si="0"/>
        <v>20171.527325960647</v>
      </c>
      <c r="N22" s="2249">
        <f t="shared" si="0"/>
        <v>24829.568880137078</v>
      </c>
      <c r="O22" s="1803">
        <f>M22-C22-E22-G22-I22-K22</f>
        <v>-4.9999999987448973E-2</v>
      </c>
      <c r="P22" s="412">
        <f>N22-D22-F22-H22-J22-L22</f>
        <v>-2.9999999998835847E-2</v>
      </c>
    </row>
    <row r="23" spans="1:16" s="889" customFormat="1" ht="21" customHeight="1">
      <c r="A23" s="884">
        <v>2024</v>
      </c>
      <c r="B23" s="885" t="s">
        <v>243</v>
      </c>
      <c r="C23" s="909">
        <v>1071.072295868006</v>
      </c>
      <c r="D23" s="909">
        <v>796.39091861238626</v>
      </c>
      <c r="E23" s="910">
        <v>10859.91471771923</v>
      </c>
      <c r="F23" s="910">
        <v>3327.3023595878703</v>
      </c>
      <c r="G23" s="872">
        <v>1549.9033962921471</v>
      </c>
      <c r="H23" s="911">
        <v>244.02706523149996</v>
      </c>
      <c r="I23" s="910">
        <v>3831.5075777901575</v>
      </c>
      <c r="J23" s="912">
        <v>656.11029378574619</v>
      </c>
      <c r="K23" s="873">
        <v>2367.6286423170923</v>
      </c>
      <c r="L23" s="910">
        <v>16494.062685685567</v>
      </c>
      <c r="M23" s="913">
        <v>19679.976629986631</v>
      </c>
      <c r="N23" s="913">
        <v>21517.89332290307</v>
      </c>
      <c r="O23" s="1807">
        <v>-5.0000000001091394E-2</v>
      </c>
      <c r="P23" s="425">
        <v>0</v>
      </c>
    </row>
    <row r="24" spans="1:16" s="889" customFormat="1" ht="15" customHeight="1">
      <c r="A24" s="884"/>
      <c r="B24" s="885" t="s">
        <v>240</v>
      </c>
      <c r="C24" s="909">
        <v>1116.7813995381957</v>
      </c>
      <c r="D24" s="909">
        <v>742.42669254094369</v>
      </c>
      <c r="E24" s="910">
        <v>11074.786968199263</v>
      </c>
      <c r="F24" s="910">
        <v>3550.4091123751705</v>
      </c>
      <c r="G24" s="872">
        <v>1640.8124888836282</v>
      </c>
      <c r="H24" s="911">
        <v>313.48307779378001</v>
      </c>
      <c r="I24" s="910">
        <v>3984.0506199647352</v>
      </c>
      <c r="J24" s="912">
        <v>743.33861532264211</v>
      </c>
      <c r="K24" s="873">
        <v>2405.6938350365413</v>
      </c>
      <c r="L24" s="910">
        <v>15960.163834652631</v>
      </c>
      <c r="M24" s="913">
        <v>20222.155311622362</v>
      </c>
      <c r="N24" s="913">
        <v>21309.771332685166</v>
      </c>
      <c r="O24" s="1807">
        <v>2.9999999999290594E-2</v>
      </c>
      <c r="P24" s="425">
        <v>-4.9999999999272404E-2</v>
      </c>
    </row>
    <row r="25" spans="1:16" s="889" customFormat="1" ht="15" customHeight="1">
      <c r="A25" s="884"/>
      <c r="B25" s="885" t="s">
        <v>241</v>
      </c>
      <c r="C25" s="909">
        <v>930.28124494219765</v>
      </c>
      <c r="D25" s="909">
        <v>871.19956732233447</v>
      </c>
      <c r="E25" s="910">
        <v>10988.361236316472</v>
      </c>
      <c r="F25" s="910">
        <v>3261.5264831030895</v>
      </c>
      <c r="G25" s="872">
        <v>1623.8124745880173</v>
      </c>
      <c r="H25" s="911">
        <v>289.86764528721</v>
      </c>
      <c r="I25" s="910">
        <v>4117.5987201834232</v>
      </c>
      <c r="J25" s="912">
        <v>556.62891809954442</v>
      </c>
      <c r="K25" s="873">
        <v>2403.9347012814801</v>
      </c>
      <c r="L25" s="910">
        <v>16666.301775618158</v>
      </c>
      <c r="M25" s="913">
        <v>20063.988377311591</v>
      </c>
      <c r="N25" s="913">
        <v>21645.474389430336</v>
      </c>
      <c r="O25" s="1807">
        <v>0</v>
      </c>
      <c r="P25" s="425">
        <v>-5.0000000002910383E-2</v>
      </c>
    </row>
    <row r="26" spans="1:16" s="889" customFormat="1" ht="21" customHeight="1">
      <c r="A26" s="884">
        <v>2025</v>
      </c>
      <c r="B26" s="885" t="s">
        <v>242</v>
      </c>
      <c r="C26" s="909">
        <v>798.10153525018609</v>
      </c>
      <c r="D26" s="909">
        <v>1174.1028539193978</v>
      </c>
      <c r="E26" s="910">
        <v>11107.106318496106</v>
      </c>
      <c r="F26" s="910">
        <v>3212.7324439957683</v>
      </c>
      <c r="G26" s="872">
        <v>1599.2386725409904</v>
      </c>
      <c r="H26" s="911">
        <v>362.85977003554001</v>
      </c>
      <c r="I26" s="910">
        <v>4164.725628651483</v>
      </c>
      <c r="J26" s="912">
        <v>834.40921567166583</v>
      </c>
      <c r="K26" s="873">
        <v>2441.664980596393</v>
      </c>
      <c r="L26" s="910">
        <v>16748.234487315291</v>
      </c>
      <c r="M26" s="913">
        <v>20110.837135535166</v>
      </c>
      <c r="N26" s="913">
        <v>22332.338770937666</v>
      </c>
      <c r="O26" s="1807">
        <v>8.6401996668428183E-12</v>
      </c>
      <c r="P26" s="425">
        <v>0</v>
      </c>
    </row>
    <row r="27" spans="1:16" s="889" customFormat="1" ht="15" customHeight="1">
      <c r="A27" s="884"/>
      <c r="B27" s="885" t="s">
        <v>243</v>
      </c>
      <c r="C27" s="909">
        <v>942.3736359945791</v>
      </c>
      <c r="D27" s="909">
        <v>1113.8692805033891</v>
      </c>
      <c r="E27" s="910">
        <v>11337.045133693466</v>
      </c>
      <c r="F27" s="910">
        <v>2956.2717846247456</v>
      </c>
      <c r="G27" s="872">
        <v>1620.2024719686988</v>
      </c>
      <c r="H27" s="911">
        <v>293.59462043969995</v>
      </c>
      <c r="I27" s="910">
        <v>4151.9225557460322</v>
      </c>
      <c r="J27" s="912">
        <v>616.69012223559662</v>
      </c>
      <c r="K27" s="873">
        <v>2499.9296688517206</v>
      </c>
      <c r="L27" s="910">
        <v>18021.076130751931</v>
      </c>
      <c r="M27" s="913">
        <v>20551.443466254499</v>
      </c>
      <c r="N27" s="913">
        <v>23001.551938555363</v>
      </c>
      <c r="O27" s="1807">
        <v>-2.9999999997926352E-2</v>
      </c>
      <c r="P27" s="425">
        <v>4.9999999999272404E-2</v>
      </c>
    </row>
    <row r="28" spans="1:16" s="889" customFormat="1" ht="15" customHeight="1">
      <c r="A28" s="884"/>
      <c r="B28" s="885" t="s">
        <v>240</v>
      </c>
      <c r="C28" s="909">
        <f t="shared" ref="C28:N28" si="1">C35</f>
        <v>670.16860175031206</v>
      </c>
      <c r="D28" s="909">
        <f t="shared" si="1"/>
        <v>1223.9193250818671</v>
      </c>
      <c r="E28" s="910">
        <f t="shared" si="1"/>
        <v>11214.613588011998</v>
      </c>
      <c r="F28" s="910">
        <f t="shared" si="1"/>
        <v>3047.0418350762216</v>
      </c>
      <c r="G28" s="872">
        <f t="shared" si="1"/>
        <v>1627.0745406242427</v>
      </c>
      <c r="H28" s="911">
        <f t="shared" si="1"/>
        <v>315.84255156358103</v>
      </c>
      <c r="I28" s="910">
        <f t="shared" si="1"/>
        <v>4265.1643748854422</v>
      </c>
      <c r="J28" s="912">
        <f t="shared" si="1"/>
        <v>621.70500441891625</v>
      </c>
      <c r="K28" s="873">
        <f t="shared" si="1"/>
        <v>2147.737856369446</v>
      </c>
      <c r="L28" s="910">
        <f t="shared" si="1"/>
        <v>18927.471118542562</v>
      </c>
      <c r="M28" s="913">
        <f t="shared" si="1"/>
        <v>19924.758961641441</v>
      </c>
      <c r="N28" s="913">
        <f t="shared" si="1"/>
        <v>24135.939834683148</v>
      </c>
      <c r="O28" s="1807">
        <f t="shared" ref="O28" si="2">M28-C28-E28-G28-I28-K28</f>
        <v>0</v>
      </c>
      <c r="P28" s="425">
        <f t="shared" ref="P28" si="3">N28-D28-F28-H28-J28-L28</f>
        <v>-4.0000000004511094E-2</v>
      </c>
    </row>
    <row r="29" spans="1:16" s="889" customFormat="1" ht="15" customHeight="1">
      <c r="A29" s="884"/>
      <c r="B29" s="885" t="s">
        <v>241</v>
      </c>
      <c r="C29" s="909">
        <f t="shared" ref="C29:N29" si="4">C38</f>
        <v>653.62368731123001</v>
      </c>
      <c r="D29" s="909">
        <f t="shared" si="4"/>
        <v>1218.0002038631199</v>
      </c>
      <c r="E29" s="910">
        <f t="shared" si="4"/>
        <v>11464.482173835304</v>
      </c>
      <c r="F29" s="910">
        <f t="shared" si="4"/>
        <v>3222.6332339687829</v>
      </c>
      <c r="G29" s="872">
        <f t="shared" si="4"/>
        <v>1528.5469031369998</v>
      </c>
      <c r="H29" s="911">
        <f t="shared" si="4"/>
        <v>224.85899180074</v>
      </c>
      <c r="I29" s="910">
        <f t="shared" si="4"/>
        <v>4352.6126618135359</v>
      </c>
      <c r="J29" s="912">
        <f t="shared" si="4"/>
        <v>652.95864373374275</v>
      </c>
      <c r="K29" s="873">
        <f t="shared" si="4"/>
        <v>2172.3118998635673</v>
      </c>
      <c r="L29" s="910">
        <f t="shared" si="4"/>
        <v>19511.147806770692</v>
      </c>
      <c r="M29" s="913">
        <f t="shared" si="4"/>
        <v>20171.527325960647</v>
      </c>
      <c r="N29" s="913">
        <f t="shared" si="4"/>
        <v>24829.568880137078</v>
      </c>
      <c r="O29" s="1807">
        <f t="shared" ref="O29" si="5">M29-C29-E29-G29-I29-K29</f>
        <v>-4.9999999987448973E-2</v>
      </c>
      <c r="P29" s="425">
        <f t="shared" ref="P29" si="6">N29-D29-F29-H29-J29-L29</f>
        <v>-2.9999999998835847E-2</v>
      </c>
    </row>
    <row r="30" spans="1:16" s="889" customFormat="1" ht="21" customHeight="1">
      <c r="A30" s="1681">
        <v>2026</v>
      </c>
      <c r="B30" s="1687" t="s">
        <v>242</v>
      </c>
      <c r="C30" s="1743">
        <f t="shared" ref="C30:N30" si="7">C41</f>
        <v>740.66484326935984</v>
      </c>
      <c r="D30" s="1743">
        <f t="shared" si="7"/>
        <v>1152.5061906540807</v>
      </c>
      <c r="E30" s="1744">
        <f t="shared" si="7"/>
        <v>11445.383141611292</v>
      </c>
      <c r="F30" s="1744">
        <f t="shared" si="7"/>
        <v>3784.7353823036728</v>
      </c>
      <c r="G30" s="1745">
        <f t="shared" si="7"/>
        <v>1685.7005235986819</v>
      </c>
      <c r="H30" s="1746">
        <f t="shared" si="7"/>
        <v>253.40775841662997</v>
      </c>
      <c r="I30" s="1744">
        <f t="shared" si="7"/>
        <v>4295.334183249026</v>
      </c>
      <c r="J30" s="1747">
        <f t="shared" si="7"/>
        <v>639.46991539015107</v>
      </c>
      <c r="K30" s="1748">
        <f t="shared" si="7"/>
        <v>3076.3450795905069</v>
      </c>
      <c r="L30" s="1744">
        <f t="shared" si="7"/>
        <v>19763.84264131674</v>
      </c>
      <c r="M30" s="1749">
        <f t="shared" si="7"/>
        <v>21243.38777131887</v>
      </c>
      <c r="N30" s="1749">
        <f t="shared" si="7"/>
        <v>25593.941888081274</v>
      </c>
      <c r="O30" s="1807">
        <f t="shared" ref="O30" si="8">M30-C30-E30-G30-I30-K30</f>
        <v>-3.9999999994051905E-2</v>
      </c>
      <c r="P30" s="425">
        <f t="shared" ref="P30" si="9">N30-D30-F30-H30-J30-L30</f>
        <v>-1.9999999996798579E-2</v>
      </c>
    </row>
    <row r="31" spans="1:16" s="372" customFormat="1" ht="21" customHeight="1">
      <c r="A31" s="704">
        <v>2025</v>
      </c>
      <c r="B31" s="801" t="s">
        <v>427</v>
      </c>
      <c r="C31" s="1513">
        <v>862.38657478700907</v>
      </c>
      <c r="D31" s="1513">
        <v>1133.5710448643692</v>
      </c>
      <c r="E31" s="1494">
        <v>11206.995669248294</v>
      </c>
      <c r="F31" s="1494">
        <v>3117.2425324320329</v>
      </c>
      <c r="G31" s="1493">
        <v>1727.3447197589996</v>
      </c>
      <c r="H31" s="1535">
        <v>309.87654572272999</v>
      </c>
      <c r="I31" s="1494">
        <v>4131.9487660393152</v>
      </c>
      <c r="J31" s="1514">
        <v>539.56021854016103</v>
      </c>
      <c r="K31" s="1527">
        <v>2408.9642539902948</v>
      </c>
      <c r="L31" s="1494">
        <v>18016.928245172501</v>
      </c>
      <c r="M31" s="1526">
        <v>20337.639983823909</v>
      </c>
      <c r="N31" s="1526">
        <v>23117.178586731796</v>
      </c>
      <c r="O31" s="412">
        <v>0</v>
      </c>
      <c r="P31" s="412">
        <v>0</v>
      </c>
    </row>
    <row r="32" spans="1:16" s="372" customFormat="1" ht="16.5" customHeight="1">
      <c r="A32" s="704"/>
      <c r="B32" s="801" t="s">
        <v>428</v>
      </c>
      <c r="C32" s="1513">
        <f>'[5]1'!$C$14+'[5]1'!$C$18+'[5]1'!$C$30+'[5]1'!$C$33</f>
        <v>942.3736359945791</v>
      </c>
      <c r="D32" s="1513">
        <f>'[5]1'!$D$14+'[5]1'!$D$18+'[5]1'!$D$30+'[5]1'!$D$33</f>
        <v>1113.8692805033891</v>
      </c>
      <c r="E32" s="1494">
        <f>SUM('[5]1'!$C$25:$C$29)</f>
        <v>11337.045133693466</v>
      </c>
      <c r="F32" s="1494">
        <f>SUM('[5]1'!$D$25:$D$29)</f>
        <v>2956.2717846247456</v>
      </c>
      <c r="G32" s="1493">
        <f>SUM('[5]1'!$C$23:$C$24)</f>
        <v>1620.2024719686988</v>
      </c>
      <c r="H32" s="1535">
        <f>SUM('[5]1'!$D$23:$D$24)</f>
        <v>293.59462043969995</v>
      </c>
      <c r="I32" s="1494">
        <f>'[5]1'!$C$31+'[5]1'!$C$34+'[5]1'!$C$36+'[5]1'!$C$37</f>
        <v>4151.9225557460322</v>
      </c>
      <c r="J32" s="1514">
        <f>'[5]1'!$D$31+'[5]1'!$D$34+'[5]1'!$D$36+'[5]1'!$D$37</f>
        <v>616.69012223559662</v>
      </c>
      <c r="K32" s="1527">
        <f>'[5]1'!$E$38+'[5]1'!$G$38+'[5]1'!$I$38+'[5]1'!$K$38+'[5]1'!$M$38+'[5]1'!$O$38</f>
        <v>2499.9296688517206</v>
      </c>
      <c r="L32" s="1494">
        <f>'[5]1'!$F$38+'[5]1'!$H$38+'[5]1'!$J$38+'[5]1'!$L$38+'[5]1'!$N$38+'[5]1'!$P$38</f>
        <v>18021.076130751931</v>
      </c>
      <c r="M32" s="1525">
        <f>'[5]1'!$C$38+'[5]1'!$E$38+'[5]1'!$G$38+'[5]1'!$I$38+'[5]1'!$K$38+'[5]1'!$M$38+'[5]1'!$O$38-0.03</f>
        <v>20551.443466254499</v>
      </c>
      <c r="N32" s="1525">
        <f>'[5]1'!$D$38+'[5]1'!$F$38+'[5]1'!$H$38+'[5]1'!$J$38+'[5]1'!$L$38+'[5]1'!$N$38+'[5]1'!$P$38+0.05</f>
        <v>23001.551938555363</v>
      </c>
      <c r="O32" s="412">
        <f t="shared" ref="O32" si="10">ROUND(M32,1)-ROUND(C32,1)-ROUND(E32,1)-ROUND(G32,1)-ROUND(I32,1)-ROUND(K32,1)</f>
        <v>0</v>
      </c>
      <c r="P32" s="412">
        <f t="shared" ref="P32" si="11">ROUND(N32,1)-ROUND(D32,1)-ROUND(F32,1)-ROUND(H32,1)-ROUND(J32,1)-ROUND(L32,1)</f>
        <v>0</v>
      </c>
    </row>
    <row r="33" spans="1:16" s="372" customFormat="1" ht="16.5" customHeight="1">
      <c r="A33" s="704"/>
      <c r="B33" s="801" t="s">
        <v>429</v>
      </c>
      <c r="C33" s="1513">
        <f>'[6]1'!$C$14+'[6]1'!$C$18+'[6]1'!$C$30+'[6]1'!$C$33</f>
        <v>801.60958979720908</v>
      </c>
      <c r="D33" s="1513">
        <f>'[6]1'!$D$14+'[6]1'!$D$18+'[6]1'!$D$30+'[6]1'!$D$33</f>
        <v>1237.535453062726</v>
      </c>
      <c r="E33" s="1494">
        <f>SUM('[6]1'!$C$25:$C$29)</f>
        <v>11151.196545952756</v>
      </c>
      <c r="F33" s="1494">
        <f>SUM('[6]1'!$D$25:$D$29)</f>
        <v>2894.7934741729173</v>
      </c>
      <c r="G33" s="1493">
        <f>SUM('[6]1'!$C$23:$C$24)</f>
        <v>1769.7911703206996</v>
      </c>
      <c r="H33" s="1535">
        <f>SUM('[6]1'!$D$23:$D$24)</f>
        <v>313.60969328061401</v>
      </c>
      <c r="I33" s="1494">
        <f>'[6]1'!$C$31+'[6]1'!$C$34+'[6]1'!$C$36+'[6]1'!$C$37</f>
        <v>4183.1028244292193</v>
      </c>
      <c r="J33" s="2470">
        <f>'[6]1'!$D$31+'[6]1'!$D$34+'[6]1'!$D$36+'[6]1'!$D$37+0.02</f>
        <v>606.06376763847061</v>
      </c>
      <c r="K33" s="1527">
        <f>'[6]1'!$E$38+'[6]1'!$G$38+'[6]1'!$I$38+'[6]1'!$K$38+'[6]1'!$M$38+'[6]1'!$O$38</f>
        <v>2408.1161837592185</v>
      </c>
      <c r="L33" s="1494">
        <f>'[6]1'!$F$38+'[6]1'!$H$38+'[6]1'!$J$38+'[6]1'!$L$38+'[6]1'!$N$38+'[6]1'!$P$38</f>
        <v>18433.837483045565</v>
      </c>
      <c r="M33" s="1526">
        <f>'[6]1'!$C$38+'[6]1'!$E$38+'[6]1'!$G$38+'[6]1'!$I$38+'[6]1'!$K$38+'[6]1'!$M$38+'[6]1'!$O$38</f>
        <v>20313.816314259107</v>
      </c>
      <c r="N33" s="1526">
        <f>'[6]1'!$D$38+'[6]1'!$F$38+'[6]1'!$H$38+'[6]1'!$J$38+'[6]1'!$L$38+'[6]1'!$N$38+'[6]1'!$P$38</f>
        <v>23485.819871200292</v>
      </c>
      <c r="O33" s="412">
        <f t="shared" ref="O33" si="12">ROUND(M33,1)-ROUND(C33,1)-ROUND(E33,1)-ROUND(G33,1)-ROUND(I33,1)-ROUND(K33,1)</f>
        <v>0</v>
      </c>
      <c r="P33" s="412">
        <f t="shared" ref="P33" si="13">ROUND(N33,1)-ROUND(D33,1)-ROUND(F33,1)-ROUND(H33,1)-ROUND(J33,1)-ROUND(L33,1)</f>
        <v>0</v>
      </c>
    </row>
    <row r="34" spans="1:16" s="372" customFormat="1" ht="16.5" customHeight="1">
      <c r="A34" s="704"/>
      <c r="B34" s="801" t="s">
        <v>430</v>
      </c>
      <c r="C34" s="1513">
        <f>'[7]1'!$C$14+'[7]1'!$C$18+'[7]1'!$C$30+'[7]1'!$C$33</f>
        <v>768.87512361078893</v>
      </c>
      <c r="D34" s="1513">
        <f>'[7]1'!$D$14+'[7]1'!$D$18+'[7]1'!$D$30+'[7]1'!$D$33</f>
        <v>1181.0154420285255</v>
      </c>
      <c r="E34" s="1494">
        <f>SUM('[7]1'!$C$25:$C$29)</f>
        <v>11177.971005558909</v>
      </c>
      <c r="F34" s="1494">
        <f>SUM('[7]1'!$D$25:$D$29)</f>
        <v>2992.0415533582136</v>
      </c>
      <c r="G34" s="1493">
        <f>SUM('[7]1'!$C$23:$C$24)</f>
        <v>1772.6674388338597</v>
      </c>
      <c r="H34" s="1535">
        <f>SUM('[7]1'!$D$23:$D$24)</f>
        <v>313.83274935152002</v>
      </c>
      <c r="I34" s="1494">
        <f>'[7]1'!$C$31+'[7]1'!$C$34+'[7]1'!$C$36+'[7]1'!$C$37</f>
        <v>4227.7255953106078</v>
      </c>
      <c r="J34" s="2470">
        <f>'[7]1'!$D$31+'[7]1'!$D$34+'[7]1'!$D$36+'[7]1'!$D$37+0.02</f>
        <v>549.95607298963978</v>
      </c>
      <c r="K34" s="1527">
        <f>'[7]1'!$E$38+'[7]1'!$G$38+'[7]1'!$I$38+'[7]1'!$K$38+'[7]1'!$M$38+'[7]1'!$O$38</f>
        <v>2230.0183218253119</v>
      </c>
      <c r="L34" s="1486">
        <f>'[7]1'!$F$38+'[7]1'!$H$38+'[7]1'!$J$38+'[7]1'!$L$38+'[7]1'!$N$38+'[7]1'!$P$38-0.03</f>
        <v>19032.939111733976</v>
      </c>
      <c r="M34" s="1526">
        <f>'[7]1'!$C$38+'[7]1'!$E$38+'[7]1'!$G$38+'[7]1'!$I$38+'[7]1'!$K$38+'[7]1'!$M$38+'[7]1'!$O$38</f>
        <v>20177.257485139478</v>
      </c>
      <c r="N34" s="1525">
        <f>'[7]1'!$D$38+'[7]1'!$F$38+'[7]1'!$H$38+'[7]1'!$J$38+'[7]1'!$L$38+'[7]1'!$N$38+'[7]1'!$P$38-0.05</f>
        <v>24069.744929461875</v>
      </c>
      <c r="O34" s="412">
        <f t="shared" ref="O34" si="14">ROUND(M34,1)-ROUND(C34,1)-ROUND(E34,1)-ROUND(G34,1)-ROUND(I34,1)-ROUND(K34,1)</f>
        <v>0</v>
      </c>
      <c r="P34" s="412">
        <f t="shared" ref="P34" si="15">ROUND(N34,1)-ROUND(D34,1)-ROUND(F34,1)-ROUND(H34,1)-ROUND(J34,1)-ROUND(L34,1)</f>
        <v>0</v>
      </c>
    </row>
    <row r="35" spans="1:16" s="372" customFormat="1" ht="16.5" customHeight="1">
      <c r="A35" s="704"/>
      <c r="B35" s="801" t="s">
        <v>431</v>
      </c>
      <c r="C35" s="1513">
        <f>'[8]1'!$C$14+'[8]1'!$C$18+'[8]1'!$C$30+'[8]1'!$C$33</f>
        <v>670.16860175031206</v>
      </c>
      <c r="D35" s="1513">
        <f>'[8]1'!$D$14+'[8]1'!$D$18+'[8]1'!$D$30+'[8]1'!$D$33</f>
        <v>1223.9193250818671</v>
      </c>
      <c r="E35" s="1494">
        <f>SUM('[8]1'!$C$25:$C$29)</f>
        <v>11214.613588011998</v>
      </c>
      <c r="F35" s="1494">
        <f>SUM('[8]1'!$D$25:$D$29)</f>
        <v>3047.0418350762216</v>
      </c>
      <c r="G35" s="1493">
        <f>SUM('[8]1'!$C$23:$C$24)</f>
        <v>1627.0745406242427</v>
      </c>
      <c r="H35" s="2335">
        <f>SUM('[8]1'!$D$23:$D$24)-0.01</f>
        <v>315.84255156358103</v>
      </c>
      <c r="I35" s="1486">
        <f>'[8]1'!$C$31+'[8]1'!$C$34+'[8]1'!$C$36+'[8]1'!$C$37+0.02</f>
        <v>4265.1643748854422</v>
      </c>
      <c r="J35" s="1514">
        <f>'[8]1'!$D$31+'[8]1'!$D$34+'[8]1'!$D$36+'[8]1'!$D$37</f>
        <v>621.70500441891625</v>
      </c>
      <c r="K35" s="1487">
        <f>'[8]1'!$E$38+'[8]1'!$G$38+'[8]1'!$I$38+'[8]1'!$K$38+'[8]1'!$M$38+'[8]1'!$O$38-0.02</f>
        <v>2147.737856369446</v>
      </c>
      <c r="L35" s="1494">
        <f>'[8]1'!$F$38+'[8]1'!$H$38+'[8]1'!$J$38+'[8]1'!$L$38+'[8]1'!$N$38+'[8]1'!$P$38</f>
        <v>18927.471118542562</v>
      </c>
      <c r="M35" s="1526">
        <f>'[8]1'!$C$38+'[8]1'!$E$38+'[8]1'!$G$38+'[8]1'!$I$38+'[8]1'!$K$38+'[8]1'!$M$38+'[8]1'!$O$38</f>
        <v>19924.758961641441</v>
      </c>
      <c r="N35" s="1525">
        <f>'[8]1'!$D$38+'[8]1'!$F$38+'[8]1'!$H$38+'[8]1'!$J$38+'[8]1'!$L$38+'[8]1'!$N$38+'[8]1'!$P$38-0.05</f>
        <v>24135.939834683148</v>
      </c>
      <c r="O35" s="412">
        <f t="shared" ref="O35" si="16">ROUND(M35,1)-ROUND(C35,1)-ROUND(E35,1)-ROUND(G35,1)-ROUND(I35,1)-ROUND(K35,1)</f>
        <v>0</v>
      </c>
      <c r="P35" s="412">
        <f t="shared" ref="P35" si="17">ROUND(N35,1)-ROUND(D35,1)-ROUND(F35,1)-ROUND(H35,1)-ROUND(J35,1)-ROUND(L35,1)</f>
        <v>0</v>
      </c>
    </row>
    <row r="36" spans="1:16" s="372" customFormat="1" ht="16.5" customHeight="1">
      <c r="A36" s="704"/>
      <c r="B36" s="801" t="s">
        <v>420</v>
      </c>
      <c r="C36" s="1513">
        <f>'[9]1'!$C$14+'[9]1'!$C$18+'[9]1'!$C$30+'[9]1'!$C$33</f>
        <v>626.71970378785988</v>
      </c>
      <c r="D36" s="1513">
        <f>'[9]1'!$D$14+'[9]1'!$D$18+'[9]1'!$D$30+'[9]1'!$D$33</f>
        <v>1203.8822310698063</v>
      </c>
      <c r="E36" s="1494">
        <f>SUM('[9]1'!$C$25:$C$29)</f>
        <v>11223.697451067503</v>
      </c>
      <c r="F36" s="1494">
        <f>SUM('[9]1'!$D$25:$D$29)</f>
        <v>2956.4717808733194</v>
      </c>
      <c r="G36" s="1493">
        <f>SUM('[9]1'!$C$23:$C$24)</f>
        <v>1476.5298818254857</v>
      </c>
      <c r="H36" s="1535">
        <f>SUM('[9]1'!$D$23:$D$24)</f>
        <v>270.73729571639001</v>
      </c>
      <c r="I36" s="1494">
        <f>'[9]1'!$C$31+'[9]1'!$C$34+'[9]1'!$C$36+'[9]1'!$C$37</f>
        <v>4359.9550084724378</v>
      </c>
      <c r="J36" s="1514">
        <f>'[9]1'!$D$31+'[9]1'!$D$34+'[9]1'!$D$36+'[9]1'!$D$37</f>
        <v>568.44066991010277</v>
      </c>
      <c r="K36" s="1527">
        <f>'[9]1'!$E$38+'[9]1'!$G$38+'[9]1'!$I$38+'[9]1'!$K$38+'[9]1'!$M$38+'[9]1'!$O$38</f>
        <v>2206.7034950097586</v>
      </c>
      <c r="L36" s="1494">
        <f>'[9]1'!$F$38+'[9]1'!$H$38+'[9]1'!$J$38+'[9]1'!$L$38+'[9]1'!$N$38+'[9]1'!$P$38</f>
        <v>19295.294678382634</v>
      </c>
      <c r="M36" s="1526">
        <f>'[9]1'!$C$38+'[9]1'!$E$38+'[9]1'!$G$38+'[9]1'!$I$38+'[9]1'!$K$38+'[9]1'!$M$38+'[9]1'!$O$38</f>
        <v>19893.605540163047</v>
      </c>
      <c r="N36" s="1526">
        <f>'[9]1'!$D$38+'[9]1'!$F$38+'[9]1'!$H$38+'[9]1'!$J$38+'[9]1'!$L$38+'[9]1'!$N$38+'[9]1'!$P$38</f>
        <v>24294.826655952253</v>
      </c>
      <c r="O36" s="412">
        <f t="shared" ref="O36" si="18">ROUND(M36,1)-ROUND(C36,1)-ROUND(E36,1)-ROUND(G36,1)-ROUND(I36,1)-ROUND(K36,1)</f>
        <v>0</v>
      </c>
      <c r="P36" s="412">
        <f t="shared" ref="P36" si="19">ROUND(N36,1)-ROUND(D36,1)-ROUND(F36,1)-ROUND(H36,1)-ROUND(J36,1)-ROUND(L36,1)</f>
        <v>0</v>
      </c>
    </row>
    <row r="37" spans="1:16" s="372" customFormat="1" ht="16.5" customHeight="1">
      <c r="A37" s="704"/>
      <c r="B37" s="801" t="s">
        <v>421</v>
      </c>
      <c r="C37" s="1513">
        <f>'[10]1'!$C$14+'[10]1'!$C$18+'[10]1'!$C$30+'[10]1'!$C$33</f>
        <v>642.16742524823985</v>
      </c>
      <c r="D37" s="1513">
        <f>'[10]1'!$D$14+'[10]1'!$D$18+'[10]1'!$D$30+'[10]1'!$D$33</f>
        <v>1331.1883589871118</v>
      </c>
      <c r="E37" s="1494">
        <f>SUM('[10]1'!$C$25:$C$29)</f>
        <v>11242.738776383838</v>
      </c>
      <c r="F37" s="1494">
        <f>SUM('[10]1'!$D$25:$D$29)</f>
        <v>3118.56147080455</v>
      </c>
      <c r="G37" s="1493">
        <f>SUM('[10]1'!$C$23:$C$24)</f>
        <v>1525.4428030324723</v>
      </c>
      <c r="H37" s="1535">
        <f>SUM('[10]1'!$D$23:$D$24)</f>
        <v>233.85492162420701</v>
      </c>
      <c r="I37" s="1494">
        <f>'[10]1'!$C$31+'[10]1'!$C$34+'[10]1'!$C$36+'[10]1'!$C$37</f>
        <v>4413.1125235737491</v>
      </c>
      <c r="J37" s="1514">
        <f>'[10]1'!$D$31+'[10]1'!$D$34+'[10]1'!$D$36+'[10]1'!$D$37</f>
        <v>583.62615419034773</v>
      </c>
      <c r="K37" s="1527">
        <f>'[10]1'!$E$38+'[10]1'!$G$38+'[10]1'!$I$38+'[10]1'!$K$38+'[10]1'!$M$38+'[10]1'!$O$38</f>
        <v>2214.8089252230211</v>
      </c>
      <c r="L37" s="1494">
        <f>'[10]1'!$F$38+'[10]1'!$H$38+'[10]1'!$J$38+'[10]1'!$L$38+'[10]1'!$N$38+'[10]1'!$P$38</f>
        <v>19222.334773897564</v>
      </c>
      <c r="M37" s="1525">
        <f>'[10]1'!$C$38+'[10]1'!$E$38+'[10]1'!$G$38+'[10]1'!$I$38+'[10]1'!$K$38+'[10]1'!$M$38+'[10]1'!$O$38-0.03</f>
        <v>20038.24045346132</v>
      </c>
      <c r="N37" s="1526">
        <f>'[10]1'!$D$38+'[10]1'!$F$38+'[10]1'!$H$38+'[10]1'!$J$38+'[10]1'!$L$38+'[10]1'!$N$38+'[10]1'!$P$38</f>
        <v>24489.565679503779</v>
      </c>
      <c r="O37" s="412">
        <f t="shared" ref="O37" si="20">ROUND(M37,1)-ROUND(C37,1)-ROUND(E37,1)-ROUND(G37,1)-ROUND(I37,1)-ROUND(K37,1)</f>
        <v>0</v>
      </c>
      <c r="P37" s="412">
        <f t="shared" ref="P37" si="21">ROUND(N37,1)-ROUND(D37,1)-ROUND(F37,1)-ROUND(H37,1)-ROUND(J37,1)-ROUND(L37,1)</f>
        <v>0</v>
      </c>
    </row>
    <row r="38" spans="1:16" s="372" customFormat="1" ht="16.5" customHeight="1">
      <c r="A38" s="704"/>
      <c r="B38" s="801" t="s">
        <v>422</v>
      </c>
      <c r="C38" s="1513">
        <f>'[11]1'!$C$14+'[11]1'!$C$18+'[11]1'!$C$30+'[11]1'!$C$33</f>
        <v>653.62368731123001</v>
      </c>
      <c r="D38" s="1513">
        <f>'[11]1'!$D$14+'[11]1'!$D$18+'[11]1'!$D$30+'[11]1'!$D$33</f>
        <v>1218.0002038631199</v>
      </c>
      <c r="E38" s="1494">
        <f>SUM('[11]1'!$C$25:$C$29)</f>
        <v>11464.482173835304</v>
      </c>
      <c r="F38" s="1494">
        <f>SUM('[11]1'!$D$25:$D$29)</f>
        <v>3222.6332339687829</v>
      </c>
      <c r="G38" s="1493">
        <f>SUM('[11]1'!$C$23:$C$24)</f>
        <v>1528.5469031369998</v>
      </c>
      <c r="H38" s="2335">
        <f>SUM('[11]1'!$D$23:$D$24)+0.01</f>
        <v>224.85899180074</v>
      </c>
      <c r="I38" s="1494">
        <f>'[11]1'!$C$31+'[11]1'!$C$34+'[11]1'!$C$36+'[11]1'!$C$37</f>
        <v>4352.6126618135359</v>
      </c>
      <c r="J38" s="2470">
        <f>'[11]1'!$D$31+'[11]1'!$D$34+'[11]1'!$D$36+'[11]1'!$D$37+0.02</f>
        <v>652.95864373374275</v>
      </c>
      <c r="K38" s="1527">
        <f>'[11]1'!$E$38+'[11]1'!$G$38+'[11]1'!$I$38+'[11]1'!$K$38+'[11]1'!$M$38+'[11]1'!$O$38</f>
        <v>2172.3118998635673</v>
      </c>
      <c r="L38" s="1494">
        <f>'[11]1'!$F$38+'[11]1'!$H$38+'[11]1'!$J$38+'[11]1'!$L$38+'[11]1'!$N$38+'[11]1'!$P$38</f>
        <v>19511.147806770692</v>
      </c>
      <c r="M38" s="1525">
        <f>'[11]1'!$C$38+'[11]1'!$E$38+'[11]1'!$G$38+'[11]1'!$I$38+'[11]1'!$K$38+'[11]1'!$M$38+'[11]1'!$O$38-0.05</f>
        <v>20171.527325960647</v>
      </c>
      <c r="N38" s="1526">
        <f>'[11]1'!$D$38+'[11]1'!$F$38+'[11]1'!$H$38+'[11]1'!$J$38+'[11]1'!$L$38+'[11]1'!$N$38+'[11]1'!$P$38</f>
        <v>24829.568880137078</v>
      </c>
      <c r="O38" s="412">
        <f t="shared" ref="O38" si="22">ROUND(M38,1)-ROUND(C38,1)-ROUND(E38,1)-ROUND(G38,1)-ROUND(I38,1)-ROUND(K38,1)</f>
        <v>0</v>
      </c>
      <c r="P38" s="412">
        <f t="shared" ref="P38" si="23">ROUND(N38,1)-ROUND(D38,1)-ROUND(F38,1)-ROUND(H38,1)-ROUND(J38,1)-ROUND(L38,1)</f>
        <v>0</v>
      </c>
    </row>
    <row r="39" spans="1:16" s="372" customFormat="1" ht="21" customHeight="1">
      <c r="A39" s="704">
        <v>2026</v>
      </c>
      <c r="B39" s="801" t="s">
        <v>423</v>
      </c>
      <c r="C39" s="2531">
        <f>'[12]1'!$C$14+'[12]1'!$C$18+'[12]1'!$C$30+'[12]1'!$C$33-0.03</f>
        <v>811.7421673196111</v>
      </c>
      <c r="D39" s="1513">
        <f>'[12]1'!$D$14+'[12]1'!$D$18+'[12]1'!$D$30+'[12]1'!$D$33</f>
        <v>1245.1121423452798</v>
      </c>
      <c r="E39" s="1494">
        <f>SUM('[12]1'!$C$25:$C$29)</f>
        <v>11447.697196663154</v>
      </c>
      <c r="F39" s="1494">
        <f>SUM('[12]1'!$D$25:$D$29)</f>
        <v>3349.4625216924364</v>
      </c>
      <c r="G39" s="1493">
        <f>SUM('[12]1'!$C$23:$C$24)</f>
        <v>1519.0248541822561</v>
      </c>
      <c r="H39" s="1535">
        <f>SUM('[12]1'!$D$23:$D$24)</f>
        <v>216.99736334877502</v>
      </c>
      <c r="I39" s="1486">
        <f>'[12]1'!$C$31+'[12]1'!$C$34+'[12]1'!$C$36+'[12]1'!$C$37+0.02</f>
        <v>4400.7603811701001</v>
      </c>
      <c r="J39" s="1514">
        <f>'[12]1'!$D$31+'[12]1'!$D$34+'[12]1'!$D$36+'[12]1'!$D$37</f>
        <v>563.77466352053909</v>
      </c>
      <c r="K39" s="1527">
        <f>'[12]1'!$E$38+'[12]1'!$G$38+'[12]1'!$I$38+'[12]1'!$K$38+'[12]1'!$M$38+'[12]1'!$O$38</f>
        <v>2198.3075483711391</v>
      </c>
      <c r="L39" s="1494">
        <f>'[12]1'!$F$38+'[12]1'!$H$38+'[12]1'!$J$38+'[12]1'!$L$38+'[12]1'!$N$38+'[12]1'!$P$38</f>
        <v>19518.437313145714</v>
      </c>
      <c r="M39" s="1526">
        <f>'[12]1'!$C$38+'[12]1'!$E$38+'[12]1'!$G$38+'[12]1'!$I$38+'[12]1'!$K$38+'[12]1'!$M$38+'[12]1'!$O$38</f>
        <v>20377.542147706259</v>
      </c>
      <c r="N39" s="1526">
        <f>'[12]1'!$D$38+'[12]1'!$F$38+'[12]1'!$H$38+'[12]1'!$J$38+'[12]1'!$L$38+'[12]1'!$N$38+'[12]1'!$P$38</f>
        <v>24893.784004052744</v>
      </c>
      <c r="O39" s="412">
        <f t="shared" ref="O39" si="24">ROUND(M39,1)-ROUND(C39,1)-ROUND(E39,1)-ROUND(G39,1)-ROUND(I39,1)-ROUND(K39,1)</f>
        <v>0</v>
      </c>
      <c r="P39" s="412">
        <f t="shared" ref="P39" si="25">ROUND(N39,1)-ROUND(D39,1)-ROUND(F39,1)-ROUND(H39,1)-ROUND(J39,1)-ROUND(L39,1)</f>
        <v>0</v>
      </c>
    </row>
    <row r="40" spans="1:16" s="372" customFormat="1" ht="16.5" customHeight="1">
      <c r="A40" s="704"/>
      <c r="B40" s="801" t="s">
        <v>424</v>
      </c>
      <c r="C40" s="1513">
        <f>'[13]1'!$C$14+'[13]1'!$C$18+'[13]1'!$C$30+'[13]1'!$C$33</f>
        <v>801.82250942621022</v>
      </c>
      <c r="D40" s="1513">
        <f>'[13]1'!$D$14+'[13]1'!$D$18+'[13]1'!$D$30+'[13]1'!$D$33</f>
        <v>1139.4650769260684</v>
      </c>
      <c r="E40" s="1494">
        <f>SUM('[13]1'!$C$25:$C$29)</f>
        <v>11466.555686333595</v>
      </c>
      <c r="F40" s="1494">
        <f>SUM('[13]1'!$D$25:$D$29)</f>
        <v>3541.3205627681004</v>
      </c>
      <c r="G40" s="2469">
        <f>SUM('[13]1'!$C$23:$C$24)-0.05</f>
        <v>1515.8285741778545</v>
      </c>
      <c r="H40" s="1535">
        <f>SUM('[13]1'!$D$23:$D$24)</f>
        <v>231.96899888493999</v>
      </c>
      <c r="I40" s="1494">
        <f>'[13]1'!$C$31+'[13]1'!$C$34+'[13]1'!$C$36+'[13]1'!$C$37</f>
        <v>4423.480938131207</v>
      </c>
      <c r="J40" s="2470">
        <f>'[13]1'!$D$31+'[13]1'!$D$34+'[13]1'!$D$36+'[13]1'!$D$37-0.1</f>
        <v>621.77539189739684</v>
      </c>
      <c r="K40" s="1527">
        <f>'[13]1'!$E$38+'[13]1'!$G$38+'[13]1'!$I$38+'[13]1'!$K$38+'[13]1'!$M$38+'[13]1'!$O$38</f>
        <v>2198.9371586976149</v>
      </c>
      <c r="L40" s="1494">
        <f>'[13]1'!$F$38+'[13]1'!$H$38+'[13]1'!$J$38+'[13]1'!$L$38+'[13]1'!$N$38+'[13]1'!$P$38</f>
        <v>20069.257583955376</v>
      </c>
      <c r="M40" s="1525">
        <f>'[13]1'!$C$38+'[13]1'!$E$38+'[13]1'!$G$38+'[13]1'!$I$38+'[13]1'!$K$38+'[13]1'!$M$38+'[13]1'!$O$38-0.03</f>
        <v>20406.644866766484</v>
      </c>
      <c r="N40" s="1526">
        <f>'[13]1'!$D$38+'[13]1'!$F$38+'[13]1'!$H$38+'[13]1'!$J$38+'[13]1'!$L$38+'[13]1'!$N$38+'[13]1'!$P$38</f>
        <v>25603.887614431878</v>
      </c>
      <c r="O40" s="412">
        <f t="shared" ref="O40" si="26">ROUND(M40,1)-ROUND(C40,1)-ROUND(E40,1)-ROUND(G40,1)-ROUND(I40,1)-ROUND(K40,1)</f>
        <v>0</v>
      </c>
      <c r="P40" s="412">
        <f t="shared" ref="P40" si="27">ROUND(N40,1)-ROUND(D40,1)-ROUND(F40,1)-ROUND(H40,1)-ROUND(J40,1)-ROUND(L40,1)</f>
        <v>0</v>
      </c>
    </row>
    <row r="41" spans="1:16" s="372" customFormat="1" ht="16.5" customHeight="1">
      <c r="A41" s="704"/>
      <c r="B41" s="801" t="s">
        <v>425</v>
      </c>
      <c r="C41" s="2531">
        <f>'[14]1'!$C$14+'[14]1'!$C$18+'[14]1'!$C$30+'[14]1'!$C$33+0.04</f>
        <v>740.66484326935984</v>
      </c>
      <c r="D41" s="1513">
        <f>'[14]1'!$D$14+'[14]1'!$D$18+'[14]1'!$D$30+'[14]1'!$D$33</f>
        <v>1152.5061906540807</v>
      </c>
      <c r="E41" s="1494">
        <f>SUM('[14]1'!$C$25:$C$29)</f>
        <v>11445.383141611292</v>
      </c>
      <c r="F41" s="1486">
        <f>SUM('[14]1'!$D$25:$D$29)-0.03</f>
        <v>3784.7353823036728</v>
      </c>
      <c r="G41" s="1493">
        <f>SUM('[14]1'!$C$23:$C$24)</f>
        <v>1685.7005235986819</v>
      </c>
      <c r="H41" s="1535">
        <f>SUM('[14]1'!$D$23:$D$24)</f>
        <v>253.40775841662997</v>
      </c>
      <c r="I41" s="1494">
        <f>'[14]1'!$C$31+'[14]1'!$C$34+'[14]1'!$C$36+'[14]1'!$C$37</f>
        <v>4295.334183249026</v>
      </c>
      <c r="J41" s="1514">
        <f>'[14]1'!$D$31+'[14]1'!$D$34+'[14]1'!$D$36+'[14]1'!$D$37</f>
        <v>639.46991539015107</v>
      </c>
      <c r="K41" s="1527">
        <f>'[14]1'!$E$38+'[14]1'!$G$38+'[14]1'!$I$38+'[14]1'!$K$38+'[14]1'!$M$38+'[14]1'!$O$38</f>
        <v>3076.3450795905069</v>
      </c>
      <c r="L41" s="1494">
        <f>'[14]1'!$F$38+'[14]1'!$H$38+'[14]1'!$J$38+'[14]1'!$L$38+'[14]1'!$N$38+'[14]1'!$P$38</f>
        <v>19763.84264131674</v>
      </c>
      <c r="M41" s="1526">
        <f>'[14]1'!$C$38+'[14]1'!$E$38+'[14]1'!$G$38+'[14]1'!$I$38+'[14]1'!$K$38+'[14]1'!$M$38+'[14]1'!$O$38</f>
        <v>21243.38777131887</v>
      </c>
      <c r="N41" s="1525">
        <f>'[14]1'!$D$38+'[14]1'!$F$38+'[14]1'!$H$38+'[14]1'!$J$38+'[14]1'!$L$38+'[14]1'!$N$38+'[14]1'!$P$38-0.05</f>
        <v>25593.941888081274</v>
      </c>
      <c r="O41" s="412">
        <f t="shared" ref="O41" si="28">ROUND(M41,1)-ROUND(C41,1)-ROUND(E41,1)-ROUND(G41,1)-ROUND(I41,1)-ROUND(K41,1)</f>
        <v>0</v>
      </c>
      <c r="P41" s="412">
        <f t="shared" ref="P41" si="29">ROUND(N41,1)-ROUND(D41,1)-ROUND(F41,1)-ROUND(H41,1)-ROUND(J41,1)-ROUND(L41,1)</f>
        <v>0</v>
      </c>
    </row>
    <row r="42" spans="1:16" s="372" customFormat="1" ht="16.5" customHeight="1">
      <c r="A42" s="704"/>
      <c r="B42" s="801" t="s">
        <v>426</v>
      </c>
      <c r="C42" s="2531">
        <f>'[15]1'!$C$14+'[15]1'!$C$18+'[15]1'!$C$30+'[15]1'!$C$33+0.02</f>
        <v>594.1589420147651</v>
      </c>
      <c r="D42" s="1513">
        <f>'[15]1'!$D$14+'[15]1'!$D$18+'[15]1'!$D$30+'[15]1'!$D$33</f>
        <v>1259.6756319587275</v>
      </c>
      <c r="E42" s="1494">
        <f>SUM('[15]1'!$C$25:$C$29)</f>
        <v>11752.677519780582</v>
      </c>
      <c r="F42" s="1486">
        <f>SUM('[15]1'!$D$25:$D$29)-0.03</f>
        <v>4254.8411018449979</v>
      </c>
      <c r="G42" s="2469">
        <f>SUM('[15]1'!$C$23:$C$24)-0.01</f>
        <v>1681.1480151619826</v>
      </c>
      <c r="H42" s="1535">
        <f>SUM('[15]1'!$D$23:$D$24)</f>
        <v>220.29169434919399</v>
      </c>
      <c r="I42" s="1494">
        <f>'[15]1'!$C$31+'[15]1'!$C$34+'[15]1'!$C$36+'[15]1'!$C$37</f>
        <v>4293.468833997701</v>
      </c>
      <c r="J42" s="1514">
        <f>'[15]1'!$D$31+'[15]1'!$D$34+'[15]1'!$D$36+'[15]1'!$D$37</f>
        <v>592.01902604191548</v>
      </c>
      <c r="K42" s="1487">
        <f>'[15]1'!$E$38+'[15]1'!$G$38+'[15]1'!$I$38+'[15]1'!$K$38+'[15]1'!$M$38+'[15]1'!$O$38-0.05</f>
        <v>2981.3428942269661</v>
      </c>
      <c r="L42" s="1494">
        <f>'[15]1'!$F$38+'[15]1'!$H$38+'[15]1'!$J$38+'[15]1'!$L$38+'[15]1'!$N$38+'[15]1'!$P$38</f>
        <v>19507.312686427998</v>
      </c>
      <c r="M42" s="1526">
        <f>'[15]1'!$C$38+'[15]1'!$E$38+'[15]1'!$G$38+'[15]1'!$I$38+'[15]1'!$K$38+'[15]1'!$M$38+'[15]1'!$O$38</f>
        <v>21302.836205181997</v>
      </c>
      <c r="N42" s="1526">
        <f>'[15]1'!$D$38+'[15]1'!$F$38+'[15]1'!$H$38+'[15]1'!$J$38+'[15]1'!$L$38+'[15]1'!$N$38+'[15]1'!$P$38-0.03</f>
        <v>25834.140140622832</v>
      </c>
      <c r="O42" s="412">
        <f t="shared" ref="O42" si="30">ROUND(M42,1)-ROUND(C42,1)-ROUND(E42,1)-ROUND(G42,1)-ROUND(I42,1)-ROUND(K42,1)</f>
        <v>0</v>
      </c>
      <c r="P42" s="412">
        <f t="shared" ref="P42" si="31">ROUND(N42,1)-ROUND(D42,1)-ROUND(F42,1)-ROUND(H42,1)-ROUND(J42,1)-ROUND(L42,1)</f>
        <v>0</v>
      </c>
    </row>
    <row r="43" spans="1:16" s="372" customFormat="1" ht="16.5" customHeight="1">
      <c r="A43" s="704"/>
      <c r="B43" s="801" t="s">
        <v>427</v>
      </c>
      <c r="C43" s="1513">
        <f>'[16]1'!$C$14+'[16]1'!$C$18+'[16]1'!$C$30+'[16]1'!$C$33</f>
        <v>468.61096134796287</v>
      </c>
      <c r="D43" s="1513">
        <f>'[16]1'!$D$14+'[16]1'!$D$18+'[16]1'!$D$30+'[16]1'!$D$33</f>
        <v>1403.9559431959769</v>
      </c>
      <c r="E43" s="1494">
        <f>SUM('[16]1'!$C$25:$C$29)</f>
        <v>11661.769689525896</v>
      </c>
      <c r="F43" s="1486">
        <f>SUM('[16]1'!$D$25:$D$29)-0.03</f>
        <v>4295.640928875996</v>
      </c>
      <c r="G43" s="1493">
        <f>SUM('[16]1'!$C$23:$C$24)</f>
        <v>1747.8213063211026</v>
      </c>
      <c r="H43" s="1535">
        <f>SUM('[16]1'!$D$23:$D$24)</f>
        <v>218.78889617668602</v>
      </c>
      <c r="I43" s="1494">
        <f>'[16]1'!$C$31+'[16]1'!$C$34+'[16]1'!$C$36+'[16]1'!$C$37</f>
        <v>4410.9088273671296</v>
      </c>
      <c r="J43" s="1514">
        <f>'[16]1'!$D$31+'[16]1'!$D$34+'[16]1'!$D$36+'[16]1'!$D$37</f>
        <v>635.86347019128857</v>
      </c>
      <c r="K43" s="1527">
        <f>'[16]1'!$E$38+'[16]1'!$G$38+'[16]1'!$I$38+'[16]1'!$K$38+'[16]1'!$M$38+'[16]1'!$O$38</f>
        <v>2910.0500546512249</v>
      </c>
      <c r="L43" s="1494">
        <f>'[16]1'!$F$38+'[16]1'!$H$38+'[16]1'!$J$38+'[16]1'!$L$38+'[16]1'!$N$38+'[16]1'!$P$38</f>
        <v>19293.41244396093</v>
      </c>
      <c r="M43" s="1526">
        <f>'[16]1'!$C$38+'[16]1'!$E$38+'[16]1'!$G$38+'[16]1'!$I$38+'[16]1'!$K$38+'[16]1'!$M$38+'[16]1'!$O$38</f>
        <v>21199.16083921332</v>
      </c>
      <c r="N43" s="1526">
        <f>'[16]1'!$D$38+'[16]1'!$F$38+'[16]1'!$H$38+'[16]1'!$J$38+'[16]1'!$L$38+'[16]1'!$N$38+'[16]1'!$P$38-0.03</f>
        <v>25847.661682400874</v>
      </c>
      <c r="O43" s="412">
        <f t="shared" ref="O43" si="32">ROUND(M43,1)-ROUND(C43,1)-ROUND(E43,1)-ROUND(G43,1)-ROUND(I43,1)-ROUND(K43,1)</f>
        <v>0</v>
      </c>
      <c r="P43" s="412">
        <f t="shared" ref="P43" si="33">ROUND(N43,1)-ROUND(D43,1)-ROUND(F43,1)-ROUND(H43,1)-ROUND(J43,1)-ROUND(L43,1)</f>
        <v>0</v>
      </c>
    </row>
    <row r="44" spans="1:16" ht="20.25" customHeight="1">
      <c r="A44" s="224"/>
      <c r="B44" s="224"/>
      <c r="C44" s="224"/>
      <c r="D44" s="224"/>
      <c r="E44" s="224"/>
      <c r="F44" s="224"/>
      <c r="G44" s="224"/>
      <c r="H44" s="224"/>
      <c r="I44" s="224"/>
      <c r="J44" s="224"/>
      <c r="K44" s="224"/>
      <c r="L44" s="224"/>
      <c r="M44" s="224"/>
      <c r="N44" s="229"/>
    </row>
    <row r="45" spans="1:16">
      <c r="C45" s="1472"/>
      <c r="D45" s="1472"/>
      <c r="E45" s="1472"/>
      <c r="F45" s="1472"/>
      <c r="G45" s="1472"/>
      <c r="H45" s="1472"/>
      <c r="I45" s="1472"/>
      <c r="J45" s="1472"/>
      <c r="K45" s="1472"/>
      <c r="L45" s="1472"/>
      <c r="M45" s="1472"/>
      <c r="N45" s="1472"/>
    </row>
    <row r="46" spans="1:16">
      <c r="B46" s="1"/>
      <c r="C46" s="1472"/>
      <c r="D46" s="1472"/>
      <c r="E46" s="1472"/>
      <c r="F46" s="1472"/>
      <c r="G46" s="1472"/>
      <c r="H46" s="1472"/>
      <c r="I46" s="1472"/>
      <c r="J46" s="1472"/>
      <c r="K46" s="1472"/>
      <c r="L46" s="1472"/>
      <c r="M46" s="1472"/>
      <c r="N46" s="1472"/>
      <c r="P46" s="343"/>
    </row>
    <row r="47" spans="1:16" ht="14">
      <c r="A47" s="476" t="s">
        <v>869</v>
      </c>
      <c r="B47" s="1"/>
      <c r="C47" s="1"/>
      <c r="D47" s="1"/>
      <c r="E47" s="1"/>
      <c r="F47" s="1"/>
      <c r="G47" s="1"/>
      <c r="H47" s="1"/>
      <c r="I47" s="1"/>
      <c r="J47" s="1"/>
      <c r="K47" s="1"/>
      <c r="L47" s="1"/>
      <c r="M47" s="1"/>
      <c r="N47" s="1"/>
    </row>
    <row r="49" spans="1:1">
      <c r="A49" s="1244"/>
    </row>
    <row r="50" spans="1:1">
      <c r="A50" s="150"/>
    </row>
  </sheetData>
  <mergeCells count="2">
    <mergeCell ref="K8:L10"/>
    <mergeCell ref="M8:N10"/>
  </mergeCells>
  <phoneticPr fontId="0" type="noConversion"/>
  <printOptions horizontalCentered="1" verticalCentered="1"/>
  <pageMargins left="0" right="0" top="0" bottom="0" header="0.511811023622047" footer="0.511811023622047"/>
  <pageSetup paperSize="9" scale="7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tabColor rgb="FFFF0000"/>
    <pageSetUpPr fitToPage="1"/>
  </sheetPr>
  <dimension ref="A1:V56"/>
  <sheetViews>
    <sheetView topLeftCell="D1" zoomScale="80" zoomScaleNormal="80" workbookViewId="0">
      <pane ySplit="12" topLeftCell="A41" activePane="bottomLeft" state="frozen"/>
      <selection activeCell="B44" sqref="B44"/>
      <selection pane="bottomLeft" activeCell="M43" sqref="M43"/>
    </sheetView>
  </sheetViews>
  <sheetFormatPr defaultColWidth="7.81640625" defaultRowHeight="12.5"/>
  <cols>
    <col min="1" max="2" width="9.26953125" style="6" customWidth="1" collapsed="1"/>
    <col min="3" max="14" width="11.7265625" style="6" customWidth="1"/>
    <col min="15" max="15" width="12.453125" style="6" bestFit="1" customWidth="1"/>
    <col min="16" max="16" width="11.7265625" style="6" customWidth="1"/>
    <col min="17" max="17" width="13.81640625" style="6" customWidth="1"/>
    <col min="18" max="16384" width="7.81640625" style="6"/>
  </cols>
  <sheetData>
    <row r="1" spans="1:22" s="1158" customFormat="1" ht="18" customHeight="1">
      <c r="A1" s="1073" t="s">
        <v>870</v>
      </c>
      <c r="B1" s="1109"/>
      <c r="C1" s="1109"/>
      <c r="D1" s="1109"/>
      <c r="E1" s="1109"/>
      <c r="F1" s="1109"/>
      <c r="G1" s="1109"/>
      <c r="H1" s="1109"/>
      <c r="I1" s="1109"/>
      <c r="J1" s="1109"/>
      <c r="K1" s="1109"/>
      <c r="L1" s="1109"/>
      <c r="M1" s="1109"/>
      <c r="N1" s="1109"/>
      <c r="O1" s="1109"/>
      <c r="P1" s="1109"/>
      <c r="Q1" s="1109"/>
    </row>
    <row r="2" spans="1:22" s="1158" customFormat="1" ht="18" customHeight="1">
      <c r="A2" s="1073" t="s">
        <v>804</v>
      </c>
      <c r="B2" s="1109"/>
      <c r="C2" s="1109"/>
      <c r="D2" s="1109"/>
      <c r="E2" s="1109"/>
      <c r="F2" s="1109"/>
      <c r="G2" s="1109"/>
      <c r="H2" s="1109"/>
      <c r="I2" s="1109"/>
      <c r="J2" s="1109"/>
      <c r="K2" s="1109"/>
      <c r="L2" s="1109"/>
      <c r="M2" s="1109"/>
      <c r="N2" s="1109"/>
      <c r="O2" s="1109"/>
      <c r="P2" s="1109"/>
      <c r="Q2" s="1109"/>
    </row>
    <row r="3" spans="1:22" s="1158" customFormat="1" ht="18" customHeight="1">
      <c r="A3" s="1073" t="s">
        <v>805</v>
      </c>
      <c r="B3" s="1109"/>
      <c r="C3" s="1109"/>
      <c r="D3" s="1109"/>
      <c r="E3" s="1109"/>
      <c r="F3" s="1109"/>
      <c r="G3" s="1109"/>
      <c r="H3" s="1109"/>
      <c r="I3" s="1109"/>
      <c r="J3" s="1109"/>
      <c r="K3" s="1109"/>
      <c r="L3" s="1109"/>
      <c r="M3" s="1109"/>
      <c r="N3" s="1109"/>
      <c r="O3" s="1085"/>
      <c r="P3" s="1159"/>
      <c r="Q3" s="1085"/>
    </row>
    <row r="4" spans="1:22" s="1158" customFormat="1" ht="18" customHeight="1">
      <c r="A4" s="1103" t="s">
        <v>45</v>
      </c>
      <c r="B4" s="1109"/>
      <c r="C4" s="1109"/>
      <c r="D4" s="1109"/>
      <c r="E4" s="1109"/>
      <c r="F4" s="1109"/>
      <c r="G4" s="1109"/>
      <c r="H4" s="1109"/>
      <c r="I4" s="1109"/>
      <c r="J4" s="1109"/>
      <c r="K4" s="1109"/>
      <c r="L4" s="1109"/>
      <c r="M4" s="1109"/>
      <c r="N4" s="1109"/>
      <c r="O4" s="1109"/>
      <c r="P4" s="1109"/>
      <c r="Q4" s="1109"/>
    </row>
    <row r="5" spans="1:22" s="1158" customFormat="1" ht="18" customHeight="1">
      <c r="A5" s="1103" t="s">
        <v>44</v>
      </c>
      <c r="B5" s="1109"/>
      <c r="C5" s="1109"/>
      <c r="D5" s="1109"/>
      <c r="E5" s="1109"/>
      <c r="F5" s="1109"/>
      <c r="G5" s="1109"/>
      <c r="H5" s="1109"/>
      <c r="I5" s="1109"/>
      <c r="J5" s="1109"/>
      <c r="K5" s="1109"/>
      <c r="L5" s="1109"/>
      <c r="M5" s="1109"/>
      <c r="N5" s="1109"/>
      <c r="O5" s="1109"/>
      <c r="P5" s="1109"/>
      <c r="Q5" s="1109"/>
    </row>
    <row r="6" spans="1:22" ht="14.25" customHeight="1">
      <c r="A6" s="9" t="s">
        <v>377</v>
      </c>
      <c r="B6" s="8"/>
      <c r="P6" s="177"/>
      <c r="Q6" s="177" t="s">
        <v>378</v>
      </c>
    </row>
    <row r="7" spans="1:22" s="1181" customFormat="1" ht="18" customHeight="1">
      <c r="A7" s="1172"/>
      <c r="B7" s="1173"/>
      <c r="C7" s="1174" t="s">
        <v>871</v>
      </c>
      <c r="D7" s="1176"/>
      <c r="E7" s="1176"/>
      <c r="F7" s="1176"/>
      <c r="G7" s="1176"/>
      <c r="H7" s="1176"/>
      <c r="I7" s="1186"/>
      <c r="J7" s="1643"/>
      <c r="K7" s="1186"/>
      <c r="L7" s="1177" t="s">
        <v>872</v>
      </c>
      <c r="M7" s="1173"/>
      <c r="N7" s="1199"/>
      <c r="O7" s="1200"/>
      <c r="P7" s="1201"/>
      <c r="Q7" s="1202"/>
    </row>
    <row r="8" spans="1:22" s="41" customFormat="1" ht="18" customHeight="1">
      <c r="A8" s="64"/>
      <c r="B8" s="62"/>
      <c r="C8" s="99" t="s">
        <v>398</v>
      </c>
      <c r="D8" s="57"/>
      <c r="E8" s="59" t="s">
        <v>873</v>
      </c>
      <c r="F8" s="68"/>
      <c r="G8" s="118"/>
      <c r="H8" s="118"/>
      <c r="I8" s="68" t="s">
        <v>510</v>
      </c>
      <c r="J8" s="100"/>
      <c r="K8" s="1644" t="s">
        <v>390</v>
      </c>
      <c r="L8" s="115"/>
      <c r="M8" s="57" t="s">
        <v>874</v>
      </c>
      <c r="N8" s="56"/>
      <c r="O8" s="62" t="s">
        <v>875</v>
      </c>
      <c r="P8" s="62"/>
      <c r="Q8" s="76"/>
    </row>
    <row r="9" spans="1:22" s="41" customFormat="1" ht="18" customHeight="1">
      <c r="A9" s="26" t="s">
        <v>387</v>
      </c>
      <c r="B9" s="76"/>
      <c r="C9" s="99" t="s">
        <v>810</v>
      </c>
      <c r="D9" s="62"/>
      <c r="E9" s="64" t="s">
        <v>469</v>
      </c>
      <c r="F9" s="56"/>
      <c r="G9" s="57" t="s">
        <v>577</v>
      </c>
      <c r="H9" s="56"/>
      <c r="I9" s="57" t="s">
        <v>876</v>
      </c>
      <c r="J9" s="56"/>
      <c r="K9" s="57" t="s">
        <v>400</v>
      </c>
      <c r="L9" s="56"/>
      <c r="M9" s="57" t="s">
        <v>877</v>
      </c>
      <c r="N9" s="56"/>
      <c r="O9" s="62" t="s">
        <v>878</v>
      </c>
      <c r="P9" s="57"/>
      <c r="Q9" s="56"/>
    </row>
    <row r="10" spans="1:22" s="41" customFormat="1" ht="18" customHeight="1">
      <c r="A10" s="84" t="s">
        <v>395</v>
      </c>
      <c r="B10" s="62"/>
      <c r="C10" s="337"/>
      <c r="E10" s="64" t="s">
        <v>474</v>
      </c>
      <c r="F10" s="56"/>
      <c r="G10" s="57" t="s">
        <v>483</v>
      </c>
      <c r="H10" s="56"/>
      <c r="I10" s="57" t="s">
        <v>879</v>
      </c>
      <c r="J10" s="56"/>
      <c r="K10" s="337"/>
      <c r="L10" s="56"/>
      <c r="M10" s="71"/>
      <c r="N10" s="53"/>
      <c r="O10" s="57"/>
      <c r="P10" s="57"/>
      <c r="Q10" s="60"/>
    </row>
    <row r="11" spans="1:22" s="98" customFormat="1" ht="18" customHeight="1">
      <c r="A11" s="145"/>
      <c r="C11" s="338" t="s">
        <v>482</v>
      </c>
      <c r="D11" s="339" t="s">
        <v>396</v>
      </c>
      <c r="E11" s="338" t="s">
        <v>482</v>
      </c>
      <c r="F11" s="339" t="s">
        <v>396</v>
      </c>
      <c r="G11" s="338" t="s">
        <v>482</v>
      </c>
      <c r="H11" s="339" t="s">
        <v>396</v>
      </c>
      <c r="I11" s="338" t="s">
        <v>482</v>
      </c>
      <c r="J11" s="339" t="s">
        <v>396</v>
      </c>
      <c r="K11" s="338" t="s">
        <v>482</v>
      </c>
      <c r="L11" s="339" t="s">
        <v>396</v>
      </c>
      <c r="M11" s="338" t="s">
        <v>482</v>
      </c>
      <c r="N11" s="339" t="s">
        <v>396</v>
      </c>
      <c r="O11" s="338" t="s">
        <v>482</v>
      </c>
      <c r="P11" s="339" t="s">
        <v>396</v>
      </c>
      <c r="Q11" s="66" t="s">
        <v>390</v>
      </c>
    </row>
    <row r="12" spans="1:22" s="41" customFormat="1" ht="18" customHeight="1">
      <c r="A12" s="49"/>
      <c r="B12" s="68"/>
      <c r="C12" s="69" t="s">
        <v>149</v>
      </c>
      <c r="D12" s="51" t="s">
        <v>486</v>
      </c>
      <c r="E12" s="54" t="s">
        <v>149</v>
      </c>
      <c r="F12" s="54" t="s">
        <v>486</v>
      </c>
      <c r="G12" s="54" t="s">
        <v>149</v>
      </c>
      <c r="H12" s="54" t="s">
        <v>486</v>
      </c>
      <c r="I12" s="54" t="s">
        <v>149</v>
      </c>
      <c r="J12" s="54" t="s">
        <v>486</v>
      </c>
      <c r="K12" s="54" t="s">
        <v>149</v>
      </c>
      <c r="L12" s="54" t="s">
        <v>486</v>
      </c>
      <c r="M12" s="54" t="s">
        <v>149</v>
      </c>
      <c r="N12" s="54" t="s">
        <v>486</v>
      </c>
      <c r="O12" s="54" t="s">
        <v>149</v>
      </c>
      <c r="P12" s="54" t="s">
        <v>486</v>
      </c>
      <c r="Q12" s="54" t="s">
        <v>400</v>
      </c>
    </row>
    <row r="13" spans="1:22" s="274" customFormat="1" ht="20.25" customHeight="1">
      <c r="A13" s="263">
        <v>2016</v>
      </c>
      <c r="B13" s="273"/>
      <c r="C13" s="279">
        <f>SUM('[29]2'!$C$15:$D$15,'[29]2'!$F$15)-0.02</f>
        <v>1734.142964876</v>
      </c>
      <c r="D13" s="279">
        <f>SUM('[29]2'!$C$23:$D$23,'[29]2'!$F$23)</f>
        <v>349.06723079162003</v>
      </c>
      <c r="E13" s="279">
        <f>SUM('[29]2'!$E$16,'[29]2'!$G$16:$H$16)</f>
        <v>2112.6628274092805</v>
      </c>
      <c r="F13" s="279">
        <f>SUM('[29]2'!$E$24,'[29]2'!$G$24:$H$24)</f>
        <v>597.10949538165301</v>
      </c>
      <c r="G13" s="1527">
        <f>SUM('[29]2'!$E$17,'[29]2'!$G$17:$H$17)</f>
        <v>2443.0408250405699</v>
      </c>
      <c r="H13" s="281">
        <f>SUM('[29]2'!$E$25,'[29]2'!$G$25:$H$25)</f>
        <v>183.88579675749</v>
      </c>
      <c r="I13" s="384">
        <f>SUM('[29]2'!$E$18:$E$19,'[29]2'!$G$18:$H$19)</f>
        <v>2655.55625926019</v>
      </c>
      <c r="J13" s="279">
        <f>SUM('[29]2'!$E$26:$E$27,'[29]2'!$G$26:$H$27)</f>
        <v>1405.9222395999436</v>
      </c>
      <c r="K13" s="1465">
        <f>'[29]2'!$I$15</f>
        <v>8945.4228765860389</v>
      </c>
      <c r="L13" s="279">
        <f>'[29]2'!$I$23</f>
        <v>2536.0047625307066</v>
      </c>
      <c r="M13" s="281">
        <f>'[29]2'!$K$15</f>
        <v>158.0261041832</v>
      </c>
      <c r="N13" s="452">
        <f>'[29]2'!$K$23</f>
        <v>4928.5634138900705</v>
      </c>
      <c r="O13" s="1483">
        <f>'[29]2'!$I$15+'[29]2'!$K$15</f>
        <v>9103.4489807692389</v>
      </c>
      <c r="P13" s="452">
        <f>'[29]2'!$I$23+'[29]2'!$K$23</f>
        <v>7464.5681764207766</v>
      </c>
      <c r="Q13" s="1512">
        <f>'[29]2'!$I$15+'[29]2'!$K$15+'[29]2'!$I$23+'[29]2'!$K$23</f>
        <v>16568.017157190017</v>
      </c>
      <c r="R13" s="2167">
        <f t="shared" ref="R13:R19" si="0">ROUND(K13,1)-ROUND(C13,1)-ROUND(E13,1)-ROUND(G13,1)-ROUND(I13,1)</f>
        <v>0</v>
      </c>
      <c r="S13" s="2167">
        <f t="shared" ref="S13:S19" si="1">ROUND(L13,1)-ROUND(D13,1)-ROUND(F13,1)-ROUND(H13,1)-ROUND(J13,1)</f>
        <v>0</v>
      </c>
      <c r="T13" s="2167">
        <f t="shared" ref="T13:T19" si="2">ROUND(O13,1)-ROUND(M13,1)-ROUND(K13,1)</f>
        <v>0</v>
      </c>
      <c r="U13" s="2167">
        <f t="shared" ref="U13:U19" si="3">ROUND(P13,1)-ROUND(N13,1)-ROUND(L13,1)</f>
        <v>0</v>
      </c>
      <c r="V13" s="2167">
        <f t="shared" ref="V13:V23" si="4">ROUND(Q13,1)-ROUND(P13,1)-ROUND(O13,1)</f>
        <v>0</v>
      </c>
    </row>
    <row r="14" spans="1:22" s="276" customFormat="1" ht="14.25" customHeight="1">
      <c r="A14" s="265">
        <v>2017</v>
      </c>
      <c r="B14" s="275"/>
      <c r="C14" s="455">
        <f>SUM('[30]2'!$C$15:$D$15,'[30]2'!$F$15)</f>
        <v>1873.5126267530002</v>
      </c>
      <c r="D14" s="455">
        <f>SUM('[30]2'!$C$23:$D$23,'[30]2'!$F$23)</f>
        <v>388.50149476017998</v>
      </c>
      <c r="E14" s="455">
        <f>SUM('[30]2'!$E$16,'[30]2'!$G$16:$H$16)</f>
        <v>2109.1848787094</v>
      </c>
      <c r="F14" s="455">
        <f>SUM('[30]2'!$E$24,'[30]2'!$G$24:$H$24)</f>
        <v>651.58369440714034</v>
      </c>
      <c r="G14" s="455">
        <f>SUM('[30]2'!$E$17,'[30]2'!$G$17:$H$17)</f>
        <v>2686.2582454800004</v>
      </c>
      <c r="H14" s="2476">
        <f>SUM('[30]2'!$E$25,'[30]2'!$G$25:$H$25)-0.02</f>
        <v>213.733196757</v>
      </c>
      <c r="I14" s="2475">
        <f>SUM('[30]2'!$E$18:$E$19,'[30]2'!$G$18:$H$19)-0.01</f>
        <v>2485.6447802201496</v>
      </c>
      <c r="J14" s="455">
        <f>SUM('[30]2'!$E$26:$E$27,'[30]2'!$G$26:$H$27)</f>
        <v>1575.3895392561806</v>
      </c>
      <c r="K14" s="426">
        <f>'[30]2'!$I$15</f>
        <v>9154.6105311625506</v>
      </c>
      <c r="L14" s="455">
        <f>'[30]2'!$I$23</f>
        <v>2829.2279251805007</v>
      </c>
      <c r="M14" s="456">
        <f>'[30]2'!$K$15</f>
        <v>172.2957792652</v>
      </c>
      <c r="N14" s="459">
        <f>'[30]2'!$K$23</f>
        <v>4827.4509329550283</v>
      </c>
      <c r="O14" s="459">
        <f>'[30]2'!$I$15+'[30]2'!$K$15</f>
        <v>9326.9063104277502</v>
      </c>
      <c r="P14" s="459">
        <f>'[30]2'!$I$23+'[30]2'!$K$23</f>
        <v>7656.6788581355286</v>
      </c>
      <c r="Q14" s="459">
        <f>'[30]2'!$I$15+'[30]2'!$K$15+'[30]2'!$I$23+'[30]2'!$K$23</f>
        <v>16983.585168563281</v>
      </c>
      <c r="R14" s="2167">
        <f t="shared" si="0"/>
        <v>0</v>
      </c>
      <c r="S14" s="2167">
        <f t="shared" si="1"/>
        <v>0</v>
      </c>
      <c r="T14" s="2167">
        <f t="shared" si="2"/>
        <v>0</v>
      </c>
      <c r="U14" s="2167">
        <f t="shared" si="3"/>
        <v>0</v>
      </c>
      <c r="V14" s="2167">
        <f t="shared" si="4"/>
        <v>0</v>
      </c>
    </row>
    <row r="15" spans="1:22" s="889" customFormat="1" ht="14.25" customHeight="1">
      <c r="A15" s="884">
        <v>2018</v>
      </c>
      <c r="B15" s="885"/>
      <c r="C15" s="2474">
        <f>SUM('[31]2'!$C$15:$D$15,'[31]2'!$F$15)-0.02</f>
        <v>1670.3438548220001</v>
      </c>
      <c r="D15" s="873">
        <f>SUM('[31]2'!$C$23:$D$23,'[31]2'!$F$23)</f>
        <v>473.27821834067993</v>
      </c>
      <c r="E15" s="873">
        <f>SUM('[31]2'!$E$16,'[31]2'!$G$16:$H$16)</f>
        <v>2084.554275351491</v>
      </c>
      <c r="F15" s="904">
        <f>SUM('[31]2'!$E$24,'[31]2'!$G$24:$H$24)</f>
        <v>692.10404184690083</v>
      </c>
      <c r="G15" s="873">
        <f>SUM('[31]2'!$E$17,'[31]2'!$G$17:$H$17)</f>
        <v>2656.865832588725</v>
      </c>
      <c r="H15" s="679">
        <f>SUM('[31]2'!$E$25,'[31]2'!$G$25:$H$25)</f>
        <v>194.90013226300005</v>
      </c>
      <c r="I15" s="905">
        <f>SUM('[31]2'!$E$18:$E$19,'[31]2'!$G$18:$H$19)</f>
        <v>2587.4378642021297</v>
      </c>
      <c r="J15" s="873">
        <f>SUM('[31]2'!$E$26:$E$27,'[31]2'!$G$26:$H$27)</f>
        <v>1728.5655564380922</v>
      </c>
      <c r="K15" s="905">
        <f>'[31]2'!$I$15</f>
        <v>8999.2318269643474</v>
      </c>
      <c r="L15" s="2473">
        <f>'[31]2'!$I$23+0.01</f>
        <v>3088.8579488886735</v>
      </c>
      <c r="M15" s="679">
        <f>'[31]2'!$K$15</f>
        <v>199.76937123637001</v>
      </c>
      <c r="N15" s="663">
        <f>'[31]2'!$K$23</f>
        <v>5565.815441740473</v>
      </c>
      <c r="O15" s="680">
        <f>'[31]2'!$I$15+'[31]2'!$K$15</f>
        <v>9199.0011982007181</v>
      </c>
      <c r="P15" s="680">
        <f>'[31]2'!$I$23+'[31]2'!$K$23</f>
        <v>8654.6633906291463</v>
      </c>
      <c r="Q15" s="680">
        <f>'[31]2'!$I$15+'[31]2'!$K$15+'[31]2'!$I$23+'[31]2'!$K$23</f>
        <v>17853.664588829866</v>
      </c>
      <c r="R15" s="2167">
        <f t="shared" si="0"/>
        <v>0</v>
      </c>
      <c r="S15" s="2167">
        <f t="shared" si="1"/>
        <v>0</v>
      </c>
      <c r="T15" s="2167">
        <f t="shared" si="2"/>
        <v>0</v>
      </c>
      <c r="U15" s="2167">
        <f t="shared" si="3"/>
        <v>0</v>
      </c>
      <c r="V15" s="2167">
        <f t="shared" si="4"/>
        <v>0</v>
      </c>
    </row>
    <row r="16" spans="1:22" s="889" customFormat="1" ht="14.25" customHeight="1">
      <c r="A16" s="884">
        <v>2019</v>
      </c>
      <c r="B16" s="885"/>
      <c r="C16" s="678">
        <f>SUM('[32]2'!$C$15:$D$15,'[32]2'!$F$15)</f>
        <v>1528.4576270324592</v>
      </c>
      <c r="D16" s="873">
        <f>SUM('[32]2'!$C$23:$D$23,'[32]2'!$F$23)</f>
        <v>548.92113893707221</v>
      </c>
      <c r="E16" s="873">
        <f>SUM('[32]2'!$E$16,'[32]2'!$G$16:$H$16)</f>
        <v>2002.2312100160302</v>
      </c>
      <c r="F16" s="2472">
        <f>SUM('[32]2'!$E$24,'[32]2'!$G$24:$H$24)+0.01</f>
        <v>769.75721012214944</v>
      </c>
      <c r="G16" s="873">
        <f>SUM('[32]2'!$E$17,'[32]2'!$G$17:$H$17)</f>
        <v>2994.3736428950551</v>
      </c>
      <c r="H16" s="679">
        <f>SUM('[32]2'!$E$25,'[32]2'!$G$25:$H$25)</f>
        <v>190.40987051099989</v>
      </c>
      <c r="I16" s="905">
        <f>SUM('[32]2'!$E$18:$E$19,'[32]2'!$G$18:$H$19)</f>
        <v>3174.9056168485436</v>
      </c>
      <c r="J16" s="873">
        <f>SUM('[32]2'!$E$26:$E$27,'[32]2'!$G$26:$H$27)</f>
        <v>1923.5262195618529</v>
      </c>
      <c r="K16" s="1875">
        <f>'[32]2'!$I$15+0.02</f>
        <v>9699.9610967920889</v>
      </c>
      <c r="L16" s="873">
        <f>'[32]2'!$I$23</f>
        <v>3432.6044391320747</v>
      </c>
      <c r="M16" s="679">
        <f>'[32]2'!$K$15</f>
        <v>210.41152702788196</v>
      </c>
      <c r="N16" s="663">
        <f>'[32]2'!$K$23</f>
        <v>4621.4441194674582</v>
      </c>
      <c r="O16" s="680">
        <f>'[32]2'!$I$15+'[32]2'!$K$15</f>
        <v>9910.3526238199702</v>
      </c>
      <c r="P16" s="680">
        <f>'[32]2'!$I$23+'[32]2'!$K$23</f>
        <v>8054.048558599533</v>
      </c>
      <c r="Q16" s="680">
        <f>'[32]2'!$I$15+'[32]2'!$K$15+'[32]2'!$I$23+'[32]2'!$K$23</f>
        <v>17964.401182419504</v>
      </c>
      <c r="R16" s="2167">
        <f t="shared" si="0"/>
        <v>0</v>
      </c>
      <c r="S16" s="2167">
        <f t="shared" si="1"/>
        <v>0</v>
      </c>
      <c r="T16" s="2167">
        <f t="shared" si="2"/>
        <v>0</v>
      </c>
      <c r="U16" s="2167">
        <f t="shared" si="3"/>
        <v>0</v>
      </c>
      <c r="V16" s="2167">
        <f t="shared" si="4"/>
        <v>0</v>
      </c>
    </row>
    <row r="17" spans="1:22" s="889" customFormat="1" ht="14.25" customHeight="1">
      <c r="A17" s="884">
        <v>2020</v>
      </c>
      <c r="B17" s="885"/>
      <c r="C17" s="678">
        <f>SUM('[33]2'!$C$15:$D$15,'[33]2'!$F$15)</f>
        <v>1371.1594042623201</v>
      </c>
      <c r="D17" s="873">
        <f>SUM('[33]2'!$C$23:$D$23,'[33]2'!$F$23)</f>
        <v>350.32315047173523</v>
      </c>
      <c r="E17" s="873">
        <f>SUM('[33]2'!$E$16,'[33]2'!$G$16:$H$16)</f>
        <v>2221.5303436846725</v>
      </c>
      <c r="F17" s="904">
        <f>SUM('[33]2'!$E$24,'[33]2'!$G$24:$H$24)</f>
        <v>864.30687706458662</v>
      </c>
      <c r="G17" s="873">
        <f>SUM('[33]2'!$E$17,'[33]2'!$G$17:$H$17)</f>
        <v>3465.3917262776149</v>
      </c>
      <c r="H17" s="2471">
        <f>SUM('[33]2'!$E$25,'[33]2'!$G$25:$H$25)+0.03</f>
        <v>224.17378127638972</v>
      </c>
      <c r="I17" s="905">
        <f>SUM('[33]2'!$E$18:$E$19,'[33]2'!$G$18:$H$19)</f>
        <v>3387.924286367846</v>
      </c>
      <c r="J17" s="873">
        <f>SUM('[33]2'!$E$26:$E$27,'[33]2'!$G$26:$H$27)</f>
        <v>1668.6276453242949</v>
      </c>
      <c r="K17" s="905">
        <f>'[33]2'!$I$15</f>
        <v>10446.005760592454</v>
      </c>
      <c r="L17" s="873">
        <f>'[33]2'!$I$23</f>
        <v>3107.401454137007</v>
      </c>
      <c r="M17" s="679">
        <f>'[33]2'!$K$15</f>
        <v>331.57058985018591</v>
      </c>
      <c r="N17" s="663">
        <f>'[33]2'!$K$23</f>
        <v>3023.2817317133336</v>
      </c>
      <c r="O17" s="680">
        <f>'[33]2'!$I$15+'[33]2'!$K$15</f>
        <v>10777.57635044264</v>
      </c>
      <c r="P17" s="680">
        <f>'[33]2'!$I$23+'[33]2'!$K$23</f>
        <v>6130.683185850341</v>
      </c>
      <c r="Q17" s="680">
        <f>'[33]2'!$I$15+'[33]2'!$K$15+'[33]2'!$I$23+'[33]2'!$K$23</f>
        <v>16908.259536292979</v>
      </c>
      <c r="R17" s="2167">
        <f t="shared" si="0"/>
        <v>0</v>
      </c>
      <c r="S17" s="2167">
        <f t="shared" si="1"/>
        <v>0</v>
      </c>
      <c r="T17" s="2167">
        <f t="shared" si="2"/>
        <v>0</v>
      </c>
      <c r="U17" s="2167">
        <f t="shared" si="3"/>
        <v>0</v>
      </c>
      <c r="V17" s="2167">
        <f t="shared" si="4"/>
        <v>0</v>
      </c>
    </row>
    <row r="18" spans="1:22" s="889" customFormat="1" ht="14.25" customHeight="1">
      <c r="A18" s="884">
        <v>2021</v>
      </c>
      <c r="B18" s="885"/>
      <c r="C18" s="678">
        <f>SUM('[34]2'!$C$15:$D$15,'[34]2'!$F$15)</f>
        <v>1242.3510356632999</v>
      </c>
      <c r="D18" s="873">
        <f>SUM('[34]2'!$C$23:$D$23,'[34]2'!$F$23)</f>
        <v>403.67317463105587</v>
      </c>
      <c r="E18" s="873">
        <f>SUM('[34]2'!$E$16,'[34]2'!$G$16:$H$16)</f>
        <v>2593.4309212471908</v>
      </c>
      <c r="F18" s="904">
        <f>SUM('[34]2'!$E$24,'[34]2'!$G$24:$H$24)</f>
        <v>1117.2719011458805</v>
      </c>
      <c r="G18" s="873">
        <f>SUM('[34]2'!$E$17,'[34]2'!$G$17:$H$17)</f>
        <v>3581.4783445151256</v>
      </c>
      <c r="H18" s="679">
        <f>SUM('[34]2'!$E$25,'[34]2'!$G$25:$H$25)</f>
        <v>238.93553182373512</v>
      </c>
      <c r="I18" s="905">
        <f>SUM('[34]2'!$E$18:$E$19,'[34]2'!$G$18:$H$19)</f>
        <v>3400.5429511465377</v>
      </c>
      <c r="J18" s="873">
        <f>SUM('[34]2'!$E$26:$E$27,'[34]2'!$G$26:$H$27)</f>
        <v>1544.9969184114802</v>
      </c>
      <c r="K18" s="905">
        <f>'[34]2'!$I$15</f>
        <v>10817.804707164825</v>
      </c>
      <c r="L18" s="873">
        <f>'[34]2'!$I$23</f>
        <v>3304.877526012152</v>
      </c>
      <c r="M18" s="679">
        <f>'[34]2'!$K$15</f>
        <v>391.01793156305098</v>
      </c>
      <c r="N18" s="663">
        <f>'[34]2'!$K$23</f>
        <v>4190.5017962952907</v>
      </c>
      <c r="O18" s="680">
        <f>'[34]2'!$I$15+'[34]2'!$K$15</f>
        <v>11208.822638727876</v>
      </c>
      <c r="P18" s="680">
        <f>'[34]2'!$I$23+'[34]2'!$K$23</f>
        <v>7495.3793223074426</v>
      </c>
      <c r="Q18" s="680">
        <f>'[34]2'!$I$15+'[34]2'!$K$15+'[34]2'!$I$23+'[34]2'!$K$23</f>
        <v>18704.20196103532</v>
      </c>
      <c r="R18" s="2167">
        <f t="shared" si="0"/>
        <v>0</v>
      </c>
      <c r="S18" s="2167">
        <f t="shared" si="1"/>
        <v>0</v>
      </c>
      <c r="T18" s="2167">
        <f t="shared" si="2"/>
        <v>0</v>
      </c>
      <c r="U18" s="2167">
        <f t="shared" si="3"/>
        <v>0</v>
      </c>
      <c r="V18" s="2167">
        <f t="shared" si="4"/>
        <v>0</v>
      </c>
    </row>
    <row r="19" spans="1:22" s="483" customFormat="1" ht="14.25" customHeight="1">
      <c r="A19" s="1782">
        <v>2022</v>
      </c>
      <c r="B19" s="1783"/>
      <c r="C19" s="2375">
        <f>SUM('[35]2'!$C$15:$D$15,'[35]2'!$F$15)</f>
        <v>1373.4783701469401</v>
      </c>
      <c r="D19" s="2376">
        <f>SUM('[35]2'!$C$23:$D$23,'[35]2'!$F$23)</f>
        <v>427.60438581364394</v>
      </c>
      <c r="E19" s="2376">
        <f>SUM('[35]2'!$E$16,'[35]2'!$G$16:$H$16)</f>
        <v>2409.9319426433749</v>
      </c>
      <c r="F19" s="2377">
        <f>SUM('[35]2'!$E$24,'[35]2'!$G$24:$H$24)</f>
        <v>684.24289660123202</v>
      </c>
      <c r="G19" s="2376">
        <f>SUM('[35]2'!$E$17,'[35]2'!$G$17:$H$17)</f>
        <v>3350.0400338968925</v>
      </c>
      <c r="H19" s="2378">
        <f>SUM('[35]2'!$E$25,'[35]2'!$G$25:$H$25)</f>
        <v>199.36483966376352</v>
      </c>
      <c r="I19" s="1875">
        <f>SUM('[35]2'!$E$18:$E$19,'[35]2'!$G$18:$H$19)</f>
        <v>4043.4651426944056</v>
      </c>
      <c r="J19" s="2376">
        <f>SUM('[35]2'!$E$26:$E$27,'[35]2'!$G$26:$H$27)</f>
        <v>2134.3543923512498</v>
      </c>
      <c r="K19" s="1875">
        <f>'[35]2'!$I$15</f>
        <v>11176.915489381612</v>
      </c>
      <c r="L19" s="2376">
        <f>'[35]2'!$I$23</f>
        <v>3445.5665144298891</v>
      </c>
      <c r="M19" s="2378">
        <f>'[35]2'!$K$15</f>
        <v>179.09739111790901</v>
      </c>
      <c r="N19" s="2379">
        <f>'[35]2'!$K$23</f>
        <v>4202.1257780628021</v>
      </c>
      <c r="O19" s="2380">
        <f>'[35]2'!$I$15+'[35]2'!$K$15</f>
        <v>11356.012880499522</v>
      </c>
      <c r="P19" s="2380">
        <f>'[35]2'!$I$23+'[35]2'!$K$23</f>
        <v>7647.6922924926912</v>
      </c>
      <c r="Q19" s="2380">
        <f>'[35]2'!$I$15+'[35]2'!$K$15+'[35]2'!$I$23+'[35]2'!$K$23</f>
        <v>19003.705172992213</v>
      </c>
      <c r="R19" s="2167">
        <f t="shared" si="0"/>
        <v>0</v>
      </c>
      <c r="S19" s="2167">
        <f t="shared" si="1"/>
        <v>0</v>
      </c>
      <c r="T19" s="2167">
        <f t="shared" si="2"/>
        <v>0</v>
      </c>
      <c r="U19" s="2167">
        <f t="shared" si="3"/>
        <v>0</v>
      </c>
      <c r="V19" s="2167">
        <f t="shared" si="4"/>
        <v>0</v>
      </c>
    </row>
    <row r="20" spans="1:22" s="483" customFormat="1" ht="14.25" customHeight="1">
      <c r="A20" s="1782">
        <v>2023</v>
      </c>
      <c r="B20" s="1783"/>
      <c r="C20" s="2375">
        <v>1429.7477143412302</v>
      </c>
      <c r="D20" s="2376">
        <v>569.77437376081923</v>
      </c>
      <c r="E20" s="2376">
        <v>2235.9304739516965</v>
      </c>
      <c r="F20" s="2377">
        <v>645.21403364002094</v>
      </c>
      <c r="G20" s="2376">
        <v>3164.7782096244364</v>
      </c>
      <c r="H20" s="2378">
        <v>180.01593044440398</v>
      </c>
      <c r="I20" s="1875">
        <v>4853.7568155189847</v>
      </c>
      <c r="J20" s="2376">
        <v>2352.3807105044953</v>
      </c>
      <c r="K20" s="1875">
        <v>11684.213213436349</v>
      </c>
      <c r="L20" s="2376">
        <v>3747.385048349739</v>
      </c>
      <c r="M20" s="2378">
        <v>235.55873632494399</v>
      </c>
      <c r="N20" s="2379">
        <v>4537.4253095855202</v>
      </c>
      <c r="O20" s="2380">
        <v>11919.76194976129</v>
      </c>
      <c r="P20" s="2380">
        <v>8284.8103579352592</v>
      </c>
      <c r="Q20" s="2380">
        <v>20204.572307696551</v>
      </c>
      <c r="R20" s="2167">
        <v>0</v>
      </c>
      <c r="S20" s="2167">
        <v>0</v>
      </c>
      <c r="T20" s="2167">
        <v>0</v>
      </c>
      <c r="U20" s="2167">
        <v>0</v>
      </c>
      <c r="V20" s="2167">
        <v>0</v>
      </c>
    </row>
    <row r="21" spans="1:22" s="483" customFormat="1" ht="14.25" customHeight="1">
      <c r="A21" s="1782">
        <v>2024</v>
      </c>
      <c r="B21" s="1783"/>
      <c r="C21" s="2375">
        <v>1589.5339450071672</v>
      </c>
      <c r="D21" s="2376">
        <v>718.50799314713436</v>
      </c>
      <c r="E21" s="2376">
        <v>2273.8414924234926</v>
      </c>
      <c r="F21" s="2377">
        <v>574.51409144035335</v>
      </c>
      <c r="G21" s="2376">
        <v>3214.3675470957446</v>
      </c>
      <c r="H21" s="2378">
        <v>175.58227660369414</v>
      </c>
      <c r="I21" s="1875">
        <v>5053.0555891987487</v>
      </c>
      <c r="J21" s="2376">
        <v>2080.3916849465149</v>
      </c>
      <c r="K21" s="1875">
        <v>12130.798573725155</v>
      </c>
      <c r="L21" s="2376">
        <v>3548.9960461376968</v>
      </c>
      <c r="M21" s="2378">
        <v>343.08991306068793</v>
      </c>
      <c r="N21" s="2379">
        <v>4547.426484782296</v>
      </c>
      <c r="O21" s="2380">
        <v>12473.908486785842</v>
      </c>
      <c r="P21" s="2380">
        <v>8096.4225309199928</v>
      </c>
      <c r="Q21" s="2380">
        <v>20570.331017705834</v>
      </c>
      <c r="R21" s="2167">
        <v>0</v>
      </c>
      <c r="S21" s="2167">
        <v>0</v>
      </c>
      <c r="T21" s="2167">
        <v>0</v>
      </c>
      <c r="U21" s="2167">
        <v>0</v>
      </c>
      <c r="V21" s="2167">
        <v>0</v>
      </c>
    </row>
    <row r="22" spans="1:22" s="483" customFormat="1" ht="14.25" customHeight="1">
      <c r="A22" s="2058">
        <v>2025</v>
      </c>
      <c r="B22" s="2200"/>
      <c r="C22" s="2238">
        <f t="shared" ref="C22:J22" si="5">C29</f>
        <v>1579.0212037967999</v>
      </c>
      <c r="D22" s="2239">
        <f t="shared" si="5"/>
        <v>531.4989286891921</v>
      </c>
      <c r="E22" s="2239">
        <f t="shared" si="5"/>
        <v>2351.9652022122091</v>
      </c>
      <c r="F22" s="2240">
        <f t="shared" si="5"/>
        <v>607.20731165527411</v>
      </c>
      <c r="G22" s="2239">
        <f t="shared" si="5"/>
        <v>3367.7662804065289</v>
      </c>
      <c r="H22" s="2241">
        <f t="shared" si="5"/>
        <v>150.13743061529988</v>
      </c>
      <c r="I22" s="2232">
        <f t="shared" si="5"/>
        <v>5300.2131153302089</v>
      </c>
      <c r="J22" s="2239">
        <f t="shared" si="5"/>
        <v>2156.4835314669808</v>
      </c>
      <c r="K22" s="2232">
        <f>C22+E22+G22+I22</f>
        <v>12598.965801745748</v>
      </c>
      <c r="L22" s="2239">
        <f>D22+F22+H22+J22</f>
        <v>3445.3272024267467</v>
      </c>
      <c r="M22" s="2241">
        <f>M29</f>
        <v>333.72445415217999</v>
      </c>
      <c r="N22" s="2242">
        <f>N29</f>
        <v>5452.2694812869904</v>
      </c>
      <c r="O22" s="2243">
        <f>O29</f>
        <v>12932.690255897927</v>
      </c>
      <c r="P22" s="2243">
        <f>P29</f>
        <v>8897.6166837137371</v>
      </c>
      <c r="Q22" s="2243">
        <f>Q29</f>
        <v>21830.306939611663</v>
      </c>
      <c r="R22" s="2167">
        <f t="shared" ref="R22" si="6">ROUND(K22,1)-ROUND(C22,1)-ROUND(E22,1)-ROUND(G22,1)-ROUND(I22,1)</f>
        <v>0</v>
      </c>
      <c r="S22" s="2167">
        <f t="shared" ref="S22" si="7">ROUND(L22,1)-ROUND(D22,1)-ROUND(F22,1)-ROUND(H22,1)-ROUND(J22,1)</f>
        <v>0</v>
      </c>
      <c r="T22" s="2167">
        <f t="shared" ref="T22" si="8">ROUND(O22,1)-ROUND(M22,1)-ROUND(K22,1)</f>
        <v>0</v>
      </c>
      <c r="U22" s="2167">
        <f t="shared" ref="U22" si="9">ROUND(P22,1)-ROUND(N22,1)-ROUND(L22,1)</f>
        <v>0</v>
      </c>
      <c r="V22" s="2167">
        <f t="shared" ref="V22" si="10">ROUND(Q22,1)-ROUND(P22,1)-ROUND(O22,1)</f>
        <v>0</v>
      </c>
    </row>
    <row r="23" spans="1:22" s="889" customFormat="1" ht="21" customHeight="1">
      <c r="A23" s="884">
        <v>2024</v>
      </c>
      <c r="B23" s="885" t="s">
        <v>243</v>
      </c>
      <c r="C23" s="678">
        <v>1392.510297024</v>
      </c>
      <c r="D23" s="873">
        <v>643.03764930711395</v>
      </c>
      <c r="E23" s="873">
        <v>2177.3013817390265</v>
      </c>
      <c r="F23" s="904">
        <v>742.18667090382473</v>
      </c>
      <c r="G23" s="873">
        <v>3190.7750974028822</v>
      </c>
      <c r="H23" s="679">
        <v>155.07269141205967</v>
      </c>
      <c r="I23" s="1492">
        <v>5134.2441584733879</v>
      </c>
      <c r="J23" s="1527">
        <v>2028.3694143964901</v>
      </c>
      <c r="K23" s="905">
        <v>11894.840934639296</v>
      </c>
      <c r="L23" s="873">
        <v>3568.6764260194886</v>
      </c>
      <c r="M23" s="2471">
        <v>227.57734005926702</v>
      </c>
      <c r="N23" s="663">
        <v>4575.8096869108622</v>
      </c>
      <c r="O23" s="680">
        <v>12122.418274698563</v>
      </c>
      <c r="P23" s="663">
        <v>8144.4861129303508</v>
      </c>
      <c r="Q23" s="680">
        <v>20266.904387628914</v>
      </c>
      <c r="R23" s="2167">
        <f t="shared" ref="R23" si="11">ROUND(K23,1)-ROUND(C23,1)-ROUND(E23,1)-ROUND(G23,1)-ROUND(I23,1)</f>
        <v>0</v>
      </c>
      <c r="S23" s="2167">
        <f t="shared" ref="S23" si="12">ROUND(L23,1)-ROUND(D23,1)-ROUND(F23,1)-ROUND(H23,1)-ROUND(J23,1)</f>
        <v>0</v>
      </c>
      <c r="T23" s="2167">
        <f t="shared" ref="T23" si="13">ROUND(O23,1)-ROUND(M23,1)-ROUND(K23,1)</f>
        <v>0</v>
      </c>
      <c r="U23" s="2167">
        <f t="shared" ref="U23" si="14">ROUND(P23,1)-ROUND(N23,1)-ROUND(L23,1)</f>
        <v>0</v>
      </c>
      <c r="V23" s="2167">
        <f t="shared" si="4"/>
        <v>0</v>
      </c>
    </row>
    <row r="24" spans="1:22" s="889" customFormat="1" ht="15" customHeight="1">
      <c r="A24" s="884"/>
      <c r="B24" s="885" t="s">
        <v>240</v>
      </c>
      <c r="C24" s="678">
        <v>1648.4055013430002</v>
      </c>
      <c r="D24" s="873">
        <v>729.93451244423102</v>
      </c>
      <c r="E24" s="873">
        <v>2226.6150613454824</v>
      </c>
      <c r="F24" s="904">
        <v>699.93760696272386</v>
      </c>
      <c r="G24" s="873">
        <v>3223.3553502862151</v>
      </c>
      <c r="H24" s="679">
        <v>149.15248970131472</v>
      </c>
      <c r="I24" s="905">
        <v>5114.7050557666635</v>
      </c>
      <c r="J24" s="873">
        <v>2282.3879646332607</v>
      </c>
      <c r="K24" s="905">
        <v>12213.06096874136</v>
      </c>
      <c r="L24" s="873">
        <v>3861.4125737415302</v>
      </c>
      <c r="M24" s="679">
        <v>250.98711350764802</v>
      </c>
      <c r="N24" s="663">
        <v>4798.915650237619</v>
      </c>
      <c r="O24" s="680">
        <v>12464.058082249008</v>
      </c>
      <c r="P24" s="663">
        <v>8660.3282239791497</v>
      </c>
      <c r="Q24" s="680">
        <v>21124.376306228158</v>
      </c>
      <c r="R24" s="2167">
        <v>0</v>
      </c>
      <c r="S24" s="2167">
        <v>0</v>
      </c>
      <c r="T24" s="2167">
        <v>0</v>
      </c>
      <c r="U24" s="2167">
        <v>0</v>
      </c>
      <c r="V24" s="2167">
        <v>0</v>
      </c>
    </row>
    <row r="25" spans="1:22" s="889" customFormat="1" ht="15" customHeight="1">
      <c r="A25" s="884"/>
      <c r="B25" s="885" t="s">
        <v>241</v>
      </c>
      <c r="C25" s="678">
        <v>1589.5339450071672</v>
      </c>
      <c r="D25" s="873">
        <v>718.50799314713436</v>
      </c>
      <c r="E25" s="873">
        <v>2273.8414924234926</v>
      </c>
      <c r="F25" s="904">
        <v>574.51409144035335</v>
      </c>
      <c r="G25" s="873">
        <v>3214.3675470957446</v>
      </c>
      <c r="H25" s="679">
        <v>175.58227660369414</v>
      </c>
      <c r="I25" s="905">
        <v>5053.0555891987487</v>
      </c>
      <c r="J25" s="873">
        <v>2080.3916849465149</v>
      </c>
      <c r="K25" s="905">
        <v>12130.818573725153</v>
      </c>
      <c r="L25" s="873">
        <v>3548.9960461376968</v>
      </c>
      <c r="M25" s="679">
        <v>343.08991306068793</v>
      </c>
      <c r="N25" s="663">
        <v>4547.426484782296</v>
      </c>
      <c r="O25" s="680">
        <v>12473.908486785842</v>
      </c>
      <c r="P25" s="663">
        <v>8096.4225309199928</v>
      </c>
      <c r="Q25" s="680">
        <v>20570.331017705834</v>
      </c>
      <c r="R25" s="2167">
        <v>0</v>
      </c>
      <c r="S25" s="2167">
        <v>0</v>
      </c>
      <c r="T25" s="2167">
        <v>0</v>
      </c>
      <c r="U25" s="2167">
        <v>0</v>
      </c>
      <c r="V25" s="2167">
        <v>0</v>
      </c>
    </row>
    <row r="26" spans="1:22" s="889" customFormat="1" ht="21" customHeight="1">
      <c r="A26" s="884">
        <v>2025</v>
      </c>
      <c r="B26" s="885" t="s">
        <v>242</v>
      </c>
      <c r="C26" s="678">
        <v>1574.3957860380001</v>
      </c>
      <c r="D26" s="873">
        <v>788.78924393933835</v>
      </c>
      <c r="E26" s="873">
        <v>2357.7699401109357</v>
      </c>
      <c r="F26" s="904">
        <v>643.12044753968735</v>
      </c>
      <c r="G26" s="873">
        <v>3323.9957136323433</v>
      </c>
      <c r="H26" s="679">
        <v>158.04323546256381</v>
      </c>
      <c r="I26" s="905">
        <v>5001.4259307285083</v>
      </c>
      <c r="J26" s="873">
        <v>1983.9563944279416</v>
      </c>
      <c r="K26" s="905">
        <v>12257.587370509787</v>
      </c>
      <c r="L26" s="873">
        <v>3573.8893213695319</v>
      </c>
      <c r="M26" s="679">
        <v>292.86968200870615</v>
      </c>
      <c r="N26" s="663">
        <v>4804.5315102207478</v>
      </c>
      <c r="O26" s="680">
        <v>12550.457052518494</v>
      </c>
      <c r="P26" s="663">
        <v>8378.4208315902797</v>
      </c>
      <c r="Q26" s="680">
        <v>20928.877884108773</v>
      </c>
      <c r="R26" s="2167">
        <v>0</v>
      </c>
      <c r="S26" s="2167">
        <v>0</v>
      </c>
      <c r="T26" s="2167">
        <v>0</v>
      </c>
      <c r="U26" s="2167">
        <v>0</v>
      </c>
      <c r="V26" s="2167">
        <v>0</v>
      </c>
    </row>
    <row r="27" spans="1:22" s="889" customFormat="1" ht="15" customHeight="1">
      <c r="A27" s="884"/>
      <c r="B27" s="885" t="s">
        <v>243</v>
      </c>
      <c r="C27" s="678">
        <v>1659.4194860290002</v>
      </c>
      <c r="D27" s="873">
        <v>619.82311523326302</v>
      </c>
      <c r="E27" s="873">
        <v>2338.3777050926492</v>
      </c>
      <c r="F27" s="904">
        <v>536.82612549011856</v>
      </c>
      <c r="G27" s="873">
        <v>3348.2302511828093</v>
      </c>
      <c r="H27" s="679">
        <v>138.25438350038075</v>
      </c>
      <c r="I27" s="905">
        <v>5189.6615024364401</v>
      </c>
      <c r="J27" s="873">
        <v>1952.9314672289056</v>
      </c>
      <c r="K27" s="905">
        <v>12535.7189447409</v>
      </c>
      <c r="L27" s="873">
        <v>3247.8350914526682</v>
      </c>
      <c r="M27" s="679">
        <v>309.95981781017713</v>
      </c>
      <c r="N27" s="663">
        <v>3737.5295858911104</v>
      </c>
      <c r="O27" s="680">
        <v>12845.678762551077</v>
      </c>
      <c r="P27" s="663">
        <v>6985.3446773437781</v>
      </c>
      <c r="Q27" s="680">
        <v>19831.043439894856</v>
      </c>
      <c r="R27" s="2167">
        <v>0</v>
      </c>
      <c r="S27" s="2167">
        <v>0</v>
      </c>
      <c r="T27" s="2167">
        <v>0</v>
      </c>
      <c r="U27" s="2167">
        <v>0</v>
      </c>
      <c r="V27" s="2167">
        <v>0</v>
      </c>
    </row>
    <row r="28" spans="1:22" s="889" customFormat="1" ht="15" customHeight="1">
      <c r="A28" s="884"/>
      <c r="B28" s="885" t="s">
        <v>240</v>
      </c>
      <c r="C28" s="678">
        <f t="shared" ref="C28:Q28" si="15">C35</f>
        <v>1628.7898424943228</v>
      </c>
      <c r="D28" s="873">
        <f t="shared" si="15"/>
        <v>569.96856898412329</v>
      </c>
      <c r="E28" s="873">
        <f t="shared" si="15"/>
        <v>2339.3025918100006</v>
      </c>
      <c r="F28" s="904">
        <f t="shared" si="15"/>
        <v>530.71449316675614</v>
      </c>
      <c r="G28" s="873">
        <f t="shared" si="15"/>
        <v>3298.3917840363119</v>
      </c>
      <c r="H28" s="679">
        <f t="shared" si="15"/>
        <v>150.30248787393566</v>
      </c>
      <c r="I28" s="905">
        <f t="shared" si="15"/>
        <v>5161.4212508683213</v>
      </c>
      <c r="J28" s="873">
        <f t="shared" si="15"/>
        <v>2098.3270684671406</v>
      </c>
      <c r="K28" s="905">
        <f t="shared" si="15"/>
        <v>12427.905469208958</v>
      </c>
      <c r="L28" s="873">
        <f t="shared" si="15"/>
        <v>3349.3126184919561</v>
      </c>
      <c r="M28" s="679">
        <f t="shared" si="15"/>
        <v>290.11841800666406</v>
      </c>
      <c r="N28" s="663">
        <f t="shared" si="15"/>
        <v>4494.1339409597613</v>
      </c>
      <c r="O28" s="680">
        <f t="shared" si="15"/>
        <v>12718.023887215622</v>
      </c>
      <c r="P28" s="663">
        <f t="shared" si="15"/>
        <v>7843.4465594517169</v>
      </c>
      <c r="Q28" s="680">
        <f t="shared" si="15"/>
        <v>20561.44044666734</v>
      </c>
      <c r="R28" s="2167">
        <f t="shared" ref="R28" si="16">ROUND(K28,1)-ROUND(C28,1)-ROUND(E28,1)-ROUND(G28,1)-ROUND(I28,1)</f>
        <v>0</v>
      </c>
      <c r="S28" s="2167">
        <f t="shared" ref="S28" si="17">ROUND(L28,1)-ROUND(D28,1)-ROUND(F28,1)-ROUND(H28,1)-ROUND(J28,1)</f>
        <v>0</v>
      </c>
      <c r="T28" s="2167">
        <f t="shared" ref="T28" si="18">ROUND(O28,1)-ROUND(M28,1)-ROUND(K28,1)</f>
        <v>0</v>
      </c>
      <c r="U28" s="2167">
        <f t="shared" ref="U28" si="19">ROUND(P28,1)-ROUND(N28,1)-ROUND(L28,1)</f>
        <v>0</v>
      </c>
      <c r="V28" s="2167">
        <f t="shared" ref="V28" si="20">ROUND(Q28,1)-ROUND(P28,1)-ROUND(O28,1)</f>
        <v>0</v>
      </c>
    </row>
    <row r="29" spans="1:22" s="889" customFormat="1" ht="15" customHeight="1">
      <c r="A29" s="884"/>
      <c r="B29" s="885" t="s">
        <v>241</v>
      </c>
      <c r="C29" s="678">
        <f t="shared" ref="C29:Q29" si="21">C38</f>
        <v>1579.0212037967999</v>
      </c>
      <c r="D29" s="873">
        <f t="shared" si="21"/>
        <v>531.4989286891921</v>
      </c>
      <c r="E29" s="873">
        <f t="shared" si="21"/>
        <v>2351.9652022122091</v>
      </c>
      <c r="F29" s="904">
        <f t="shared" si="21"/>
        <v>607.20731165527411</v>
      </c>
      <c r="G29" s="873">
        <f t="shared" si="21"/>
        <v>3367.7662804065289</v>
      </c>
      <c r="H29" s="679">
        <f t="shared" si="21"/>
        <v>150.13743061529988</v>
      </c>
      <c r="I29" s="905">
        <f t="shared" si="21"/>
        <v>5300.2131153302089</v>
      </c>
      <c r="J29" s="873">
        <f t="shared" si="21"/>
        <v>2156.4835314669808</v>
      </c>
      <c r="K29" s="905">
        <f t="shared" si="21"/>
        <v>12598.965801745748</v>
      </c>
      <c r="L29" s="873">
        <f t="shared" si="21"/>
        <v>3445.3472024267471</v>
      </c>
      <c r="M29" s="679">
        <f t="shared" si="21"/>
        <v>333.72445415217999</v>
      </c>
      <c r="N29" s="663">
        <f t="shared" si="21"/>
        <v>5452.2694812869904</v>
      </c>
      <c r="O29" s="680">
        <f t="shared" si="21"/>
        <v>12932.690255897927</v>
      </c>
      <c r="P29" s="663">
        <f t="shared" si="21"/>
        <v>8897.6166837137371</v>
      </c>
      <c r="Q29" s="680">
        <f t="shared" si="21"/>
        <v>21830.306939611663</v>
      </c>
      <c r="R29" s="2167">
        <f t="shared" ref="R29" si="22">ROUND(K29,1)-ROUND(C29,1)-ROUND(E29,1)-ROUND(G29,1)-ROUND(I29,1)</f>
        <v>0</v>
      </c>
      <c r="S29" s="2167">
        <f t="shared" ref="S29" si="23">ROUND(L29,1)-ROUND(D29,1)-ROUND(F29,1)-ROUND(H29,1)-ROUND(J29,1)</f>
        <v>0</v>
      </c>
      <c r="T29" s="2167">
        <f t="shared" ref="T29" si="24">ROUND(O29,1)-ROUND(M29,1)-ROUND(K29,1)</f>
        <v>0</v>
      </c>
      <c r="U29" s="2167">
        <f t="shared" ref="U29" si="25">ROUND(P29,1)-ROUND(N29,1)-ROUND(L29,1)</f>
        <v>0</v>
      </c>
      <c r="V29" s="2167">
        <f t="shared" ref="V29" si="26">ROUND(Q29,1)-ROUND(P29,1)-ROUND(O29,1)</f>
        <v>0</v>
      </c>
    </row>
    <row r="30" spans="1:22" s="889" customFormat="1" ht="21" customHeight="1">
      <c r="A30" s="1681">
        <v>2026</v>
      </c>
      <c r="B30" s="1687" t="s">
        <v>242</v>
      </c>
      <c r="C30" s="1750">
        <f t="shared" ref="C30:Q30" si="27">C41</f>
        <v>1840.4332174430199</v>
      </c>
      <c r="D30" s="1748">
        <f t="shared" si="27"/>
        <v>878.17898708690427</v>
      </c>
      <c r="E30" s="1748">
        <f t="shared" si="27"/>
        <v>2541.5109079535623</v>
      </c>
      <c r="F30" s="1751">
        <f t="shared" si="27"/>
        <v>744.04622900062918</v>
      </c>
      <c r="G30" s="1748">
        <f t="shared" si="27"/>
        <v>3457.6750568250472</v>
      </c>
      <c r="H30" s="1752">
        <f t="shared" si="27"/>
        <v>171.07456758325992</v>
      </c>
      <c r="I30" s="1753">
        <f t="shared" si="27"/>
        <v>4924.3928911142866</v>
      </c>
      <c r="J30" s="1748">
        <f t="shared" si="27"/>
        <v>2220.0068885687342</v>
      </c>
      <c r="K30" s="1753">
        <f t="shared" si="27"/>
        <v>12764.012073335916</v>
      </c>
      <c r="L30" s="1748">
        <f t="shared" si="27"/>
        <v>4013.3066722395274</v>
      </c>
      <c r="M30" s="1752">
        <f t="shared" si="27"/>
        <v>292.76948178549731</v>
      </c>
      <c r="N30" s="1754">
        <f t="shared" si="27"/>
        <v>5275.9519714437556</v>
      </c>
      <c r="O30" s="1711">
        <f t="shared" si="27"/>
        <v>13056.781555121413</v>
      </c>
      <c r="P30" s="1754">
        <f t="shared" si="27"/>
        <v>9289.2586436832826</v>
      </c>
      <c r="Q30" s="1711">
        <f t="shared" si="27"/>
        <v>22346.060198804698</v>
      </c>
      <c r="R30" s="2167">
        <f t="shared" ref="R30" si="28">ROUND(K30,1)-ROUND(C30,1)-ROUND(E30,1)-ROUND(G30,1)-ROUND(I30,1)</f>
        <v>0</v>
      </c>
      <c r="S30" s="2167">
        <f t="shared" ref="S30" si="29">ROUND(L30,1)-ROUND(D30,1)-ROUND(F30,1)-ROUND(H30,1)-ROUND(J30,1)</f>
        <v>0</v>
      </c>
      <c r="T30" s="2167">
        <f t="shared" ref="T30" si="30">ROUND(O30,1)-ROUND(M30,1)-ROUND(K30,1)</f>
        <v>0</v>
      </c>
      <c r="U30" s="2167">
        <f t="shared" ref="U30" si="31">ROUND(P30,1)-ROUND(N30,1)-ROUND(L30,1)</f>
        <v>0</v>
      </c>
      <c r="V30" s="2167">
        <f t="shared" ref="V30" si="32">ROUND(Q30,1)-ROUND(P30,1)-ROUND(O30,1)</f>
        <v>0</v>
      </c>
    </row>
    <row r="31" spans="1:22" s="372" customFormat="1" ht="21" customHeight="1">
      <c r="A31" s="704">
        <v>2025</v>
      </c>
      <c r="B31" s="801" t="s">
        <v>427</v>
      </c>
      <c r="C31" s="1872">
        <v>1733.706866341</v>
      </c>
      <c r="D31" s="1527">
        <v>653.20338513380591</v>
      </c>
      <c r="E31" s="1527">
        <v>2388.4005708393656</v>
      </c>
      <c r="F31" s="1533">
        <v>556.142810061864</v>
      </c>
      <c r="G31" s="1527">
        <v>3196.7316215990868</v>
      </c>
      <c r="H31" s="1641">
        <v>145.80352770438418</v>
      </c>
      <c r="I31" s="1492">
        <v>5191.5059859364601</v>
      </c>
      <c r="J31" s="1527">
        <v>2069.4723875099321</v>
      </c>
      <c r="K31" s="1492">
        <v>12510.345044715912</v>
      </c>
      <c r="L31" s="1527">
        <v>3424.6221104099868</v>
      </c>
      <c r="M31" s="1641">
        <v>319.88288711343614</v>
      </c>
      <c r="N31" s="1512">
        <v>4412.8532545886346</v>
      </c>
      <c r="O31" s="1495">
        <v>12830.227931829348</v>
      </c>
      <c r="P31" s="1495">
        <v>7837.4753649986214</v>
      </c>
      <c r="Q31" s="1512">
        <v>20667.703296827967</v>
      </c>
      <c r="R31" s="2167">
        <v>0</v>
      </c>
      <c r="S31" s="2167">
        <v>0</v>
      </c>
      <c r="T31" s="2167">
        <v>0</v>
      </c>
      <c r="U31" s="2167">
        <v>0</v>
      </c>
      <c r="V31" s="2167">
        <v>0</v>
      </c>
    </row>
    <row r="32" spans="1:22" s="372" customFormat="1" ht="16.5" customHeight="1">
      <c r="A32" s="704"/>
      <c r="B32" s="801" t="s">
        <v>428</v>
      </c>
      <c r="C32" s="2336">
        <f>SUM('[5]2'!$C$15:$D$15,'[5]2'!$F$15)-0.03</f>
        <v>1659.4194860290002</v>
      </c>
      <c r="D32" s="1527">
        <f>SUM('[5]2'!$C$23:$D$23,'[5]2'!$F$23)</f>
        <v>619.82311523326302</v>
      </c>
      <c r="E32" s="1527">
        <f>SUM('[5]2'!$E$16,'[5]2'!$G$16:$H$16)</f>
        <v>2338.3777050926492</v>
      </c>
      <c r="F32" s="1533">
        <f>SUM('[5]2'!$E$24,'[5]2'!$G$24:$H$24)</f>
        <v>536.82612549011856</v>
      </c>
      <c r="G32" s="1527">
        <f>SUM('[5]2'!$E$17,'[5]2'!$G$17:$H$17)</f>
        <v>3348.2302511828093</v>
      </c>
      <c r="H32" s="1641">
        <f>SUM('[5]2'!$E$25,'[5]2'!$G$25:$H$25)</f>
        <v>138.25438350038075</v>
      </c>
      <c r="I32" s="1492">
        <f>SUM('[5]2'!$E$18:$E$19,'[5]2'!$G$18:$H$19)</f>
        <v>5189.6615024364401</v>
      </c>
      <c r="J32" s="1527">
        <f>SUM('[5]2'!$E$26:$E$27,'[5]2'!$G$26:$H$27)</f>
        <v>1952.9314672289056</v>
      </c>
      <c r="K32" s="1492">
        <f>'[5]2'!$I$15</f>
        <v>12535.7189447409</v>
      </c>
      <c r="L32" s="1527">
        <f>'[5]2'!$I$23</f>
        <v>3247.8350914526682</v>
      </c>
      <c r="M32" s="1641">
        <f>'[5]2'!$K$15</f>
        <v>309.95981781017713</v>
      </c>
      <c r="N32" s="1512">
        <f>'[5]2'!$K$23</f>
        <v>3737.5295858911104</v>
      </c>
      <c r="O32" s="1495">
        <f>'[5]2'!$I$15+'[5]2'!$K$15</f>
        <v>12845.678762551077</v>
      </c>
      <c r="P32" s="2477">
        <f>'[5]2'!$I$23+'[5]2'!$K$23-0.02</f>
        <v>6985.3446773437781</v>
      </c>
      <c r="Q32" s="1512">
        <f>'[5]2'!$I$15+'[5]2'!$K$15+'[5]2'!$I$23+'[5]2'!$K$23</f>
        <v>19831.043439894856</v>
      </c>
      <c r="R32" s="2167">
        <f t="shared" ref="R32" si="33">ROUND(K32,1)-ROUND(C32,1)-ROUND(E32,1)-ROUND(G32,1)-ROUND(I32,1)</f>
        <v>0</v>
      </c>
      <c r="S32" s="2167">
        <f t="shared" ref="S32" si="34">ROUND(L32,1)-ROUND(D32,1)-ROUND(F32,1)-ROUND(H32,1)-ROUND(J32,1)</f>
        <v>0</v>
      </c>
      <c r="T32" s="2167">
        <f t="shared" ref="T32" si="35">ROUND(O32,1)-ROUND(M32,1)-ROUND(K32,1)</f>
        <v>0</v>
      </c>
      <c r="U32" s="2167">
        <f t="shared" ref="U32" si="36">ROUND(P32,1)-ROUND(N32,1)-ROUND(L32,1)</f>
        <v>0</v>
      </c>
      <c r="V32" s="2167">
        <f t="shared" ref="V32:V35" si="37">ROUND(Q32,1)-ROUND(P32,1)-ROUND(O32,1)</f>
        <v>0</v>
      </c>
    </row>
    <row r="33" spans="1:22" s="372" customFormat="1" ht="16.5" customHeight="1">
      <c r="A33" s="704"/>
      <c r="B33" s="801" t="s">
        <v>429</v>
      </c>
      <c r="C33" s="1872">
        <f>SUM('[6]2'!$C$15:$D$15,'[6]2'!$F$15)</f>
        <v>1721.419632188477</v>
      </c>
      <c r="D33" s="1527">
        <f>SUM('[6]2'!$C$23:$D$23,'[6]2'!$F$23)</f>
        <v>574.42253162867848</v>
      </c>
      <c r="E33" s="1527">
        <f>SUM('[6]2'!$E$16,'[6]2'!$G$16:$H$16)</f>
        <v>2330.2716722721725</v>
      </c>
      <c r="F33" s="1533">
        <f>SUM('[6]2'!$E$24,'[6]2'!$G$24:$H$24)</f>
        <v>540.44030158395435</v>
      </c>
      <c r="G33" s="1527">
        <f>SUM('[6]2'!$E$17,'[6]2'!$G$17:$H$17)</f>
        <v>3336.0342322647425</v>
      </c>
      <c r="H33" s="1641">
        <f>SUM('[6]2'!$E$25,'[6]2'!$G$25:$H$25)</f>
        <v>154.59031218086204</v>
      </c>
      <c r="I33" s="1492">
        <f>SUM('[6]2'!$E$18:$E$19,'[6]2'!$G$18:$H$19)</f>
        <v>5098.7787487629112</v>
      </c>
      <c r="J33" s="1527">
        <f>SUM('[6]2'!$E$26:$E$27,'[6]2'!$G$26:$H$27)</f>
        <v>1919.7968889302251</v>
      </c>
      <c r="K33" s="1492">
        <f>'[6]2'!$I$15</f>
        <v>12486.504285488303</v>
      </c>
      <c r="L33" s="1487">
        <f>'[6]2'!$I$23-0.01</f>
        <v>3189.2400343237196</v>
      </c>
      <c r="M33" s="1641">
        <f>'[6]2'!$K$15</f>
        <v>301.15711986857411</v>
      </c>
      <c r="N33" s="1512">
        <f>'[6]2'!$K$23</f>
        <v>4208.0871697905659</v>
      </c>
      <c r="O33" s="1495">
        <f>'[6]2'!$I$15+'[6]2'!$K$15</f>
        <v>12787.661405356877</v>
      </c>
      <c r="P33" s="1495">
        <f>'[6]2'!$I$23+'[6]2'!$K$23</f>
        <v>7397.3372041142857</v>
      </c>
      <c r="Q33" s="1512">
        <f>'[6]2'!$I$15+'[6]2'!$K$15+'[6]2'!$I$23+'[6]2'!$K$23</f>
        <v>20184.998609471164</v>
      </c>
      <c r="R33" s="2167">
        <f t="shared" ref="R33" si="38">ROUND(K33,1)-ROUND(C33,1)-ROUND(E33,1)-ROUND(G33,1)-ROUND(I33,1)</f>
        <v>0</v>
      </c>
      <c r="S33" s="2167">
        <f t="shared" ref="S33" si="39">ROUND(L33,1)-ROUND(D33,1)-ROUND(F33,1)-ROUND(H33,1)-ROUND(J33,1)</f>
        <v>0</v>
      </c>
      <c r="T33" s="2167">
        <f t="shared" ref="T33" si="40">ROUND(O33,1)-ROUND(M33,1)-ROUND(K33,1)</f>
        <v>0</v>
      </c>
      <c r="U33" s="2167">
        <f t="shared" ref="U33" si="41">ROUND(P33,1)-ROUND(N33,1)-ROUND(L33,1)</f>
        <v>0</v>
      </c>
      <c r="V33" s="2167">
        <f t="shared" si="37"/>
        <v>0</v>
      </c>
    </row>
    <row r="34" spans="1:22" s="372" customFormat="1" ht="16.5" customHeight="1">
      <c r="A34" s="704"/>
      <c r="B34" s="801" t="s">
        <v>430</v>
      </c>
      <c r="C34" s="1872">
        <f>SUM('[7]2'!$C$15:$D$15,'[7]2'!$F$15)</f>
        <v>1704.7361676127503</v>
      </c>
      <c r="D34" s="1527">
        <f>SUM('[7]2'!$C$23:$D$23,'[7]2'!$F$23)</f>
        <v>605.27612031468016</v>
      </c>
      <c r="E34" s="1527">
        <f>SUM('[7]2'!$E$16,'[7]2'!$G$16:$H$16)</f>
        <v>2395.35266829489</v>
      </c>
      <c r="F34" s="1533">
        <f>SUM('[7]2'!$E$24,'[7]2'!$G$24:$H$24)</f>
        <v>552.94673867724248</v>
      </c>
      <c r="G34" s="1527">
        <f>SUM('[7]2'!$E$17,'[7]2'!$G$17:$H$17)</f>
        <v>3305.4138135594972</v>
      </c>
      <c r="H34" s="1641">
        <f>SUM('[7]2'!$E$25,'[7]2'!$G$25:$H$25)</f>
        <v>139.68243865261428</v>
      </c>
      <c r="I34" s="1492">
        <f>SUM('[7]2'!$E$18:$E$19,'[7]2'!$G$18:$H$19)</f>
        <v>5120.7837589665578</v>
      </c>
      <c r="J34" s="1527">
        <f>SUM('[7]2'!$E$26:$E$27,'[7]2'!$G$26:$H$27)</f>
        <v>2005.8304561084199</v>
      </c>
      <c r="K34" s="1492">
        <f>'[7]2'!$I$15</f>
        <v>12526.286408433694</v>
      </c>
      <c r="L34" s="1527">
        <f>'[7]2'!$I$23</f>
        <v>3303.735753752957</v>
      </c>
      <c r="M34" s="1641">
        <f>'[7]2'!$K$15</f>
        <v>297.03729968827406</v>
      </c>
      <c r="N34" s="1483">
        <f>'[7]2'!$K$23+0.03</f>
        <v>4406.3629943336045</v>
      </c>
      <c r="O34" s="1495">
        <f>'[7]2'!$I$15+'[7]2'!$K$15</f>
        <v>12823.323708121969</v>
      </c>
      <c r="P34" s="1495">
        <f>'[7]2'!$I$23+'[7]2'!$K$23</f>
        <v>7710.0687480865618</v>
      </c>
      <c r="Q34" s="1512">
        <f>'[7]2'!$I$15+'[7]2'!$K$15+'[7]2'!$I$23+'[7]2'!$K$23</f>
        <v>20533.39245620853</v>
      </c>
      <c r="R34" s="2167">
        <f t="shared" ref="R34" si="42">ROUND(K34,1)-ROUND(C34,1)-ROUND(E34,1)-ROUND(G34,1)-ROUND(I34,1)</f>
        <v>0</v>
      </c>
      <c r="S34" s="2167">
        <f t="shared" ref="S34" si="43">ROUND(L34,1)-ROUND(D34,1)-ROUND(F34,1)-ROUND(H34,1)-ROUND(J34,1)</f>
        <v>0</v>
      </c>
      <c r="T34" s="2167">
        <f t="shared" ref="T34" si="44">ROUND(O34,1)-ROUND(M34,1)-ROUND(K34,1)</f>
        <v>0</v>
      </c>
      <c r="U34" s="2167">
        <f t="shared" ref="U34" si="45">ROUND(P34,1)-ROUND(N34,1)-ROUND(L34,1)</f>
        <v>0</v>
      </c>
      <c r="V34" s="2167">
        <f t="shared" si="37"/>
        <v>0</v>
      </c>
    </row>
    <row r="35" spans="1:22" s="372" customFormat="1" ht="16.5" customHeight="1">
      <c r="A35" s="704"/>
      <c r="B35" s="801" t="s">
        <v>431</v>
      </c>
      <c r="C35" s="1872">
        <f>SUM('[8]2'!$C$15:$D$15,'[8]2'!$F$15)</f>
        <v>1628.7898424943228</v>
      </c>
      <c r="D35" s="1527">
        <f>SUM('[8]2'!$C$23:$D$23,'[8]2'!$F$23)</f>
        <v>569.96856898412329</v>
      </c>
      <c r="E35" s="1527">
        <f>SUM('[8]2'!$E$16,'[8]2'!$G$16:$H$16)</f>
        <v>2339.3025918100006</v>
      </c>
      <c r="F35" s="1533">
        <f>SUM('[8]2'!$E$24,'[8]2'!$G$24:$H$24)</f>
        <v>530.71449316675614</v>
      </c>
      <c r="G35" s="1527">
        <f>SUM('[8]2'!$E$17,'[8]2'!$G$17:$H$17)</f>
        <v>3298.3917840363119</v>
      </c>
      <c r="H35" s="1641">
        <f>SUM('[8]2'!$E$25,'[8]2'!$G$25:$H$25)</f>
        <v>150.30248787393566</v>
      </c>
      <c r="I35" s="1492">
        <f>SUM('[8]2'!$E$18:$E$19,'[8]2'!$G$18:$H$19)</f>
        <v>5161.4212508683213</v>
      </c>
      <c r="J35" s="1527">
        <f>SUM('[8]2'!$E$26:$E$27,'[8]2'!$G$26:$H$27)</f>
        <v>2098.3270684671406</v>
      </c>
      <c r="K35" s="1492">
        <f>'[8]2'!$I$15</f>
        <v>12427.905469208958</v>
      </c>
      <c r="L35" s="1527">
        <f>'[8]2'!$I$23</f>
        <v>3349.3126184919561</v>
      </c>
      <c r="M35" s="1641">
        <f>'[8]2'!$K$15</f>
        <v>290.11841800666406</v>
      </c>
      <c r="N35" s="1512">
        <f>'[8]2'!$K$23</f>
        <v>4494.1339409597613</v>
      </c>
      <c r="O35" s="1495">
        <f>'[8]2'!$I$15+'[8]2'!$K$15</f>
        <v>12718.023887215622</v>
      </c>
      <c r="P35" s="1495">
        <f>'[8]2'!$I$23+'[8]2'!$K$23</f>
        <v>7843.4465594517169</v>
      </c>
      <c r="Q35" s="1483">
        <f>'[8]2'!$I$15+'[8]2'!$K$15+'[8]2'!$I$23+'[8]2'!$K$23-0.03</f>
        <v>20561.44044666734</v>
      </c>
      <c r="R35" s="2167">
        <f t="shared" ref="R35" si="46">ROUND(K35,1)-ROUND(C35,1)-ROUND(E35,1)-ROUND(G35,1)-ROUND(I35,1)</f>
        <v>0</v>
      </c>
      <c r="S35" s="2167">
        <f t="shared" ref="S35" si="47">ROUND(L35,1)-ROUND(D35,1)-ROUND(F35,1)-ROUND(H35,1)-ROUND(J35,1)</f>
        <v>0</v>
      </c>
      <c r="T35" s="2167">
        <f t="shared" ref="T35" si="48">ROUND(O35,1)-ROUND(M35,1)-ROUND(K35,1)</f>
        <v>0</v>
      </c>
      <c r="U35" s="2167">
        <f t="shared" ref="U35" si="49">ROUND(P35,1)-ROUND(N35,1)-ROUND(L35,1)</f>
        <v>0</v>
      </c>
      <c r="V35" s="2167">
        <f t="shared" si="37"/>
        <v>0</v>
      </c>
    </row>
    <row r="36" spans="1:22" s="372" customFormat="1" ht="16.5" customHeight="1">
      <c r="A36" s="704"/>
      <c r="B36" s="801" t="s">
        <v>420</v>
      </c>
      <c r="C36" s="1872">
        <f>SUM('[9]2'!$C$15:$D$15,'[9]2'!$F$15)</f>
        <v>1444.16140060977</v>
      </c>
      <c r="D36" s="1487">
        <f>SUM('[9]2'!$C$23:$D$23,'[9]2'!$F$23)-0.02</f>
        <v>464.0412091798126</v>
      </c>
      <c r="E36" s="1487">
        <f>SUM('[9]2'!$E$16,'[9]2'!$G$16:$H$16)+0.02</f>
        <v>2346.7624123737573</v>
      </c>
      <c r="F36" s="1533">
        <f>SUM('[9]2'!$E$24,'[9]2'!$G$24:$H$24)</f>
        <v>566.4925224225185</v>
      </c>
      <c r="G36" s="1527">
        <f>SUM('[9]2'!$E$17,'[9]2'!$G$17:$H$17)</f>
        <v>3321.739203966536</v>
      </c>
      <c r="H36" s="1641">
        <f>SUM('[9]2'!$E$25,'[9]2'!$G$25:$H$25)</f>
        <v>147.0925148652338</v>
      </c>
      <c r="I36" s="1492">
        <f>SUM('[9]2'!$E$18:$E$19,'[9]2'!$G$18:$H$19)</f>
        <v>5181.7306922351463</v>
      </c>
      <c r="J36" s="1527">
        <f>SUM('[9]2'!$E$26:$E$27,'[9]2'!$G$26:$H$27)</f>
        <v>2047.2866371163686</v>
      </c>
      <c r="K36" s="1492">
        <f>'[9]2'!$I$15</f>
        <v>12294.373709185209</v>
      </c>
      <c r="L36" s="1527">
        <f>'[9]2'!$I$23</f>
        <v>3224.9328835839337</v>
      </c>
      <c r="M36" s="1641">
        <f>'[9]2'!$K$15</f>
        <v>317.60034026817993</v>
      </c>
      <c r="N36" s="1512">
        <f>'[9]2'!$K$23</f>
        <v>5201.258765152339</v>
      </c>
      <c r="O36" s="1495">
        <f>'[9]2'!$I$15+'[9]2'!$K$15</f>
        <v>12611.974049453389</v>
      </c>
      <c r="P36" s="1495">
        <f>'[9]2'!$I$23+'[9]2'!$K$23</f>
        <v>8426.1916487362723</v>
      </c>
      <c r="Q36" s="1512">
        <f>'[9]2'!$I$15+'[9]2'!$K$15+'[9]2'!$I$23+'[9]2'!$K$23</f>
        <v>21038.165698189659</v>
      </c>
      <c r="R36" s="2167">
        <f t="shared" ref="R36" si="50">ROUND(K36,1)-ROUND(C36,1)-ROUND(E36,1)-ROUND(G36,1)-ROUND(I36,1)</f>
        <v>0</v>
      </c>
      <c r="S36" s="2167">
        <f t="shared" ref="S36" si="51">ROUND(L36,1)-ROUND(D36,1)-ROUND(F36,1)-ROUND(H36,1)-ROUND(J36,1)</f>
        <v>0</v>
      </c>
      <c r="T36" s="2167">
        <f t="shared" ref="T36" si="52">ROUND(O36,1)-ROUND(M36,1)-ROUND(K36,1)</f>
        <v>0</v>
      </c>
      <c r="U36" s="2167">
        <f t="shared" ref="U36" si="53">ROUND(P36,1)-ROUND(N36,1)-ROUND(L36,1)</f>
        <v>0</v>
      </c>
      <c r="V36" s="2167">
        <f t="shared" ref="V36" si="54">ROUND(Q36,1)-ROUND(P36,1)-ROUND(O36,1)</f>
        <v>0</v>
      </c>
    </row>
    <row r="37" spans="1:22" s="372" customFormat="1" ht="16.5" customHeight="1">
      <c r="A37" s="704"/>
      <c r="B37" s="801" t="s">
        <v>421</v>
      </c>
      <c r="C37" s="1872">
        <f>SUM('[10]2'!$C$15:$D$15,'[10]2'!$F$15)</f>
        <v>1481.6179802706979</v>
      </c>
      <c r="D37" s="1527">
        <f>SUM('[10]2'!$C$23:$D$23,'[10]2'!$F$23)</f>
        <v>459.30068990959529</v>
      </c>
      <c r="E37" s="1527">
        <f>SUM('[10]2'!$E$16,'[10]2'!$G$16:$H$16)</f>
        <v>2393.1064473717875</v>
      </c>
      <c r="F37" s="1533">
        <f>SUM('[10]2'!$E$24,'[10]2'!$G$24:$H$24)</f>
        <v>597.06161123792799</v>
      </c>
      <c r="G37" s="1487">
        <f>SUM('[10]2'!$E$17,'[10]2'!$G$17:$H$17)+0.01</f>
        <v>3336.5555021631781</v>
      </c>
      <c r="H37" s="1642">
        <f>SUM('[10]2'!$E$25,'[10]2'!$G$25:$H$25)-0.01</f>
        <v>152.14194239797644</v>
      </c>
      <c r="I37" s="1492">
        <f>SUM('[10]2'!$E$18:$E$19,'[10]2'!$G$18:$H$19)</f>
        <v>5151.5793756792937</v>
      </c>
      <c r="J37" s="1527">
        <f>SUM('[10]2'!$E$26:$E$27,'[10]2'!$G$26:$H$27)</f>
        <v>2141.8053394634217</v>
      </c>
      <c r="K37" s="1465">
        <f>'[10]2'!$I$15+0.01</f>
        <v>12362.859305484957</v>
      </c>
      <c r="L37" s="1527">
        <f>'[10]2'!$I$23</f>
        <v>3350.3195830089217</v>
      </c>
      <c r="M37" s="1641">
        <f>'[10]2'!$K$15</f>
        <v>324.7223518438289</v>
      </c>
      <c r="N37" s="1512">
        <f>'[10]2'!$K$23</f>
        <v>5336.4829000207619</v>
      </c>
      <c r="O37" s="1495">
        <f>'[10]2'!$I$15+'[10]2'!$K$15</f>
        <v>12687.571657328786</v>
      </c>
      <c r="P37" s="1495">
        <f>'[10]2'!$I$23+'[10]2'!$K$23</f>
        <v>8686.8024830296836</v>
      </c>
      <c r="Q37" s="1512">
        <f>'[10]2'!$I$15+'[10]2'!$K$15+'[10]2'!$I$23+'[10]2'!$K$23</f>
        <v>21374.374140358468</v>
      </c>
      <c r="R37" s="2167">
        <f t="shared" ref="R37" si="55">ROUND(K37,1)-ROUND(C37,1)-ROUND(E37,1)-ROUND(G37,1)-ROUND(I37,1)</f>
        <v>0</v>
      </c>
      <c r="S37" s="2167">
        <f t="shared" ref="S37" si="56">ROUND(L37,1)-ROUND(D37,1)-ROUND(F37,1)-ROUND(H37,1)-ROUND(J37,1)</f>
        <v>0</v>
      </c>
      <c r="T37" s="2167">
        <f t="shared" ref="T37" si="57">ROUND(O37,1)-ROUND(M37,1)-ROUND(K37,1)</f>
        <v>0</v>
      </c>
      <c r="U37" s="2167">
        <f t="shared" ref="U37" si="58">ROUND(P37,1)-ROUND(N37,1)-ROUND(L37,1)</f>
        <v>0</v>
      </c>
      <c r="V37" s="2167">
        <f t="shared" ref="V37" si="59">ROUND(Q37,1)-ROUND(P37,1)-ROUND(O37,1)</f>
        <v>0</v>
      </c>
    </row>
    <row r="38" spans="1:22" s="372" customFormat="1" ht="16.5" customHeight="1">
      <c r="A38" s="704"/>
      <c r="B38" s="801" t="s">
        <v>422</v>
      </c>
      <c r="C38" s="1872">
        <f>SUM('[11]2'!$C$15:$D$15,'[11]2'!$F$15)</f>
        <v>1579.0212037967999</v>
      </c>
      <c r="D38" s="1527">
        <f>SUM('[11]2'!$C$23:$D$23,'[11]2'!$F$23)</f>
        <v>531.4989286891921</v>
      </c>
      <c r="E38" s="1527">
        <f>SUM('[11]2'!$E$16,'[11]2'!$G$16:$H$16)</f>
        <v>2351.9652022122091</v>
      </c>
      <c r="F38" s="1533">
        <f>SUM('[11]2'!$E$24,'[11]2'!$G$24:$H$24)</f>
        <v>607.20731165527411</v>
      </c>
      <c r="G38" s="1527">
        <f>SUM('[11]2'!$E$17,'[11]2'!$G$17:$H$17)</f>
        <v>3367.7662804065289</v>
      </c>
      <c r="H38" s="1642">
        <f>SUM('[11]2'!$E$25,'[11]2'!$G$25:$H$25)-0.02</f>
        <v>150.13743061529988</v>
      </c>
      <c r="I38" s="1492">
        <f>SUM('[11]2'!$E$18:$E$19,'[11]2'!$G$18:$H$19)</f>
        <v>5300.2131153302089</v>
      </c>
      <c r="J38" s="1527">
        <f>SUM('[11]2'!$E$26:$E$27,'[11]2'!$G$26:$H$27)</f>
        <v>2156.4835314669808</v>
      </c>
      <c r="K38" s="1492">
        <f>'[11]2'!$I$15</f>
        <v>12598.965801745748</v>
      </c>
      <c r="L38" s="1527">
        <f>'[11]2'!$I$23</f>
        <v>3445.3472024267471</v>
      </c>
      <c r="M38" s="1641">
        <f>'[11]2'!$K$15</f>
        <v>333.72445415217999</v>
      </c>
      <c r="N38" s="1512">
        <f>'[11]2'!$K$23</f>
        <v>5452.2694812869904</v>
      </c>
      <c r="O38" s="1495">
        <f>'[11]2'!$I$15+'[11]2'!$K$15</f>
        <v>12932.690255897927</v>
      </c>
      <c r="P38" s="1495">
        <f>'[11]2'!$I$23+'[11]2'!$K$23</f>
        <v>8897.6166837137371</v>
      </c>
      <c r="Q38" s="1512">
        <f>'[11]2'!$I$15+'[11]2'!$K$15+'[11]2'!$I$23+'[11]2'!$K$23</f>
        <v>21830.306939611663</v>
      </c>
      <c r="R38" s="2167">
        <f t="shared" ref="R38" si="60">ROUND(K38,1)-ROUND(C38,1)-ROUND(E38,1)-ROUND(G38,1)-ROUND(I38,1)</f>
        <v>0</v>
      </c>
      <c r="S38" s="2167">
        <f t="shared" ref="S38" si="61">ROUND(L38,1)-ROUND(D38,1)-ROUND(F38,1)-ROUND(H38,1)-ROUND(J38,1)</f>
        <v>0</v>
      </c>
      <c r="T38" s="2167">
        <f t="shared" ref="T38" si="62">ROUND(O38,1)-ROUND(M38,1)-ROUND(K38,1)</f>
        <v>0</v>
      </c>
      <c r="U38" s="2167">
        <f t="shared" ref="U38" si="63">ROUND(P38,1)-ROUND(N38,1)-ROUND(L38,1)</f>
        <v>0</v>
      </c>
      <c r="V38" s="2167">
        <f t="shared" ref="V38" si="64">ROUND(Q38,1)-ROUND(P38,1)-ROUND(O38,1)</f>
        <v>0</v>
      </c>
    </row>
    <row r="39" spans="1:22" s="372" customFormat="1" ht="21" customHeight="1">
      <c r="A39" s="704">
        <v>2026</v>
      </c>
      <c r="B39" s="801" t="s">
        <v>423</v>
      </c>
      <c r="C39" s="1872">
        <f>SUM('[12]2'!$C$15:$D$15,'[12]2'!$F$15)</f>
        <v>1564.4317527139228</v>
      </c>
      <c r="D39" s="1527">
        <f>SUM('[12]2'!$C$23:$D$23,'[12]2'!$F$23)</f>
        <v>515.2472252657742</v>
      </c>
      <c r="E39" s="1527">
        <f>SUM('[12]2'!$E$16,'[12]2'!$G$16:$H$16)</f>
        <v>2415.8341489240006</v>
      </c>
      <c r="F39" s="1533">
        <f>SUM('[12]2'!$E$24,'[12]2'!$G$24:$H$24)</f>
        <v>715.22190609843688</v>
      </c>
      <c r="G39" s="1527">
        <f>SUM('[12]2'!$E$17,'[12]2'!$G$17:$H$17)</f>
        <v>3516.679935419053</v>
      </c>
      <c r="H39" s="1642">
        <f>SUM('[12]2'!$E$25,'[12]2'!$G$25:$H$25)+0.03</f>
        <v>169.45207584524843</v>
      </c>
      <c r="I39" s="1492">
        <f>SUM('[12]2'!$E$18:$E$19,'[12]2'!$G$18:$H$19)</f>
        <v>5084.7129376532321</v>
      </c>
      <c r="J39" s="1527">
        <f>SUM('[12]2'!$E$26:$E$27,'[12]2'!$G$26:$H$27)</f>
        <v>2164.4033373970938</v>
      </c>
      <c r="K39" s="1465">
        <f>'[12]2'!$I$15-0.01</f>
        <v>12581.648774710207</v>
      </c>
      <c r="L39" s="1527">
        <f>'[12]2'!$I$23</f>
        <v>3564.2945446065532</v>
      </c>
      <c r="M39" s="1641">
        <f>'[12]2'!$K$15</f>
        <v>350.8461165653618</v>
      </c>
      <c r="N39" s="1512">
        <f>'[12]2'!$K$23</f>
        <v>5671.3900249709304</v>
      </c>
      <c r="O39" s="2477">
        <f>'[12]2'!$I$15+'[12]2'!$K$15-0.06</f>
        <v>12932.444891275571</v>
      </c>
      <c r="P39" s="1495">
        <f>'[12]2'!$I$23+'[12]2'!$K$23</f>
        <v>9235.6845695774828</v>
      </c>
      <c r="Q39" s="1483">
        <f>'[12]2'!$I$15+'[12]2'!$K$15+'[12]2'!$I$23+'[12]2'!$K$23-0.04</f>
        <v>22168.149460853052</v>
      </c>
      <c r="R39" s="2167">
        <f t="shared" ref="R39" si="65">ROUND(K39,1)-ROUND(C39,1)-ROUND(E39,1)-ROUND(G39,1)-ROUND(I39,1)</f>
        <v>0</v>
      </c>
      <c r="S39" s="2167">
        <f t="shared" ref="S39" si="66">ROUND(L39,1)-ROUND(D39,1)-ROUND(F39,1)-ROUND(H39,1)-ROUND(J39,1)</f>
        <v>0</v>
      </c>
      <c r="T39" s="2167">
        <f t="shared" ref="T39" si="67">ROUND(O39,1)-ROUND(M39,1)-ROUND(K39,1)</f>
        <v>0</v>
      </c>
      <c r="U39" s="2167">
        <f t="shared" ref="U39" si="68">ROUND(P39,1)-ROUND(N39,1)-ROUND(L39,1)</f>
        <v>0</v>
      </c>
      <c r="V39" s="2167">
        <f t="shared" ref="V39" si="69">ROUND(Q39,1)-ROUND(P39,1)-ROUND(O39,1)</f>
        <v>0</v>
      </c>
    </row>
    <row r="40" spans="1:22" s="372" customFormat="1" ht="16.5" customHeight="1">
      <c r="A40" s="704"/>
      <c r="B40" s="801" t="s">
        <v>424</v>
      </c>
      <c r="C40" s="1872">
        <f>SUM('[13]2'!$C$15:$D$15,'[13]2'!$F$15)</f>
        <v>1573.50405613</v>
      </c>
      <c r="D40" s="1527">
        <f>SUM('[13]2'!$C$23:$D$23,'[13]2'!$F$23)</f>
        <v>564.39473783995925</v>
      </c>
      <c r="E40" s="1527">
        <f>SUM('[13]2'!$E$16,'[13]2'!$G$16:$H$16)</f>
        <v>2427.9819756402885</v>
      </c>
      <c r="F40" s="1533">
        <f>SUM('[13]2'!$E$24,'[13]2'!$G$24:$H$24)</f>
        <v>683.95808582422171</v>
      </c>
      <c r="G40" s="1527">
        <f>SUM('[13]2'!$E$17,'[13]2'!$G$17:$H$17)</f>
        <v>3542.021810829609</v>
      </c>
      <c r="H40" s="1641">
        <f>SUM('[13]2'!$E$25,'[13]2'!$G$25:$H$25)</f>
        <v>209.37722302113059</v>
      </c>
      <c r="I40" s="1492">
        <f>SUM('[13]2'!$E$18:$E$19,'[13]2'!$G$18:$H$19)</f>
        <v>5061.5726972743514</v>
      </c>
      <c r="J40" s="1527">
        <f>SUM('[13]2'!$E$26:$E$27,'[13]2'!$G$26:$H$27)</f>
        <v>2313.1219444519547</v>
      </c>
      <c r="K40" s="1492">
        <f>'[13]2'!$I$15</f>
        <v>12605.080539874249</v>
      </c>
      <c r="L40" s="1527">
        <f>'[13]2'!$I$23</f>
        <v>3770.8519911372659</v>
      </c>
      <c r="M40" s="1641">
        <f>'[13]2'!$K$15</f>
        <v>295.49296050623366</v>
      </c>
      <c r="N40" s="1512">
        <f>'[13]2'!$K$23</f>
        <v>5769.806711424294</v>
      </c>
      <c r="O40" s="1495">
        <f>'[13]2'!$I$15+'[13]2'!$K$15</f>
        <v>12900.573500380482</v>
      </c>
      <c r="P40" s="1495">
        <f>'[13]2'!$I$23+'[13]2'!$K$23</f>
        <v>9540.658702561559</v>
      </c>
      <c r="Q40" s="1483">
        <f>'[13]2'!$I$15+'[13]2'!$K$15+'[13]2'!$I$23+'[13]2'!$K$23+0.03</f>
        <v>22441.262202942042</v>
      </c>
      <c r="R40" s="2167">
        <f t="shared" ref="R40" si="70">ROUND(K40,1)-ROUND(C40,1)-ROUND(E40,1)-ROUND(G40,1)-ROUND(I40,1)</f>
        <v>0</v>
      </c>
      <c r="S40" s="2167">
        <f t="shared" ref="S40" si="71">ROUND(L40,1)-ROUND(D40,1)-ROUND(F40,1)-ROUND(H40,1)-ROUND(J40,1)</f>
        <v>0</v>
      </c>
      <c r="T40" s="2167">
        <f t="shared" ref="T40" si="72">ROUND(O40,1)-ROUND(M40,1)-ROUND(K40,1)</f>
        <v>0</v>
      </c>
      <c r="U40" s="2167">
        <f t="shared" ref="U40" si="73">ROUND(P40,1)-ROUND(N40,1)-ROUND(L40,1)</f>
        <v>0</v>
      </c>
      <c r="V40" s="2167">
        <f t="shared" ref="V40" si="74">ROUND(Q40,1)-ROUND(P40,1)-ROUND(O40,1)</f>
        <v>0</v>
      </c>
    </row>
    <row r="41" spans="1:22" s="372" customFormat="1" ht="16.5" customHeight="1">
      <c r="A41" s="704"/>
      <c r="B41" s="801" t="s">
        <v>425</v>
      </c>
      <c r="C41" s="1872">
        <f>SUM('[14]2'!$C$15:$D$15,'[14]2'!$F$15)</f>
        <v>1840.4332174430199</v>
      </c>
      <c r="D41" s="1527">
        <f>SUM('[14]2'!$C$23:$D$23,'[14]2'!$F$23)</f>
        <v>878.17898708690427</v>
      </c>
      <c r="E41" s="1527">
        <f>SUM('[14]2'!$E$16,'[14]2'!$G$16:$H$16)</f>
        <v>2541.5109079535623</v>
      </c>
      <c r="F41" s="1533">
        <f>SUM('[14]2'!$E$24,'[14]2'!$G$24:$H$24)</f>
        <v>744.04622900062918</v>
      </c>
      <c r="G41" s="1527">
        <f>SUM('[14]2'!$E$17,'[14]2'!$G$17:$H$17)</f>
        <v>3457.6750568250472</v>
      </c>
      <c r="H41" s="1641">
        <f>SUM('[14]2'!$E$25,'[14]2'!$G$25:$H$25)</f>
        <v>171.07456758325992</v>
      </c>
      <c r="I41" s="1492">
        <f>SUM('[14]2'!$E$18:$E$19,'[14]2'!$G$18:$H$19)</f>
        <v>4924.3928911142866</v>
      </c>
      <c r="J41" s="1527">
        <f>SUM('[14]2'!$E$26:$E$27,'[14]2'!$G$26:$H$27)</f>
        <v>2220.0068885687342</v>
      </c>
      <c r="K41" s="1492">
        <f>'[14]2'!$I$15</f>
        <v>12764.012073335916</v>
      </c>
      <c r="L41" s="1527">
        <f>'[14]2'!$I$23</f>
        <v>4013.3066722395274</v>
      </c>
      <c r="M41" s="1641">
        <f>'[14]2'!$K$15</f>
        <v>292.76948178549731</v>
      </c>
      <c r="N41" s="1512">
        <f>'[14]2'!$K$23</f>
        <v>5275.9519714437556</v>
      </c>
      <c r="O41" s="1495">
        <f>'[14]2'!$I$15+'[14]2'!$K$15</f>
        <v>13056.781555121413</v>
      </c>
      <c r="P41" s="1495">
        <f>'[14]2'!$I$23+'[14]2'!$K$23</f>
        <v>9289.2586436832826</v>
      </c>
      <c r="Q41" s="1483">
        <f>'[14]2'!$I$15+'[14]2'!$K$15+'[14]2'!$I$23+'[14]2'!$K$23+0.02</f>
        <v>22346.060198804698</v>
      </c>
      <c r="R41" s="2167">
        <f t="shared" ref="R41" si="75">ROUND(K41,1)-ROUND(C41,1)-ROUND(E41,1)-ROUND(G41,1)-ROUND(I41,1)</f>
        <v>0</v>
      </c>
      <c r="S41" s="2167">
        <f t="shared" ref="S41" si="76">ROUND(L41,1)-ROUND(D41,1)-ROUND(F41,1)-ROUND(H41,1)-ROUND(J41,1)</f>
        <v>0</v>
      </c>
      <c r="T41" s="2167">
        <f t="shared" ref="T41" si="77">ROUND(O41,1)-ROUND(M41,1)-ROUND(K41,1)</f>
        <v>0</v>
      </c>
      <c r="U41" s="2167">
        <f t="shared" ref="U41" si="78">ROUND(P41,1)-ROUND(N41,1)-ROUND(L41,1)</f>
        <v>0</v>
      </c>
      <c r="V41" s="2167">
        <f t="shared" ref="V41" si="79">ROUND(Q41,1)-ROUND(P41,1)-ROUND(O41,1)</f>
        <v>0</v>
      </c>
    </row>
    <row r="42" spans="1:22" s="372" customFormat="1" ht="16.5" customHeight="1">
      <c r="A42" s="704"/>
      <c r="B42" s="801" t="s">
        <v>426</v>
      </c>
      <c r="C42" s="1872">
        <f>SUM('[15]2'!$C$15:$D$15,'[15]2'!$F$15)</f>
        <v>1740.3644881544342</v>
      </c>
      <c r="D42" s="1527">
        <f>SUM('[15]2'!$C$23:$D$23,'[15]2'!$F$23)</f>
        <v>1023.2248765638312</v>
      </c>
      <c r="E42" s="1527">
        <f>SUM('[15]2'!$E$16,'[15]2'!$G$16:$H$16)</f>
        <v>2851.128164927773</v>
      </c>
      <c r="F42" s="1533">
        <f>SUM('[15]2'!$E$24,'[15]2'!$G$24:$H$24)</f>
        <v>816.39303342653875</v>
      </c>
      <c r="G42" s="1527">
        <f>SUM('[15]2'!$E$17,'[15]2'!$G$17:$H$17)</f>
        <v>3571.1907708120007</v>
      </c>
      <c r="H42" s="1641">
        <f>SUM('[15]2'!$E$25,'[15]2'!$G$25:$H$25)</f>
        <v>209.90364910643194</v>
      </c>
      <c r="I42" s="1492">
        <f>SUM('[15]2'!$E$18:$E$19,'[15]2'!$G$18:$H$19)</f>
        <v>4903.8073242508526</v>
      </c>
      <c r="J42" s="1527">
        <f>SUM('[15]2'!$E$26:$E$27,'[15]2'!$G$26:$H$27)</f>
        <v>2387.9479850726179</v>
      </c>
      <c r="K42" s="1492">
        <f>'[15]2'!$I$15</f>
        <v>13066.490748145061</v>
      </c>
      <c r="L42" s="1487">
        <f>'[15]2'!$I$23-0.02</f>
        <v>4437.4495441694198</v>
      </c>
      <c r="M42" s="1641">
        <f>'[15]2'!$K$15</f>
        <v>297.92529833306099</v>
      </c>
      <c r="N42" s="1512">
        <f>'[15]2'!$K$23</f>
        <v>5024.5142711003309</v>
      </c>
      <c r="O42" s="1495">
        <f>'[15]2'!$I$15+'[15]2'!$K$15</f>
        <v>13364.416046478122</v>
      </c>
      <c r="P42" s="2477">
        <f>'[15]2'!$I$23+'[15]2'!$K$23-0.04</f>
        <v>9461.9438152697512</v>
      </c>
      <c r="Q42" s="1483">
        <f>'[15]2'!$I$15+'[15]2'!$K$15+'[15]2'!$I$23+'[15]2'!$K$23-0.1</f>
        <v>22826.299861747877</v>
      </c>
      <c r="R42" s="2167">
        <f t="shared" ref="R42" si="80">ROUND(K42,1)-ROUND(C42,1)-ROUND(E42,1)-ROUND(G42,1)-ROUND(I42,1)</f>
        <v>0</v>
      </c>
      <c r="S42" s="2167">
        <f t="shared" ref="S42" si="81">ROUND(L42,1)-ROUND(D42,1)-ROUND(F42,1)-ROUND(H42,1)-ROUND(J42,1)</f>
        <v>0</v>
      </c>
      <c r="T42" s="2167">
        <f t="shared" ref="T42" si="82">ROUND(O42,1)-ROUND(M42,1)-ROUND(K42,1)</f>
        <v>0</v>
      </c>
      <c r="U42" s="2167">
        <f t="shared" ref="U42" si="83">ROUND(P42,1)-ROUND(N42,1)-ROUND(L42,1)</f>
        <v>0</v>
      </c>
      <c r="V42" s="2167">
        <f t="shared" ref="V42" si="84">ROUND(Q42,1)-ROUND(P42,1)-ROUND(O42,1)</f>
        <v>0</v>
      </c>
    </row>
    <row r="43" spans="1:22" s="372" customFormat="1" ht="16.5" customHeight="1">
      <c r="A43" s="704"/>
      <c r="B43" s="801" t="s">
        <v>427</v>
      </c>
      <c r="C43" s="1872">
        <f>SUM('[16]2'!$C$15:$D$15,'[16]2'!$F$15)</f>
        <v>1790.0269004263068</v>
      </c>
      <c r="D43" s="1527">
        <f>SUM('[16]2'!$C$23:$D$23,'[16]2'!$F$23)</f>
        <v>1038.873507491332</v>
      </c>
      <c r="E43" s="1527">
        <f>SUM('[16]2'!$E$16,'[16]2'!$G$16:$H$16)</f>
        <v>2841.9731544397018</v>
      </c>
      <c r="F43" s="1533">
        <f>SUM('[16]2'!$E$24,'[16]2'!$G$24:$H$24)</f>
        <v>800.29996891405972</v>
      </c>
      <c r="G43" s="1527">
        <f>SUM('[16]2'!$E$17,'[16]2'!$G$17:$H$17)</f>
        <v>3482.6601697930755</v>
      </c>
      <c r="H43" s="1641">
        <f>SUM('[16]2'!$E$25,'[16]2'!$G$25:$H$25)</f>
        <v>176.40755832669424</v>
      </c>
      <c r="I43" s="1492">
        <f>SUM('[16]2'!$E$18:$E$19,'[16]2'!$G$18:$H$19)</f>
        <v>4930.8118913283943</v>
      </c>
      <c r="J43" s="1527">
        <f>SUM('[16]2'!$E$26:$E$27,'[16]2'!$G$26:$H$27)</f>
        <v>2457.5380083128875</v>
      </c>
      <c r="K43" s="1492">
        <f>'[16]2'!$I$15</f>
        <v>13045.472115987479</v>
      </c>
      <c r="L43" s="1527">
        <f>'[16]2'!$I$23</f>
        <v>4473.1190430449742</v>
      </c>
      <c r="M43" s="1642">
        <f>'[16]2'!$K$15-0.02</f>
        <v>303.14220092853219</v>
      </c>
      <c r="N43" s="1512">
        <f>'[16]2'!$K$23</f>
        <v>5045.1933185499183</v>
      </c>
      <c r="O43" s="1495">
        <f>'[16]2'!$I$15+'[16]2'!$K$15</f>
        <v>13348.634316916012</v>
      </c>
      <c r="P43" s="1495">
        <f>'[16]2'!$I$23+'[16]2'!$K$23</f>
        <v>9518.3123615948934</v>
      </c>
      <c r="Q43" s="1512">
        <f>'[16]2'!$I$15+'[16]2'!$K$15+'[16]2'!$I$23+'[16]2'!$K$23</f>
        <v>22866.946678510903</v>
      </c>
      <c r="R43" s="2167">
        <f t="shared" ref="R43" si="85">ROUND(K43,1)-ROUND(C43,1)-ROUND(E43,1)-ROUND(G43,1)-ROUND(I43,1)</f>
        <v>0</v>
      </c>
      <c r="S43" s="2167">
        <f t="shared" ref="S43" si="86">ROUND(L43,1)-ROUND(D43,1)-ROUND(F43,1)-ROUND(H43,1)-ROUND(J43,1)</f>
        <v>0</v>
      </c>
      <c r="T43" s="2167">
        <f t="shared" ref="T43" si="87">ROUND(O43,1)-ROUND(M43,1)-ROUND(K43,1)</f>
        <v>0</v>
      </c>
      <c r="U43" s="2167">
        <f t="shared" ref="U43" si="88">ROUND(P43,1)-ROUND(N43,1)-ROUND(L43,1)</f>
        <v>0</v>
      </c>
      <c r="V43" s="2167">
        <f t="shared" ref="V43" si="89">ROUND(Q43,1)-ROUND(P43,1)-ROUND(O43,1)</f>
        <v>0</v>
      </c>
    </row>
    <row r="44" spans="1:22" ht="20.25" customHeight="1">
      <c r="A44" s="225" t="s">
        <v>880</v>
      </c>
      <c r="B44" s="227"/>
      <c r="C44" s="225"/>
      <c r="D44" s="225"/>
      <c r="E44" s="225"/>
      <c r="F44" s="289"/>
      <c r="G44" s="340"/>
      <c r="H44" s="225"/>
      <c r="I44" s="225"/>
      <c r="J44" s="225"/>
      <c r="K44" s="225"/>
      <c r="L44" s="225"/>
      <c r="M44" s="225"/>
      <c r="N44" s="225"/>
      <c r="O44" s="228"/>
      <c r="P44" s="341"/>
      <c r="Q44" s="342" t="s">
        <v>881</v>
      </c>
    </row>
    <row r="45" spans="1:22">
      <c r="C45" s="1471"/>
      <c r="D45" s="1471"/>
      <c r="E45" s="1471"/>
      <c r="F45" s="1471"/>
      <c r="G45" s="1471"/>
      <c r="H45" s="1471"/>
      <c r="I45" s="1471"/>
      <c r="J45" s="1471"/>
      <c r="K45" s="1471"/>
      <c r="L45" s="1471"/>
      <c r="M45" s="1471"/>
      <c r="N45" s="1471"/>
      <c r="O45" s="1471"/>
      <c r="P45" s="1471"/>
      <c r="Q45" s="1471"/>
    </row>
    <row r="46" spans="1:22">
      <c r="B46" s="150"/>
      <c r="C46" s="1471"/>
      <c r="D46" s="1471"/>
      <c r="E46" s="1471"/>
      <c r="F46" s="1471"/>
      <c r="G46" s="1471"/>
      <c r="H46" s="1471"/>
      <c r="I46" s="1471"/>
      <c r="J46" s="1471"/>
      <c r="K46" s="1471"/>
      <c r="L46" s="1471"/>
      <c r="M46" s="1471"/>
      <c r="N46" s="1471"/>
      <c r="O46" s="1471"/>
      <c r="P46" s="1471"/>
      <c r="Q46" s="1471"/>
    </row>
    <row r="47" spans="1:22" s="40" customFormat="1" ht="14">
      <c r="A47" s="474" t="s">
        <v>882</v>
      </c>
      <c r="B47" s="474"/>
      <c r="C47" s="474"/>
      <c r="D47" s="474"/>
      <c r="E47" s="474"/>
      <c r="F47" s="474"/>
      <c r="G47" s="474"/>
      <c r="H47" s="474"/>
      <c r="I47" s="474"/>
      <c r="J47" s="474"/>
      <c r="K47" s="474"/>
      <c r="L47" s="474"/>
      <c r="M47" s="474"/>
      <c r="N47" s="474"/>
      <c r="O47" s="474"/>
      <c r="P47" s="474"/>
      <c r="Q47" s="474"/>
    </row>
    <row r="48" spans="1:22">
      <c r="I48" s="1252"/>
      <c r="J48" s="1252"/>
      <c r="K48" s="1252"/>
      <c r="L48" s="1252"/>
    </row>
    <row r="49" spans="1:12">
      <c r="A49" s="19"/>
      <c r="I49" s="1252"/>
      <c r="J49" s="1252"/>
      <c r="K49" s="1252"/>
      <c r="L49" s="1252"/>
    </row>
    <row r="50" spans="1:12">
      <c r="A50" s="10"/>
      <c r="B50" s="8"/>
      <c r="C50" s="8"/>
      <c r="I50" s="1252"/>
      <c r="J50" s="1252"/>
      <c r="K50" s="1252"/>
      <c r="L50" s="1252"/>
    </row>
    <row r="51" spans="1:12">
      <c r="I51" s="1252"/>
      <c r="J51" s="1252"/>
      <c r="K51" s="1252"/>
      <c r="L51" s="1252"/>
    </row>
    <row r="52" spans="1:12">
      <c r="I52" s="1252"/>
      <c r="J52" s="1252"/>
      <c r="K52" s="1252"/>
      <c r="L52" s="1252"/>
    </row>
    <row r="53" spans="1:12">
      <c r="I53" s="1252"/>
      <c r="J53" s="1252"/>
      <c r="K53" s="1252"/>
      <c r="L53" s="1252"/>
    </row>
    <row r="54" spans="1:12">
      <c r="I54" s="1252"/>
      <c r="J54" s="1252"/>
      <c r="K54" s="1252"/>
      <c r="L54" s="1252"/>
    </row>
    <row r="55" spans="1:12">
      <c r="I55" s="1252"/>
      <c r="J55" s="1252"/>
      <c r="K55" s="1252"/>
      <c r="L55" s="1252"/>
    </row>
    <row r="56" spans="1:12">
      <c r="I56" s="1252"/>
      <c r="J56" s="1252"/>
      <c r="K56" s="1252"/>
      <c r="L56" s="1252"/>
    </row>
  </sheetData>
  <phoneticPr fontId="0" type="noConversion"/>
  <printOptions horizontalCentered="1" verticalCentered="1"/>
  <pageMargins left="0" right="0" top="0" bottom="0" header="0.511811023622047" footer="0.511811023622047"/>
  <pageSetup paperSize="9" scale="7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5">
    <tabColor rgb="FFFF0000"/>
    <pageSetUpPr fitToPage="1"/>
  </sheetPr>
  <dimension ref="A1:O53"/>
  <sheetViews>
    <sheetView zoomScale="90" zoomScaleNormal="90" workbookViewId="0">
      <pane ySplit="12" topLeftCell="A41" activePane="bottomLeft" state="frozen"/>
      <selection activeCell="A43" sqref="A43:XFD43"/>
      <selection pane="bottomLeft" activeCell="C43" sqref="C43"/>
    </sheetView>
  </sheetViews>
  <sheetFormatPr defaultColWidth="9.1796875" defaultRowHeight="15.5"/>
  <cols>
    <col min="1" max="1" width="8.453125" style="152" customWidth="1"/>
    <col min="2" max="2" width="7.26953125" style="152" customWidth="1"/>
    <col min="3" max="4" width="15.7265625" style="152" customWidth="1"/>
    <col min="5" max="5" width="12.7265625" style="152" customWidth="1"/>
    <col min="6" max="6" width="9.7265625" style="152" customWidth="1"/>
    <col min="7" max="7" width="10.7265625" style="152" customWidth="1"/>
    <col min="8" max="8" width="13.453125" style="152" bestFit="1" customWidth="1"/>
    <col min="9" max="9" width="13.81640625" style="152" customWidth="1"/>
    <col min="10" max="10" width="9.453125" style="152" customWidth="1"/>
    <col min="11" max="11" width="15.7265625" style="152" customWidth="1"/>
    <col min="12" max="12" width="15.7265625" style="18" customWidth="1"/>
    <col min="13" max="13" width="9.1796875" style="152"/>
    <col min="14" max="14" width="7.7265625" style="152" customWidth="1"/>
    <col min="15" max="16384" width="9.1796875" style="152"/>
  </cols>
  <sheetData>
    <row r="1" spans="1:14" s="1094" customFormat="1" ht="18">
      <c r="A1" s="1091" t="s">
        <v>883</v>
      </c>
      <c r="B1" s="1091"/>
      <c r="C1" s="1093"/>
      <c r="D1" s="1093"/>
      <c r="E1" s="1093"/>
      <c r="F1" s="1093"/>
      <c r="G1" s="1093"/>
      <c r="H1" s="1093"/>
      <c r="I1" s="1093"/>
      <c r="J1" s="1093"/>
      <c r="K1" s="1093"/>
      <c r="L1" s="1114"/>
    </row>
    <row r="2" spans="1:14" s="915" customFormat="1" ht="21.25" customHeight="1">
      <c r="A2" s="1036" t="s">
        <v>804</v>
      </c>
      <c r="B2" s="1113"/>
      <c r="C2" s="1113"/>
      <c r="D2" s="1113"/>
      <c r="E2" s="1113"/>
      <c r="F2" s="1113"/>
      <c r="G2" s="1113"/>
      <c r="H2" s="1113"/>
      <c r="I2" s="1113"/>
      <c r="J2" s="1113"/>
      <c r="K2" s="1113"/>
      <c r="L2" s="1114"/>
    </row>
    <row r="3" spans="1:14" s="915" customFormat="1" ht="21.25" customHeight="1">
      <c r="A3" s="1091" t="s">
        <v>805</v>
      </c>
      <c r="B3" s="1113"/>
      <c r="C3" s="1113"/>
      <c r="D3" s="1113"/>
      <c r="E3" s="1113"/>
      <c r="F3" s="1113"/>
      <c r="G3" s="1113"/>
      <c r="H3" s="1113"/>
      <c r="I3" s="1113"/>
      <c r="J3" s="1113"/>
      <c r="K3" s="1113"/>
      <c r="L3" s="1114"/>
    </row>
    <row r="4" spans="1:14" s="915" customFormat="1" ht="21.25" customHeight="1">
      <c r="A4" s="1036" t="s">
        <v>884</v>
      </c>
      <c r="B4" s="1113"/>
      <c r="C4" s="1113"/>
      <c r="D4" s="1113"/>
      <c r="E4" s="1113"/>
      <c r="F4" s="1113"/>
      <c r="G4" s="1113"/>
      <c r="H4" s="1113"/>
      <c r="I4" s="1113"/>
      <c r="J4" s="1113"/>
      <c r="K4" s="1113"/>
      <c r="L4" s="1114"/>
    </row>
    <row r="5" spans="1:14" s="915" customFormat="1" ht="18">
      <c r="A5" s="1091" t="s">
        <v>885</v>
      </c>
      <c r="B5" s="1113"/>
      <c r="C5" s="1113"/>
      <c r="D5" s="1113"/>
      <c r="E5" s="1113"/>
      <c r="F5" s="1113"/>
      <c r="G5" s="1113"/>
      <c r="H5" s="1113"/>
      <c r="I5" s="1113"/>
      <c r="J5" s="1113"/>
      <c r="K5" s="1113"/>
      <c r="L5" s="1114"/>
    </row>
    <row r="6" spans="1:14" s="1094" customFormat="1" ht="18" hidden="1">
      <c r="A6" s="1091"/>
      <c r="B6" s="1091"/>
      <c r="C6" s="1093"/>
      <c r="D6" s="1093"/>
      <c r="E6" s="1093"/>
      <c r="F6" s="1093"/>
      <c r="G6" s="1093"/>
      <c r="H6" s="1093"/>
      <c r="I6" s="1093"/>
      <c r="J6" s="1093"/>
      <c r="K6" s="1093"/>
      <c r="L6" s="18"/>
    </row>
    <row r="7" spans="1:14" s="1094" customFormat="1" ht="18" hidden="1">
      <c r="A7" s="1091"/>
      <c r="B7" s="1091"/>
      <c r="C7" s="1093"/>
      <c r="D7" s="1093"/>
      <c r="E7" s="1093"/>
      <c r="F7" s="1093"/>
      <c r="G7" s="1093"/>
      <c r="H7" s="1093"/>
      <c r="I7" s="1093"/>
      <c r="J7" s="1093"/>
      <c r="K7" s="1093"/>
      <c r="L7" s="1314" t="s">
        <v>378</v>
      </c>
    </row>
    <row r="8" spans="1:14" s="715" customFormat="1">
      <c r="A8" s="716" t="s">
        <v>377</v>
      </c>
      <c r="B8" s="717"/>
      <c r="C8" s="714"/>
      <c r="D8" s="714"/>
      <c r="K8" s="718"/>
      <c r="L8" s="270" t="s">
        <v>378</v>
      </c>
    </row>
    <row r="9" spans="1:14" s="166" customFormat="1" ht="23.9" customHeight="1">
      <c r="A9" s="2608" t="s">
        <v>387</v>
      </c>
      <c r="B9" s="2609"/>
      <c r="C9" s="1604" t="s">
        <v>886</v>
      </c>
      <c r="D9" s="1604" t="s">
        <v>886</v>
      </c>
      <c r="E9" s="719" t="s">
        <v>887</v>
      </c>
      <c r="F9" s="724"/>
      <c r="G9" s="724"/>
      <c r="H9" s="179"/>
      <c r="I9" s="725"/>
      <c r="J9" s="725"/>
      <c r="K9" s="723" t="s">
        <v>888</v>
      </c>
      <c r="L9" s="2016"/>
    </row>
    <row r="10" spans="1:14" s="703" customFormat="1" ht="20.25" customHeight="1">
      <c r="A10" s="2610"/>
      <c r="B10" s="2611"/>
      <c r="C10" s="1603" t="s">
        <v>889</v>
      </c>
      <c r="D10" s="1603" t="s">
        <v>890</v>
      </c>
      <c r="E10" s="719" t="s">
        <v>575</v>
      </c>
      <c r="F10" s="186"/>
      <c r="H10" s="1306" t="s">
        <v>576</v>
      </c>
      <c r="I10" s="1308"/>
      <c r="K10" s="731"/>
      <c r="L10" s="1337"/>
    </row>
    <row r="11" spans="1:14" s="703" customFormat="1">
      <c r="A11" s="2610"/>
      <c r="B11" s="2611"/>
      <c r="C11" s="2637" t="s">
        <v>891</v>
      </c>
      <c r="D11" s="2635" t="s">
        <v>892</v>
      </c>
      <c r="E11" s="726" t="s">
        <v>586</v>
      </c>
      <c r="F11" s="734" t="s">
        <v>587</v>
      </c>
      <c r="G11" s="1307" t="s">
        <v>588</v>
      </c>
      <c r="H11" s="734" t="s">
        <v>589</v>
      </c>
      <c r="I11" s="734" t="s">
        <v>590</v>
      </c>
      <c r="J11" s="734" t="s">
        <v>399</v>
      </c>
      <c r="K11" s="734" t="s">
        <v>390</v>
      </c>
      <c r="L11" s="1337" t="s">
        <v>390</v>
      </c>
    </row>
    <row r="12" spans="1:14" s="703" customFormat="1" ht="46.5">
      <c r="A12" s="184" t="s">
        <v>395</v>
      </c>
      <c r="B12" s="735"/>
      <c r="C12" s="2638"/>
      <c r="D12" s="2636"/>
      <c r="E12" s="702" t="s">
        <v>600</v>
      </c>
      <c r="F12" s="701" t="s">
        <v>601</v>
      </c>
      <c r="G12" s="701" t="s">
        <v>602</v>
      </c>
      <c r="H12" s="701" t="s">
        <v>603</v>
      </c>
      <c r="I12" s="701" t="s">
        <v>893</v>
      </c>
      <c r="J12" s="701" t="s">
        <v>407</v>
      </c>
      <c r="K12" s="701" t="s">
        <v>400</v>
      </c>
      <c r="L12" s="701" t="s">
        <v>768</v>
      </c>
    </row>
    <row r="13" spans="1:14" ht="23.9" customHeight="1">
      <c r="A13" s="1605">
        <v>2016</v>
      </c>
      <c r="B13" s="1611"/>
      <c r="C13" s="1613">
        <v>4161.5844857569446</v>
      </c>
      <c r="D13" s="1613">
        <v>293.393422171</v>
      </c>
      <c r="E13" s="1517">
        <v>1512.4267565786529</v>
      </c>
      <c r="F13" s="1517">
        <v>124.91570434644558</v>
      </c>
      <c r="G13" s="1517">
        <v>47.456477877223094</v>
      </c>
      <c r="H13" s="1517">
        <v>1211.603801150909</v>
      </c>
      <c r="I13" s="1517">
        <v>80.624415123407729</v>
      </c>
      <c r="J13" s="1517">
        <v>630.70100148055405</v>
      </c>
      <c r="K13" s="1613">
        <v>3607.708156557193</v>
      </c>
      <c r="L13" s="1615">
        <v>8062.6885616301388</v>
      </c>
      <c r="M13" s="1609">
        <v>0</v>
      </c>
    </row>
    <row r="14" spans="1:14" s="1061" customFormat="1" ht="17.5" customHeight="1">
      <c r="A14" s="1607">
        <v>2017</v>
      </c>
      <c r="B14" s="1608"/>
      <c r="C14" s="1613">
        <v>4630.6180919492481</v>
      </c>
      <c r="D14" s="1613">
        <v>333.20340702185467</v>
      </c>
      <c r="E14" s="1517">
        <v>1613.5704755808929</v>
      </c>
      <c r="F14" s="1517">
        <v>114.92558106559665</v>
      </c>
      <c r="G14" s="1517">
        <v>52.880254186261901</v>
      </c>
      <c r="H14" s="1517">
        <v>1278.2919015809598</v>
      </c>
      <c r="I14" s="1517">
        <v>86.088649882896917</v>
      </c>
      <c r="J14" s="1517">
        <v>589.5464118674613</v>
      </c>
      <c r="K14" s="1613">
        <v>3735.3002741640694</v>
      </c>
      <c r="L14" s="1615">
        <v>8699.1442794191717</v>
      </c>
      <c r="M14" s="1609">
        <v>0</v>
      </c>
      <c r="N14" s="1609"/>
    </row>
    <row r="15" spans="1:14" s="1061" customFormat="1" ht="17.25" customHeight="1">
      <c r="A15" s="1607">
        <v>2018</v>
      </c>
      <c r="B15" s="1608"/>
      <c r="C15" s="1613">
        <v>5096.3999941671809</v>
      </c>
      <c r="D15" s="1613">
        <v>261.14266266389723</v>
      </c>
      <c r="E15" s="1517">
        <v>1796.6556200730508</v>
      </c>
      <c r="F15" s="1517">
        <v>103.01312042745215</v>
      </c>
      <c r="G15" s="1517">
        <v>134.13652000812272</v>
      </c>
      <c r="H15" s="1517">
        <v>1325.0552413339694</v>
      </c>
      <c r="I15" s="1517">
        <v>72.527739006359454</v>
      </c>
      <c r="J15" s="1517">
        <v>730.96027452571207</v>
      </c>
      <c r="K15" s="1517">
        <v>4162.3585153746671</v>
      </c>
      <c r="L15" s="1615">
        <v>9519.8911722057455</v>
      </c>
      <c r="M15" s="1609">
        <v>0</v>
      </c>
      <c r="N15" s="1609"/>
    </row>
    <row r="16" spans="1:14" s="1061" customFormat="1" ht="17.25" customHeight="1">
      <c r="A16" s="1607">
        <v>2019</v>
      </c>
      <c r="B16" s="1608"/>
      <c r="C16" s="1613">
        <v>5138.6018137726624</v>
      </c>
      <c r="D16" s="1613">
        <v>301.55149023442948</v>
      </c>
      <c r="E16" s="1517">
        <v>1953.1586812877845</v>
      </c>
      <c r="F16" s="1517">
        <v>122.97281821996518</v>
      </c>
      <c r="G16" s="1517">
        <v>140.10478611362126</v>
      </c>
      <c r="H16" s="1517">
        <v>1577.4472417995232</v>
      </c>
      <c r="I16" s="1517">
        <v>104.03196525536923</v>
      </c>
      <c r="J16" s="1517">
        <v>398.52317546487865</v>
      </c>
      <c r="K16" s="1517">
        <v>4296.1786681411422</v>
      </c>
      <c r="L16" s="1615">
        <v>9736.3989501659489</v>
      </c>
      <c r="M16" s="1609">
        <v>0</v>
      </c>
    </row>
    <row r="17" spans="1:15" s="1061" customFormat="1" ht="17.25" customHeight="1">
      <c r="A17" s="1607">
        <v>2020</v>
      </c>
      <c r="B17" s="1608"/>
      <c r="C17" s="1613">
        <v>5326.8598116189005</v>
      </c>
      <c r="D17" s="1613">
        <v>369.62912362053709</v>
      </c>
      <c r="E17" s="1517">
        <v>2197.9054834952717</v>
      </c>
      <c r="F17" s="1517">
        <v>118.13864136425786</v>
      </c>
      <c r="G17" s="1517">
        <v>187.6348313960944</v>
      </c>
      <c r="H17" s="1517">
        <v>1700.3500544124508</v>
      </c>
      <c r="I17" s="1517">
        <v>92.176158572542974</v>
      </c>
      <c r="J17" s="1517">
        <v>421.12282458665271</v>
      </c>
      <c r="K17" s="1517">
        <v>4717.3279938272699</v>
      </c>
      <c r="L17" s="1615">
        <v>10413.786929066708</v>
      </c>
      <c r="M17" s="1609">
        <v>0</v>
      </c>
    </row>
    <row r="18" spans="1:15" s="1061" customFormat="1" ht="17.25" customHeight="1">
      <c r="A18" s="1607">
        <v>2021</v>
      </c>
      <c r="B18" s="1608"/>
      <c r="C18" s="1613">
        <v>5341.1725163365518</v>
      </c>
      <c r="D18" s="1613">
        <v>454.44253734746621</v>
      </c>
      <c r="E18" s="1517">
        <v>2261.5450850151483</v>
      </c>
      <c r="F18" s="1517">
        <v>109.1633888960915</v>
      </c>
      <c r="G18" s="1517">
        <v>133.67238106277776</v>
      </c>
      <c r="H18" s="1517">
        <v>1933.0181037870075</v>
      </c>
      <c r="I18" s="1517">
        <v>99.499513170784923</v>
      </c>
      <c r="J18" s="1517">
        <v>573.78981344844533</v>
      </c>
      <c r="K18" s="1517">
        <v>5110.6882853802545</v>
      </c>
      <c r="L18" s="1615">
        <v>10906.303339064274</v>
      </c>
      <c r="M18" s="1609">
        <v>0</v>
      </c>
    </row>
    <row r="19" spans="1:15" ht="17.25" customHeight="1">
      <c r="A19" s="1606">
        <v>2022</v>
      </c>
      <c r="B19" s="801"/>
      <c r="C19" s="1613">
        <v>4951.476040089975</v>
      </c>
      <c r="D19" s="1613">
        <v>629.84264341138123</v>
      </c>
      <c r="E19" s="1517">
        <v>2760.8255985808432</v>
      </c>
      <c r="F19" s="1517">
        <v>106.64121251771931</v>
      </c>
      <c r="G19" s="1517">
        <v>129.35406667947981</v>
      </c>
      <c r="H19" s="1517">
        <v>1915.0087582619517</v>
      </c>
      <c r="I19" s="1517">
        <v>84.170806942194645</v>
      </c>
      <c r="J19" s="1517">
        <v>720.76908296040074</v>
      </c>
      <c r="K19" s="1517">
        <v>5716.7695259425891</v>
      </c>
      <c r="L19" s="2374">
        <v>11298.088209443948</v>
      </c>
      <c r="M19" s="1873">
        <v>0</v>
      </c>
    </row>
    <row r="20" spans="1:15" ht="17.25" customHeight="1">
      <c r="A20" s="1606">
        <v>2023</v>
      </c>
      <c r="B20" s="801"/>
      <c r="C20" s="1613">
        <v>5019.3357399331735</v>
      </c>
      <c r="D20" s="1613">
        <v>925.35749810301661</v>
      </c>
      <c r="E20" s="1517">
        <v>2880.3015089492378</v>
      </c>
      <c r="F20" s="1517">
        <v>97.070687621000133</v>
      </c>
      <c r="G20" s="1517">
        <v>236.92422206352998</v>
      </c>
      <c r="H20" s="1517">
        <v>1778.4750856533999</v>
      </c>
      <c r="I20" s="1517">
        <v>119.86694933148686</v>
      </c>
      <c r="J20" s="1517">
        <v>721.92946302158475</v>
      </c>
      <c r="K20" s="1517">
        <v>5834.5979166402394</v>
      </c>
      <c r="L20" s="2374">
        <v>11779.271154676429</v>
      </c>
      <c r="M20" s="1873">
        <v>0</v>
      </c>
    </row>
    <row r="21" spans="1:15" ht="17.25" customHeight="1">
      <c r="A21" s="1606">
        <v>2024</v>
      </c>
      <c r="B21" s="801"/>
      <c r="C21" s="1613">
        <v>5211.7368259243813</v>
      </c>
      <c r="D21" s="1613">
        <v>1160.0531715063664</v>
      </c>
      <c r="E21" s="1517">
        <v>3030.3459715256877</v>
      </c>
      <c r="F21" s="1517">
        <v>97.236608660279941</v>
      </c>
      <c r="G21" s="1517">
        <v>209.65139991333962</v>
      </c>
      <c r="H21" s="1517">
        <v>1775.714553265771</v>
      </c>
      <c r="I21" s="1517">
        <v>133.86146642184696</v>
      </c>
      <c r="J21" s="1517">
        <v>703.29004735939156</v>
      </c>
      <c r="K21" s="1517">
        <v>5950.1000471463158</v>
      </c>
      <c r="L21" s="2374">
        <v>12321.880044577063</v>
      </c>
      <c r="M21" s="1873">
        <v>0</v>
      </c>
    </row>
    <row r="22" spans="1:15" ht="17.25" customHeight="1">
      <c r="A22" s="2236">
        <v>2025</v>
      </c>
      <c r="B22" s="1786"/>
      <c r="C22" s="1614">
        <f t="shared" ref="C22:L22" si="0">C29</f>
        <v>5276.1555041732627</v>
      </c>
      <c r="D22" s="1614">
        <f t="shared" si="0"/>
        <v>1507.6479627709778</v>
      </c>
      <c r="E22" s="1610">
        <f t="shared" si="0"/>
        <v>3194.0409247301518</v>
      </c>
      <c r="F22" s="1610">
        <f t="shared" si="0"/>
        <v>93.773379612329194</v>
      </c>
      <c r="G22" s="1610">
        <f t="shared" si="0"/>
        <v>187.36721536970668</v>
      </c>
      <c r="H22" s="1610">
        <f t="shared" si="0"/>
        <v>1773.8931442692156</v>
      </c>
      <c r="I22" s="1610">
        <f t="shared" si="0"/>
        <v>124.93470459513981</v>
      </c>
      <c r="J22" s="1610">
        <f t="shared" si="0"/>
        <v>816.27727535004715</v>
      </c>
      <c r="K22" s="1610">
        <f t="shared" si="0"/>
        <v>6190.2866439265899</v>
      </c>
      <c r="L22" s="2237">
        <f t="shared" si="0"/>
        <v>12974.080110870829</v>
      </c>
      <c r="M22" s="1873">
        <f>ROUND(L22,1)-ROUND(K22,1)-ROUND(D22,1)-ROUND(C22,1)</f>
        <v>0</v>
      </c>
    </row>
    <row r="23" spans="1:15" s="1061" customFormat="1" ht="21" customHeight="1">
      <c r="A23" s="1607">
        <v>2024</v>
      </c>
      <c r="B23" s="1608" t="s">
        <v>243</v>
      </c>
      <c r="C23" s="1613">
        <v>5300.8274697613597</v>
      </c>
      <c r="D23" s="1613">
        <v>1012.4981628229938</v>
      </c>
      <c r="E23" s="1517">
        <v>2996.370220832147</v>
      </c>
      <c r="F23" s="1517">
        <v>100.47006049299995</v>
      </c>
      <c r="G23" s="1517">
        <v>252.63303218002798</v>
      </c>
      <c r="H23" s="1517">
        <v>1767.5009773590032</v>
      </c>
      <c r="I23" s="1517">
        <v>116.4919630885492</v>
      </c>
      <c r="J23" s="1517">
        <v>682.04087020796078</v>
      </c>
      <c r="K23" s="1517">
        <v>5915.5071241606875</v>
      </c>
      <c r="L23" s="1615">
        <v>12228.832756745041</v>
      </c>
      <c r="M23" s="2437">
        <v>0</v>
      </c>
    </row>
    <row r="24" spans="1:15" s="1061" customFormat="1" ht="15" customHeight="1">
      <c r="A24" s="1607"/>
      <c r="B24" s="1608" t="s">
        <v>240</v>
      </c>
      <c r="C24" s="1613">
        <v>5211.6297925814106</v>
      </c>
      <c r="D24" s="1613">
        <v>1059.065069696474</v>
      </c>
      <c r="E24" s="1517">
        <v>3002.6821508929684</v>
      </c>
      <c r="F24" s="1517">
        <v>99.64096807299984</v>
      </c>
      <c r="G24" s="1517">
        <v>250.67040294889802</v>
      </c>
      <c r="H24" s="1517">
        <v>1757.8691216852019</v>
      </c>
      <c r="I24" s="1517">
        <v>122.30917089341021</v>
      </c>
      <c r="J24" s="1517">
        <v>660.79056905889718</v>
      </c>
      <c r="K24" s="1517">
        <v>5893.9823835523748</v>
      </c>
      <c r="L24" s="1615">
        <v>12164.677245830258</v>
      </c>
      <c r="M24" s="2437">
        <v>0</v>
      </c>
    </row>
    <row r="25" spans="1:15" s="1061" customFormat="1" ht="15" customHeight="1">
      <c r="A25" s="1607"/>
      <c r="B25" s="1608" t="s">
        <v>241</v>
      </c>
      <c r="C25" s="1613">
        <v>5211.7368259243813</v>
      </c>
      <c r="D25" s="1613">
        <v>1160.0531715063664</v>
      </c>
      <c r="E25" s="1517">
        <v>3030.3459715256877</v>
      </c>
      <c r="F25" s="1517">
        <v>97.236608660279941</v>
      </c>
      <c r="G25" s="1517">
        <v>209.65139991333962</v>
      </c>
      <c r="H25" s="1517">
        <v>1775.714553265771</v>
      </c>
      <c r="I25" s="1517">
        <v>133.86146642184696</v>
      </c>
      <c r="J25" s="1517">
        <v>703.29004735939156</v>
      </c>
      <c r="K25" s="1517">
        <v>5950.1000471463158</v>
      </c>
      <c r="L25" s="1615">
        <v>12321.880044577063</v>
      </c>
      <c r="M25" s="2437">
        <v>0</v>
      </c>
    </row>
    <row r="26" spans="1:15" s="1061" customFormat="1" ht="21" customHeight="1">
      <c r="A26" s="1607">
        <v>2025</v>
      </c>
      <c r="B26" s="1608" t="s">
        <v>242</v>
      </c>
      <c r="C26" s="1613">
        <v>5420.1308842272992</v>
      </c>
      <c r="D26" s="1613">
        <v>1168.777867074474</v>
      </c>
      <c r="E26" s="1517">
        <v>3057.556118823607</v>
      </c>
      <c r="F26" s="1517">
        <v>96.929923448877631</v>
      </c>
      <c r="G26" s="1517">
        <v>209.30938218725512</v>
      </c>
      <c r="H26" s="1517">
        <v>1773.3579202030435</v>
      </c>
      <c r="I26" s="1517">
        <v>129.53046176517535</v>
      </c>
      <c r="J26" s="1517">
        <v>751.80673064117366</v>
      </c>
      <c r="K26" s="1517">
        <v>6018.480537069132</v>
      </c>
      <c r="L26" s="1615">
        <v>12607.389288370905</v>
      </c>
      <c r="M26" s="2437">
        <v>0</v>
      </c>
      <c r="N26" s="1873">
        <v>0</v>
      </c>
    </row>
    <row r="27" spans="1:15" s="1061" customFormat="1" ht="15" customHeight="1">
      <c r="A27" s="1607"/>
      <c r="B27" s="1608" t="s">
        <v>243</v>
      </c>
      <c r="C27" s="1613">
        <v>5363.2892695501778</v>
      </c>
      <c r="D27" s="1613">
        <v>1010.7437151857915</v>
      </c>
      <c r="E27" s="1517">
        <v>3093.8592211611513</v>
      </c>
      <c r="F27" s="1517">
        <v>97.225197071025647</v>
      </c>
      <c r="G27" s="1517">
        <v>212.96984374498405</v>
      </c>
      <c r="H27" s="1517">
        <v>1813.9588949115157</v>
      </c>
      <c r="I27" s="1517">
        <v>126.52311999544074</v>
      </c>
      <c r="J27" s="1517">
        <v>758.93683913909035</v>
      </c>
      <c r="K27" s="1517">
        <v>6103.4631160232075</v>
      </c>
      <c r="L27" s="1615">
        <v>12477.506100759178</v>
      </c>
      <c r="M27" s="2437">
        <v>0</v>
      </c>
      <c r="N27" s="1873">
        <v>0</v>
      </c>
    </row>
    <row r="28" spans="1:15" s="1061" customFormat="1" ht="15" customHeight="1">
      <c r="A28" s="1607"/>
      <c r="B28" s="1608" t="s">
        <v>240</v>
      </c>
      <c r="C28" s="1613">
        <f t="shared" ref="C28:L28" si="1">C35</f>
        <v>5194.9394012753892</v>
      </c>
      <c r="D28" s="1613">
        <f t="shared" si="1"/>
        <v>1427.2951288437189</v>
      </c>
      <c r="E28" s="1517">
        <f t="shared" si="1"/>
        <v>3135.080963337296</v>
      </c>
      <c r="F28" s="1517">
        <f t="shared" si="1"/>
        <v>95.718940315254002</v>
      </c>
      <c r="G28" s="1517">
        <f t="shared" si="1"/>
        <v>185.36023841480446</v>
      </c>
      <c r="H28" s="1517">
        <f t="shared" si="1"/>
        <v>1786.3176772417112</v>
      </c>
      <c r="I28" s="1517">
        <f t="shared" si="1"/>
        <v>125.33329381862335</v>
      </c>
      <c r="J28" s="1517">
        <f t="shared" si="1"/>
        <v>796.75991434383059</v>
      </c>
      <c r="K28" s="1517">
        <f t="shared" si="1"/>
        <v>6124.5510274715189</v>
      </c>
      <c r="L28" s="1615">
        <f t="shared" si="1"/>
        <v>12746.785557590629</v>
      </c>
      <c r="M28" s="2437">
        <f>ROUND(L28,1)-ROUND(K28,1)-ROUND(D28,1)-ROUND(C28,1)</f>
        <v>0</v>
      </c>
      <c r="N28" s="1873">
        <f t="shared" ref="N28" si="2">ROUND(K28,1)-ROUND(E28,1)-ROUND(F28,1)-ROUND(G28,1)-ROUND(H28,1)-ROUND(I28,1)-ROUND(J28,1)</f>
        <v>0</v>
      </c>
    </row>
    <row r="29" spans="1:15" s="1061" customFormat="1" ht="15" customHeight="1">
      <c r="A29" s="1607"/>
      <c r="B29" s="1608" t="s">
        <v>241</v>
      </c>
      <c r="C29" s="1613">
        <f t="shared" ref="C29:L29" si="3">C38</f>
        <v>5276.1555041732627</v>
      </c>
      <c r="D29" s="1613">
        <f t="shared" si="3"/>
        <v>1507.6479627709778</v>
      </c>
      <c r="E29" s="1517">
        <f t="shared" si="3"/>
        <v>3194.0409247301518</v>
      </c>
      <c r="F29" s="1517">
        <f t="shared" si="3"/>
        <v>93.773379612329194</v>
      </c>
      <c r="G29" s="1517">
        <f t="shared" si="3"/>
        <v>187.36721536970668</v>
      </c>
      <c r="H29" s="1517">
        <f t="shared" si="3"/>
        <v>1773.8931442692156</v>
      </c>
      <c r="I29" s="1517">
        <f t="shared" si="3"/>
        <v>124.93470459513981</v>
      </c>
      <c r="J29" s="1517">
        <f t="shared" si="3"/>
        <v>816.27727535004715</v>
      </c>
      <c r="K29" s="1517">
        <f t="shared" si="3"/>
        <v>6190.2866439265899</v>
      </c>
      <c r="L29" s="1615">
        <f t="shared" si="3"/>
        <v>12974.080110870829</v>
      </c>
      <c r="M29" s="2437">
        <f>ROUND(L29,1)-ROUND(K29,1)-ROUND(D29,1)-ROUND(C29,1)</f>
        <v>0</v>
      </c>
      <c r="N29" s="1873">
        <f t="shared" ref="N29" si="4">ROUND(K29,1)-ROUND(E29,1)-ROUND(F29,1)-ROUND(G29,1)-ROUND(H29,1)-ROUND(I29,1)-ROUND(J29,1)</f>
        <v>0</v>
      </c>
    </row>
    <row r="30" spans="1:15" s="1061" customFormat="1" ht="21" customHeight="1">
      <c r="A30" s="1755">
        <v>2026</v>
      </c>
      <c r="B30" s="1756" t="s">
        <v>242</v>
      </c>
      <c r="C30" s="1614">
        <f t="shared" ref="C30:L30" si="5">C41</f>
        <v>5343.8891406394723</v>
      </c>
      <c r="D30" s="1614">
        <f t="shared" si="5"/>
        <v>1667.9905686220291</v>
      </c>
      <c r="E30" s="1610">
        <f t="shared" si="5"/>
        <v>3237.0904083058713</v>
      </c>
      <c r="F30" s="1610">
        <f t="shared" si="5"/>
        <v>92.527283514092161</v>
      </c>
      <c r="G30" s="1610">
        <f t="shared" si="5"/>
        <v>195.34646144166976</v>
      </c>
      <c r="H30" s="1610">
        <f t="shared" si="5"/>
        <v>1770.4018047086461</v>
      </c>
      <c r="I30" s="1610">
        <f t="shared" si="5"/>
        <v>116.38361534375952</v>
      </c>
      <c r="J30" s="1610">
        <f t="shared" si="5"/>
        <v>811.69695214028366</v>
      </c>
      <c r="K30" s="1610">
        <f t="shared" si="5"/>
        <v>6223.446525454322</v>
      </c>
      <c r="L30" s="1616">
        <f t="shared" si="5"/>
        <v>13235.326234715823</v>
      </c>
      <c r="M30" s="2516">
        <f>ROUND(L30,1)-ROUND(K30,1)-ROUND(D30,1)-ROUND(C30,1)</f>
        <v>0</v>
      </c>
      <c r="N30" s="2517">
        <f t="shared" ref="N30" si="6">ROUND(K30,1)-ROUND(E30,1)-ROUND(F30,1)-ROUND(G30,1)-ROUND(H30,1)-ROUND(I30,1)-ROUND(J30,1)</f>
        <v>0</v>
      </c>
      <c r="O30" s="2518"/>
    </row>
    <row r="31" spans="1:15" ht="21" customHeight="1">
      <c r="A31" s="1606">
        <v>2025</v>
      </c>
      <c r="B31" s="801" t="s">
        <v>427</v>
      </c>
      <c r="C31" s="1517">
        <v>5376.9918776872491</v>
      </c>
      <c r="D31" s="1517">
        <v>981.3439713106311</v>
      </c>
      <c r="E31" s="1517">
        <v>3091.1741123766014</v>
      </c>
      <c r="F31" s="1517">
        <v>98.985262869448832</v>
      </c>
      <c r="G31" s="1517">
        <v>208.96996204277127</v>
      </c>
      <c r="H31" s="1517">
        <v>1823.4308313506344</v>
      </c>
      <c r="I31" s="1517">
        <v>120.96772606116446</v>
      </c>
      <c r="J31" s="1517">
        <v>742.13218136609828</v>
      </c>
      <c r="K31" s="1517">
        <v>6085.6600760667188</v>
      </c>
      <c r="L31" s="1878">
        <v>12443.995925064599</v>
      </c>
      <c r="M31" s="1873">
        <v>0</v>
      </c>
      <c r="N31" s="1873">
        <v>0</v>
      </c>
    </row>
    <row r="32" spans="1:15" ht="17.25" customHeight="1">
      <c r="A32" s="1606"/>
      <c r="B32" s="801" t="s">
        <v>428</v>
      </c>
      <c r="C32" s="1517">
        <f>'[5]5'!$D$11</f>
        <v>5363.2892695501778</v>
      </c>
      <c r="D32" s="1503">
        <f>'[5]5'!$D$63-0.01</f>
        <v>1010.7437151857915</v>
      </c>
      <c r="E32" s="1517">
        <f>'[5]5'!$D$57</f>
        <v>3093.8592211611513</v>
      </c>
      <c r="F32" s="1517">
        <f>'[5]5'!$D$58</f>
        <v>97.225197071025647</v>
      </c>
      <c r="G32" s="1517">
        <f>'[5]5'!$D$59</f>
        <v>212.96984374498405</v>
      </c>
      <c r="H32" s="1503">
        <f>'[5]5'!$D$60+0.01</f>
        <v>1813.9588949115157</v>
      </c>
      <c r="I32" s="1517">
        <f>'[5]5'!$D$61</f>
        <v>126.52311999544074</v>
      </c>
      <c r="J32" s="1517">
        <f>'[5]5'!$D$62</f>
        <v>758.93683913909035</v>
      </c>
      <c r="K32" s="1517">
        <f>'[5]5'!$D$56</f>
        <v>6103.4631160232075</v>
      </c>
      <c r="L32" s="1878">
        <f>'[5]5'!$D$66</f>
        <v>12477.506100759178</v>
      </c>
      <c r="M32" s="1873">
        <f t="shared" ref="M32" si="7">ROUND(L32,1)-ROUND(K32,1)-ROUND(D32,1)-ROUND(C32,1)</f>
        <v>0</v>
      </c>
      <c r="N32" s="1873">
        <f t="shared" ref="N32" si="8">ROUND(K32,1)-ROUND(E32,1)-ROUND(F32,1)-ROUND(G32,1)-ROUND(H32,1)-ROUND(I32,1)-ROUND(J32,1)</f>
        <v>0</v>
      </c>
    </row>
    <row r="33" spans="1:14" ht="17.25" customHeight="1">
      <c r="A33" s="1606"/>
      <c r="B33" s="801" t="s">
        <v>429</v>
      </c>
      <c r="C33" s="1517">
        <f>'[6]5'!$D$11</f>
        <v>5272.0058261838458</v>
      </c>
      <c r="D33" s="1503">
        <f>'[6]5'!$D$63-0.03</f>
        <v>1112.6430453317023</v>
      </c>
      <c r="E33" s="1517">
        <f>'[6]5'!$D$57</f>
        <v>3105.488396373255</v>
      </c>
      <c r="F33" s="1517">
        <f>'[6]5'!$D$58</f>
        <v>96.757096602209856</v>
      </c>
      <c r="G33" s="1517">
        <f>'[6]5'!$D$59</f>
        <v>214.00207613737166</v>
      </c>
      <c r="H33" s="1517">
        <f>'[6]5'!$D$60</f>
        <v>1817.0317475335639</v>
      </c>
      <c r="I33" s="1503">
        <f>'[6]5'!$D$61+0.02</f>
        <v>118.65953199660275</v>
      </c>
      <c r="J33" s="1517">
        <f>'[6]5'!$D$62</f>
        <v>788.23269521232021</v>
      </c>
      <c r="K33" s="1517">
        <f>'[6]5'!$D$56</f>
        <v>6140.1515438553233</v>
      </c>
      <c r="L33" s="1878">
        <f>'[6]5'!$D$66</f>
        <v>12524.83041537087</v>
      </c>
      <c r="M33" s="1873">
        <f t="shared" ref="M33" si="9">ROUND(L33,1)-ROUND(K33,1)-ROUND(D33,1)-ROUND(C33,1)</f>
        <v>0</v>
      </c>
      <c r="N33" s="1873">
        <f t="shared" ref="N33" si="10">ROUND(K33,1)-ROUND(E33,1)-ROUND(F33,1)-ROUND(G33,1)-ROUND(H33,1)-ROUND(I33,1)-ROUND(J33,1)</f>
        <v>0</v>
      </c>
    </row>
    <row r="34" spans="1:14" ht="17.25" customHeight="1">
      <c r="A34" s="1606"/>
      <c r="B34" s="801" t="s">
        <v>430</v>
      </c>
      <c r="C34" s="1517">
        <f>'[7]5'!$D$11</f>
        <v>5172.6781049010488</v>
      </c>
      <c r="D34" s="1517">
        <f>'[7]5'!$D$63</f>
        <v>1301.6699856150972</v>
      </c>
      <c r="E34" s="1517">
        <f>'[7]5'!$D$57</f>
        <v>3125.0546931772155</v>
      </c>
      <c r="F34" s="1517">
        <f>'[7]5'!$D$58</f>
        <v>95.79514366633714</v>
      </c>
      <c r="G34" s="1517">
        <f>'[7]5'!$D$59</f>
        <v>215.62445856626138</v>
      </c>
      <c r="H34" s="1517">
        <f>'[7]5'!$D$60</f>
        <v>1819.7043712316513</v>
      </c>
      <c r="I34" s="1517">
        <f>'[7]5'!$D$61</f>
        <v>125.72265947975004</v>
      </c>
      <c r="J34" s="1517">
        <f>'[7]5'!$D$62</f>
        <v>790.50925408794672</v>
      </c>
      <c r="K34" s="1517">
        <f>'[7]5'!$D$56</f>
        <v>6172.4105802091626</v>
      </c>
      <c r="L34" s="1878">
        <f>'[7]5'!$D$66</f>
        <v>12646.758670725307</v>
      </c>
      <c r="M34" s="1873">
        <f t="shared" ref="M34" si="11">ROUND(L34,1)-ROUND(K34,1)-ROUND(D34,1)-ROUND(C34,1)</f>
        <v>0</v>
      </c>
      <c r="N34" s="1873">
        <f t="shared" ref="N34" si="12">ROUND(K34,1)-ROUND(E34,1)-ROUND(F34,1)-ROUND(G34,1)-ROUND(H34,1)-ROUND(I34,1)-ROUND(J34,1)</f>
        <v>0</v>
      </c>
    </row>
    <row r="35" spans="1:14" ht="17.25" customHeight="1">
      <c r="A35" s="1606"/>
      <c r="B35" s="801" t="s">
        <v>431</v>
      </c>
      <c r="C35" s="1517">
        <f>'[8]5'!$D$11</f>
        <v>5194.9394012753892</v>
      </c>
      <c r="D35" s="1517">
        <f>'[8]5'!$D$63</f>
        <v>1427.2951288437189</v>
      </c>
      <c r="E35" s="1517">
        <f>'[8]5'!$D$57</f>
        <v>3135.080963337296</v>
      </c>
      <c r="F35" s="1517">
        <f>'[8]5'!$D$58</f>
        <v>95.718940315254002</v>
      </c>
      <c r="G35" s="1503">
        <f>'[8]5'!$D$59+0.02</f>
        <v>185.36023841480446</v>
      </c>
      <c r="H35" s="1517">
        <f>'[8]5'!$D$60</f>
        <v>1786.3176772417112</v>
      </c>
      <c r="I35" s="1517">
        <f>'[8]5'!$D$61</f>
        <v>125.33329381862335</v>
      </c>
      <c r="J35" s="1517">
        <f>'[8]5'!$D$62</f>
        <v>796.75991434383059</v>
      </c>
      <c r="K35" s="1517">
        <f>'[8]5'!$D$56</f>
        <v>6124.5510274715189</v>
      </c>
      <c r="L35" s="1878">
        <f>'[8]5'!$D$66</f>
        <v>12746.785557590629</v>
      </c>
      <c r="M35" s="1873">
        <f t="shared" ref="M35" si="13">ROUND(L35,1)-ROUND(K35,1)-ROUND(D35,1)-ROUND(C35,1)</f>
        <v>0</v>
      </c>
      <c r="N35" s="1873">
        <f t="shared" ref="N35" si="14">ROUND(K35,1)-ROUND(E35,1)-ROUND(F35,1)-ROUND(G35,1)-ROUND(H35,1)-ROUND(I35,1)-ROUND(J35,1)</f>
        <v>0</v>
      </c>
    </row>
    <row r="36" spans="1:14" ht="17.25" customHeight="1">
      <c r="A36" s="1606"/>
      <c r="B36" s="801" t="s">
        <v>420</v>
      </c>
      <c r="C36" s="1517">
        <f>'[9]5'!$D$11</f>
        <v>5182.1028869565325</v>
      </c>
      <c r="D36" s="1517">
        <f>'[9]5'!$D$63</f>
        <v>1437.4579156422362</v>
      </c>
      <c r="E36" s="1517">
        <f>'[9]5'!$D$57</f>
        <v>3155.459272017129</v>
      </c>
      <c r="F36" s="1503">
        <f>'[9]5'!$D$58-0.02</f>
        <v>95.541981788001337</v>
      </c>
      <c r="G36" s="1517">
        <f>'[9]5'!$D$59</f>
        <v>189.20467699921545</v>
      </c>
      <c r="H36" s="1517">
        <f>'[9]5'!$D$60</f>
        <v>1785.6100100074857</v>
      </c>
      <c r="I36" s="1517">
        <f>'[9]5'!$D$61</f>
        <v>126.79336461589878</v>
      </c>
      <c r="J36" s="1517">
        <f>'[9]5'!$D$62</f>
        <v>805.87571089479354</v>
      </c>
      <c r="K36" s="1517">
        <f>'[9]5'!$D$56</f>
        <v>6158.5050163225242</v>
      </c>
      <c r="L36" s="1878">
        <f>'[9]5'!$D$66</f>
        <v>12778.065818921294</v>
      </c>
      <c r="M36" s="1873">
        <f t="shared" ref="M36" si="15">ROUND(L36,1)-ROUND(K36,1)-ROUND(D36,1)-ROUND(C36,1)</f>
        <v>0</v>
      </c>
      <c r="N36" s="1873">
        <f t="shared" ref="N36" si="16">ROUND(K36,1)-ROUND(E36,1)-ROUND(F36,1)-ROUND(G36,1)-ROUND(H36,1)-ROUND(I36,1)-ROUND(J36,1)</f>
        <v>0</v>
      </c>
    </row>
    <row r="37" spans="1:14" ht="17.25" customHeight="1">
      <c r="A37" s="1606"/>
      <c r="B37" s="801" t="s">
        <v>421</v>
      </c>
      <c r="C37" s="1517">
        <f>'[10]5'!$D$11</f>
        <v>5133.2240665006202</v>
      </c>
      <c r="D37" s="1517">
        <f>'[10]5'!$D$63</f>
        <v>1483.3147907118087</v>
      </c>
      <c r="E37" s="1517">
        <f>'[10]5'!$D$57</f>
        <v>3184.7985890453579</v>
      </c>
      <c r="F37" s="1517">
        <f>'[10]5'!$D$58</f>
        <v>94.553600734379145</v>
      </c>
      <c r="G37" s="1517">
        <f>'[10]5'!$D$59</f>
        <v>186.54313307844478</v>
      </c>
      <c r="H37" s="1517">
        <f>'[10]5'!$D$60</f>
        <v>1793.9612103133434</v>
      </c>
      <c r="I37" s="1517">
        <f>'[10]5'!$D$61</f>
        <v>125.92092779395928</v>
      </c>
      <c r="J37" s="1517">
        <f>'[10]5'!$D$62</f>
        <v>805.81038294092264</v>
      </c>
      <c r="K37" s="1517">
        <f>'[10]5'!$D$56</f>
        <v>6191.5878439064072</v>
      </c>
      <c r="L37" s="1878">
        <f>'[10]5'!$D$66</f>
        <v>12808.126701118836</v>
      </c>
      <c r="M37" s="1873">
        <f t="shared" ref="M37" si="17">ROUND(L37,1)-ROUND(K37,1)-ROUND(D37,1)-ROUND(C37,1)</f>
        <v>0</v>
      </c>
      <c r="N37" s="1873">
        <f t="shared" ref="N37" si="18">ROUND(K37,1)-ROUND(E37,1)-ROUND(F37,1)-ROUND(G37,1)-ROUND(H37,1)-ROUND(I37,1)-ROUND(J37,1)</f>
        <v>0</v>
      </c>
    </row>
    <row r="38" spans="1:14" ht="17.25" customHeight="1">
      <c r="A38" s="1606"/>
      <c r="B38" s="801" t="s">
        <v>422</v>
      </c>
      <c r="C38" s="1503">
        <f>'[11]5'!$D$11+0.01</f>
        <v>5276.1555041732627</v>
      </c>
      <c r="D38" s="1517">
        <f>'[11]5'!$D$63</f>
        <v>1507.6479627709778</v>
      </c>
      <c r="E38" s="1517">
        <f>'[11]5'!$D$57</f>
        <v>3194.0409247301518</v>
      </c>
      <c r="F38" s="1517">
        <f>'[11]5'!$D$58</f>
        <v>93.773379612329194</v>
      </c>
      <c r="G38" s="1517">
        <f>'[11]5'!$D$59</f>
        <v>187.36721536970668</v>
      </c>
      <c r="H38" s="1517">
        <f>'[11]5'!$D$60</f>
        <v>1773.8931442692156</v>
      </c>
      <c r="I38" s="1517">
        <f>'[11]5'!$D$61</f>
        <v>124.93470459513981</v>
      </c>
      <c r="J38" s="1517">
        <f>'[11]5'!$D$62</f>
        <v>816.27727535004715</v>
      </c>
      <c r="K38" s="1517">
        <f>'[11]5'!$D$56</f>
        <v>6190.2866439265899</v>
      </c>
      <c r="L38" s="1878">
        <f>'[11]5'!$D$66</f>
        <v>12974.080110870829</v>
      </c>
      <c r="M38" s="1873">
        <f t="shared" ref="M38" si="19">ROUND(L38,1)-ROUND(K38,1)-ROUND(D38,1)-ROUND(C38,1)</f>
        <v>0</v>
      </c>
      <c r="N38" s="1873">
        <f t="shared" ref="N38" si="20">ROUND(K38,1)-ROUND(E38,1)-ROUND(F38,1)-ROUND(G38,1)-ROUND(H38,1)-ROUND(I38,1)-ROUND(J38,1)</f>
        <v>0</v>
      </c>
    </row>
    <row r="39" spans="1:14" ht="21" customHeight="1">
      <c r="A39" s="1606">
        <v>2026</v>
      </c>
      <c r="B39" s="801" t="s">
        <v>423</v>
      </c>
      <c r="C39" s="1517">
        <f>'[12]5'!$D$11</f>
        <v>5108.6643434659436</v>
      </c>
      <c r="D39" s="1503">
        <f>'[12]5'!$D$63-0.01</f>
        <v>1527.1489902619271</v>
      </c>
      <c r="E39" s="1517">
        <f>'[12]5'!$D$57</f>
        <v>3218.1217342149571</v>
      </c>
      <c r="F39" s="1517">
        <f>'[12]5'!$D$58</f>
        <v>93.217495130068457</v>
      </c>
      <c r="G39" s="1517">
        <f>'[12]5'!$D$59</f>
        <v>189.8295493912311</v>
      </c>
      <c r="H39" s="1517">
        <f>'[12]5'!$D$60</f>
        <v>1779.4985883623642</v>
      </c>
      <c r="I39" s="1503">
        <f>'[12]5'!$D$61+0.01</f>
        <v>125.55131174651295</v>
      </c>
      <c r="J39" s="1503">
        <f>'[12]5'!$D$62+0.01</f>
        <v>823.95534362875821</v>
      </c>
      <c r="K39" s="1517">
        <f>'[12]5'!$D$56</f>
        <v>6230.1540224738919</v>
      </c>
      <c r="L39" s="1878">
        <f>'[12]5'!$D$66</f>
        <v>12865.977356201764</v>
      </c>
      <c r="M39" s="1873">
        <f t="shared" ref="M39" si="21">ROUND(L39,1)-ROUND(K39,1)-ROUND(D39,1)-ROUND(C39,1)</f>
        <v>0</v>
      </c>
      <c r="N39" s="1873">
        <f t="shared" ref="N39" si="22">ROUND(K39,1)-ROUND(E39,1)-ROUND(F39,1)-ROUND(G39,1)-ROUND(H39,1)-ROUND(I39,1)-ROUND(J39,1)</f>
        <v>0</v>
      </c>
    </row>
    <row r="40" spans="1:14" ht="17.25" customHeight="1">
      <c r="A40" s="1606"/>
      <c r="B40" s="801" t="s">
        <v>424</v>
      </c>
      <c r="C40" s="1517">
        <f>'[13]5'!$D$11</f>
        <v>5075.9196525177776</v>
      </c>
      <c r="D40" s="1517">
        <f>'[13]5'!$D$63</f>
        <v>1597.5575825720748</v>
      </c>
      <c r="E40" s="1517">
        <f>'[13]5'!$D$57</f>
        <v>3232.242842137985</v>
      </c>
      <c r="F40" s="1517">
        <f>'[13]5'!$D$58</f>
        <v>93.105461177317537</v>
      </c>
      <c r="G40" s="1517">
        <f>'[13]5'!$D$59</f>
        <v>187.77083287395408</v>
      </c>
      <c r="H40" s="1517">
        <f>'[13]5'!$D$60</f>
        <v>1782.8508528333709</v>
      </c>
      <c r="I40" s="1517">
        <f>'[13]5'!$D$61</f>
        <v>128.8074119319229</v>
      </c>
      <c r="J40" s="1503">
        <f>'[13]5'!$D$62-0.01</f>
        <v>812.24302329079364</v>
      </c>
      <c r="K40" s="1517">
        <f>'[13]5'!$D$56</f>
        <v>6237.0304242453431</v>
      </c>
      <c r="L40" s="1878">
        <f>'[13]5'!$D$66</f>
        <v>12910.507659335195</v>
      </c>
      <c r="M40" s="1873">
        <f t="shared" ref="M40" si="23">ROUND(L40,1)-ROUND(K40,1)-ROUND(D40,1)-ROUND(C40,1)</f>
        <v>0</v>
      </c>
      <c r="N40" s="1873">
        <f t="shared" ref="N40" si="24">ROUND(K40,1)-ROUND(E40,1)-ROUND(F40,1)-ROUND(G40,1)-ROUND(H40,1)-ROUND(I40,1)-ROUND(J40,1)</f>
        <v>0</v>
      </c>
    </row>
    <row r="41" spans="1:14" ht="17.25" customHeight="1">
      <c r="A41" s="1606"/>
      <c r="B41" s="801" t="s">
        <v>425</v>
      </c>
      <c r="C41" s="1517">
        <f>'[14]5'!$D$11</f>
        <v>5343.8891406394723</v>
      </c>
      <c r="D41" s="1517">
        <f>'[14]5'!$D$63</f>
        <v>1667.9905686220291</v>
      </c>
      <c r="E41" s="1517">
        <f>'[14]5'!$D$57</f>
        <v>3237.0904083058713</v>
      </c>
      <c r="F41" s="1517">
        <f>'[14]5'!$D$58</f>
        <v>92.527283514092161</v>
      </c>
      <c r="G41" s="1517">
        <f>'[14]5'!$D$59</f>
        <v>195.34646144166976</v>
      </c>
      <c r="H41" s="1517">
        <f>'[14]5'!$D$60</f>
        <v>1770.4018047086461</v>
      </c>
      <c r="I41" s="1517">
        <f>'[14]5'!$D$61</f>
        <v>116.38361534375952</v>
      </c>
      <c r="J41" s="1517">
        <f>'[14]5'!$D$62</f>
        <v>811.69695214028366</v>
      </c>
      <c r="K41" s="1517">
        <f>'[14]5'!$D$56</f>
        <v>6223.446525454322</v>
      </c>
      <c r="L41" s="1878">
        <f>'[14]5'!$D$66</f>
        <v>13235.326234715823</v>
      </c>
      <c r="M41" s="1873">
        <f t="shared" ref="M41" si="25">ROUND(L41,1)-ROUND(K41,1)-ROUND(D41,1)-ROUND(C41,1)</f>
        <v>0</v>
      </c>
      <c r="N41" s="1873">
        <f t="shared" ref="N41" si="26">ROUND(K41,1)-ROUND(E41,1)-ROUND(F41,1)-ROUND(G41,1)-ROUND(H41,1)-ROUND(I41,1)-ROUND(J41,1)</f>
        <v>0</v>
      </c>
    </row>
    <row r="42" spans="1:14" ht="17.25" customHeight="1">
      <c r="A42" s="1606"/>
      <c r="B42" s="801" t="s">
        <v>426</v>
      </c>
      <c r="C42" s="1517">
        <f>'[15]5'!$D$11</f>
        <v>5481.6750776174067</v>
      </c>
      <c r="D42" s="1517">
        <f>'[15]5'!$D$63</f>
        <v>1681.7340780914819</v>
      </c>
      <c r="E42" s="1517">
        <f>'[15]5'!$D$57</f>
        <v>3239.457883219945</v>
      </c>
      <c r="F42" s="1517">
        <f>'[15]5'!$D$58</f>
        <v>91.237511691619403</v>
      </c>
      <c r="G42" s="1517">
        <f>'[15]5'!$D$59</f>
        <v>198.5620805291334</v>
      </c>
      <c r="H42" s="1517">
        <f>'[15]5'!$D$60</f>
        <v>1755.0926727060571</v>
      </c>
      <c r="I42" s="1517">
        <f>'[15]5'!$D$61</f>
        <v>115.29061393478158</v>
      </c>
      <c r="J42" s="1503">
        <f>'[15]5'!$D$62-0.04</f>
        <v>862.0493934639162</v>
      </c>
      <c r="K42" s="1517">
        <f>'[15]5'!$D$56</f>
        <v>6261.7301555454515</v>
      </c>
      <c r="L42" s="1878">
        <f>'[15]5'!$D$66</f>
        <v>13425.139311254341</v>
      </c>
      <c r="M42" s="1873">
        <f t="shared" ref="M42" si="27">ROUND(L42,1)-ROUND(K42,1)-ROUND(D42,1)-ROUND(C42,1)</f>
        <v>0</v>
      </c>
      <c r="N42" s="1873">
        <f t="shared" ref="N42" si="28">ROUND(K42,1)-ROUND(E42,1)-ROUND(F42,1)-ROUND(G42,1)-ROUND(H42,1)-ROUND(I42,1)-ROUND(J42,1)</f>
        <v>0</v>
      </c>
    </row>
    <row r="43" spans="1:14" ht="17.25" customHeight="1">
      <c r="A43" s="1606"/>
      <c r="B43" s="801" t="s">
        <v>427</v>
      </c>
      <c r="C43" s="1503">
        <f>'[16]5'!$D$11+0.01</f>
        <v>5424.3590585852253</v>
      </c>
      <c r="D43" s="1517">
        <f>'[16]5'!$D$63</f>
        <v>1691.3949895626502</v>
      </c>
      <c r="E43" s="1517">
        <f>'[16]5'!$D$57</f>
        <v>3262.4410355428663</v>
      </c>
      <c r="F43" s="1517">
        <f>'[16]5'!$D$58</f>
        <v>91.229336750800201</v>
      </c>
      <c r="G43" s="1517">
        <f>'[16]5'!$D$59</f>
        <v>185.2698021575888</v>
      </c>
      <c r="H43" s="1517">
        <f>'[16]5'!$D$60</f>
        <v>1757.7705677660203</v>
      </c>
      <c r="I43" s="1517">
        <f>'[16]5'!$D$61</f>
        <v>124.91508135623411</v>
      </c>
      <c r="J43" s="1517">
        <f>'[16]5'!$D$62</f>
        <v>878.40532739406035</v>
      </c>
      <c r="K43" s="1517">
        <f>'[16]5'!$D$56</f>
        <v>6300.0311509675703</v>
      </c>
      <c r="L43" s="1878">
        <f>'[16]5'!$D$66</f>
        <v>13415.775199115447</v>
      </c>
      <c r="M43" s="1873">
        <f t="shared" ref="M43" si="29">ROUND(L43,1)-ROUND(K43,1)-ROUND(D43,1)-ROUND(C43,1)</f>
        <v>0</v>
      </c>
      <c r="N43" s="1873">
        <f t="shared" ref="N43" si="30">ROUND(K43,1)-ROUND(E43,1)-ROUND(F43,1)-ROUND(G43,1)-ROUND(H43,1)-ROUND(I43,1)-ROUND(J43,1)</f>
        <v>0</v>
      </c>
    </row>
    <row r="44" spans="1:14" s="662" customFormat="1" ht="20.25" customHeight="1">
      <c r="A44" s="1262" t="s">
        <v>894</v>
      </c>
      <c r="B44" s="1262"/>
      <c r="C44" s="1262"/>
      <c r="D44" s="1262"/>
      <c r="E44" s="1262"/>
      <c r="F44" s="1262"/>
      <c r="G44" s="1262"/>
      <c r="H44" s="1262"/>
      <c r="I44" s="1262"/>
      <c r="J44" s="1262"/>
      <c r="K44" s="1263"/>
      <c r="L44" s="1263" t="s">
        <v>895</v>
      </c>
    </row>
    <row r="45" spans="1:14" s="715" customFormat="1">
      <c r="A45" s="662" t="s">
        <v>896</v>
      </c>
      <c r="C45" s="713"/>
      <c r="E45" s="712"/>
      <c r="F45" s="712"/>
      <c r="G45" s="712"/>
      <c r="L45" s="1364" t="s">
        <v>897</v>
      </c>
    </row>
    <row r="46" spans="1:14" s="715" customFormat="1">
      <c r="A46" s="662" t="s">
        <v>898</v>
      </c>
      <c r="C46" s="713"/>
      <c r="E46" s="712"/>
      <c r="F46" s="712"/>
      <c r="G46" s="712"/>
      <c r="L46" s="1364"/>
    </row>
    <row r="47" spans="1:14">
      <c r="A47" s="686" t="s">
        <v>899</v>
      </c>
      <c r="B47" s="686"/>
      <c r="C47" s="686"/>
      <c r="D47" s="686"/>
      <c r="E47" s="686"/>
      <c r="F47" s="686"/>
      <c r="G47" s="686"/>
      <c r="H47" s="686"/>
      <c r="I47" s="686"/>
      <c r="J47" s="686"/>
      <c r="K47" s="686"/>
      <c r="L47" s="2443"/>
    </row>
    <row r="48" spans="1:14" ht="14.9" customHeight="1">
      <c r="C48" s="742"/>
      <c r="D48" s="742"/>
      <c r="E48" s="742"/>
      <c r="F48" s="742"/>
      <c r="G48" s="742"/>
      <c r="H48" s="742"/>
      <c r="I48" s="742"/>
      <c r="J48" s="742"/>
      <c r="K48" s="742"/>
      <c r="L48" s="1364"/>
    </row>
    <row r="49" spans="12:12" ht="14.9" customHeight="1">
      <c r="L49" s="1364"/>
    </row>
    <row r="50" spans="12:12">
      <c r="L50" s="1364"/>
    </row>
    <row r="51" spans="12:12">
      <c r="L51" s="355"/>
    </row>
    <row r="53" spans="12:12">
      <c r="L53" s="269"/>
    </row>
  </sheetData>
  <mergeCells count="3">
    <mergeCell ref="A9:B11"/>
    <mergeCell ref="D11:D12"/>
    <mergeCell ref="C11:C12"/>
  </mergeCells>
  <printOptions horizontalCentered="1" verticalCentered="1"/>
  <pageMargins left="0" right="0" top="0" bottom="0" header="0.3" footer="0.3"/>
  <pageSetup paperSize="9" scale="67"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249977111117893"/>
    <pageSetUpPr fitToPage="1"/>
  </sheetPr>
  <dimension ref="A1:Q41"/>
  <sheetViews>
    <sheetView topLeftCell="A27" zoomScale="70" zoomScaleNormal="70" workbookViewId="0">
      <pane xSplit="2" topLeftCell="E1" activePane="topRight" state="frozen"/>
      <selection activeCell="B9" sqref="B9"/>
      <selection pane="topRight" activeCell="M10" sqref="M10"/>
    </sheetView>
  </sheetViews>
  <sheetFormatPr defaultColWidth="18.26953125" defaultRowHeight="15.5"/>
  <cols>
    <col min="1" max="1" width="6.1796875" style="2314" customWidth="1"/>
    <col min="2" max="2" width="46.453125" style="2310" customWidth="1"/>
    <col min="3" max="3" width="15" style="2310" bestFit="1" customWidth="1"/>
    <col min="4" max="4" width="15.453125" style="2310" bestFit="1" customWidth="1"/>
    <col min="5" max="14" width="15.453125" style="2310" customWidth="1"/>
    <col min="15" max="15" width="46.7265625" style="2310" customWidth="1"/>
    <col min="16" max="16" width="18.26953125" style="2310" bestFit="1"/>
    <col min="17" max="17" width="0" style="2310" hidden="1" customWidth="1"/>
    <col min="18" max="16384" width="18.26953125" style="2310"/>
  </cols>
  <sheetData>
    <row r="1" spans="1:17" ht="18" customHeight="1">
      <c r="A1" s="1098" t="s">
        <v>900</v>
      </c>
      <c r="B1" s="1640"/>
      <c r="C1" s="1640"/>
      <c r="D1" s="1640"/>
      <c r="E1" s="1640"/>
      <c r="F1" s="1640"/>
      <c r="G1" s="1640"/>
      <c r="H1" s="1640"/>
      <c r="I1" s="1640"/>
      <c r="J1" s="1640"/>
      <c r="K1" s="1640"/>
      <c r="L1" s="1640"/>
      <c r="M1" s="1640"/>
      <c r="N1" s="1640"/>
      <c r="O1" s="2309"/>
    </row>
    <row r="2" spans="1:17" ht="18" customHeight="1">
      <c r="A2" s="1091" t="s">
        <v>805</v>
      </c>
      <c r="B2" s="2315"/>
      <c r="C2" s="2315"/>
      <c r="D2" s="2315"/>
      <c r="E2" s="2315"/>
      <c r="F2" s="2315"/>
      <c r="G2" s="2315"/>
      <c r="H2" s="2315"/>
      <c r="I2" s="2315"/>
      <c r="J2" s="2315"/>
      <c r="K2" s="2315"/>
      <c r="L2" s="2315"/>
      <c r="M2" s="2315"/>
      <c r="N2" s="2315"/>
      <c r="O2" s="2533"/>
    </row>
    <row r="3" spans="1:17" ht="18">
      <c r="A3" s="2330" t="s">
        <v>901</v>
      </c>
      <c r="B3" s="1640"/>
      <c r="C3" s="1640"/>
      <c r="D3" s="1640"/>
      <c r="E3" s="1640"/>
      <c r="F3" s="1640"/>
      <c r="G3" s="1640"/>
      <c r="H3" s="1640"/>
      <c r="I3" s="1640"/>
      <c r="J3" s="1640"/>
      <c r="K3" s="1640"/>
      <c r="L3" s="1640"/>
      <c r="M3" s="1640"/>
      <c r="N3" s="1640"/>
      <c r="O3" s="2309"/>
    </row>
    <row r="4" spans="1:17" ht="18">
      <c r="A4" s="1091" t="s">
        <v>902</v>
      </c>
      <c r="B4" s="1640"/>
      <c r="C4" s="1640"/>
      <c r="D4" s="1640"/>
      <c r="E4" s="1640"/>
      <c r="F4" s="1640"/>
      <c r="G4" s="1640"/>
      <c r="H4" s="1640"/>
      <c r="I4" s="1640"/>
      <c r="J4" s="1640"/>
      <c r="K4" s="1640"/>
      <c r="L4" s="1640"/>
      <c r="M4" s="1640"/>
      <c r="N4" s="1640"/>
      <c r="O4" s="2309"/>
    </row>
    <row r="5" spans="1:17" ht="15.75" customHeight="1">
      <c r="A5" s="1640"/>
      <c r="B5" s="1640"/>
      <c r="C5" s="2309"/>
      <c r="D5" s="2309"/>
      <c r="E5" s="2309"/>
      <c r="F5" s="2309"/>
      <c r="G5" s="2309"/>
      <c r="H5" s="2309"/>
      <c r="I5" s="2309"/>
      <c r="J5" s="2309"/>
      <c r="K5" s="2309"/>
      <c r="L5" s="2309"/>
      <c r="M5" s="2309"/>
      <c r="N5" s="2309"/>
      <c r="O5" s="2309"/>
    </row>
    <row r="6" spans="1:17" ht="15.75" customHeight="1">
      <c r="A6" s="1640"/>
      <c r="B6" s="1640"/>
      <c r="C6" s="2309"/>
      <c r="D6" s="2309"/>
      <c r="E6" s="2309"/>
      <c r="F6" s="2309"/>
      <c r="G6" s="2309"/>
      <c r="H6" s="2309"/>
      <c r="I6" s="2309"/>
      <c r="J6" s="2309"/>
      <c r="K6" s="2309"/>
      <c r="L6" s="2309"/>
      <c r="M6" s="2309"/>
      <c r="N6" s="2309"/>
      <c r="O6" s="2309"/>
    </row>
    <row r="7" spans="1:17">
      <c r="A7" s="716" t="s">
        <v>377</v>
      </c>
      <c r="D7" s="1927"/>
      <c r="E7" s="1927"/>
      <c r="F7" s="1927"/>
      <c r="G7" s="1927"/>
      <c r="H7" s="1927"/>
      <c r="I7" s="1927"/>
      <c r="J7" s="1927"/>
      <c r="K7" s="1927"/>
      <c r="L7" s="1927"/>
      <c r="M7" s="1927"/>
      <c r="N7" s="1927"/>
      <c r="O7" s="270" t="s">
        <v>378</v>
      </c>
    </row>
    <row r="8" spans="1:17" s="2311" customFormat="1" ht="20.25" customHeight="1">
      <c r="A8" s="2640"/>
      <c r="B8" s="2640" t="s">
        <v>903</v>
      </c>
      <c r="C8" s="2317">
        <v>2025</v>
      </c>
      <c r="D8" s="2317"/>
      <c r="E8" s="2522">
        <v>2026</v>
      </c>
      <c r="F8" s="2520"/>
      <c r="G8" s="2520"/>
      <c r="H8" s="2520"/>
      <c r="I8" s="2520"/>
      <c r="J8" s="2521"/>
      <c r="K8" s="2520"/>
      <c r="L8" s="2521"/>
      <c r="M8" s="2520"/>
      <c r="N8" s="2521"/>
      <c r="O8" s="2640" t="s">
        <v>904</v>
      </c>
    </row>
    <row r="9" spans="1:17" s="2311" customFormat="1">
      <c r="A9" s="2641"/>
      <c r="B9" s="2641"/>
      <c r="C9" s="2643" t="s">
        <v>1731</v>
      </c>
      <c r="D9" s="2644"/>
      <c r="E9" s="2643" t="s">
        <v>1742</v>
      </c>
      <c r="F9" s="2644"/>
      <c r="G9" s="2643" t="s">
        <v>1744</v>
      </c>
      <c r="H9" s="2644"/>
      <c r="I9" s="2643" t="s">
        <v>1765</v>
      </c>
      <c r="J9" s="2644"/>
      <c r="K9" s="2643" t="s">
        <v>1784</v>
      </c>
      <c r="L9" s="2644"/>
      <c r="M9" s="2643" t="s">
        <v>427</v>
      </c>
      <c r="N9" s="2644"/>
      <c r="O9" s="2641"/>
    </row>
    <row r="10" spans="1:17" s="2311" customFormat="1" ht="46.5">
      <c r="A10" s="2641"/>
      <c r="B10" s="2641"/>
      <c r="C10" s="2316" t="s">
        <v>905</v>
      </c>
      <c r="D10" s="2316" t="s">
        <v>906</v>
      </c>
      <c r="E10" s="2316" t="s">
        <v>905</v>
      </c>
      <c r="F10" s="2316" t="s">
        <v>906</v>
      </c>
      <c r="G10" s="2316" t="s">
        <v>905</v>
      </c>
      <c r="H10" s="2316" t="s">
        <v>906</v>
      </c>
      <c r="I10" s="2316" t="s">
        <v>905</v>
      </c>
      <c r="J10" s="2316" t="s">
        <v>906</v>
      </c>
      <c r="K10" s="2316" t="s">
        <v>905</v>
      </c>
      <c r="L10" s="2316" t="s">
        <v>906</v>
      </c>
      <c r="M10" s="2316" t="s">
        <v>905</v>
      </c>
      <c r="N10" s="2316" t="s">
        <v>906</v>
      </c>
      <c r="O10" s="2641"/>
    </row>
    <row r="11" spans="1:17" s="2312" customFormat="1" ht="46.5">
      <c r="A11" s="2642"/>
      <c r="B11" s="2642"/>
      <c r="C11" s="2318" t="s">
        <v>907</v>
      </c>
      <c r="D11" s="2318" t="s">
        <v>908</v>
      </c>
      <c r="E11" s="2318" t="s">
        <v>907</v>
      </c>
      <c r="F11" s="2318" t="s">
        <v>908</v>
      </c>
      <c r="G11" s="2318" t="s">
        <v>907</v>
      </c>
      <c r="H11" s="2318" t="s">
        <v>908</v>
      </c>
      <c r="I11" s="2318" t="s">
        <v>907</v>
      </c>
      <c r="J11" s="2318" t="s">
        <v>908</v>
      </c>
      <c r="K11" s="2318" t="s">
        <v>907</v>
      </c>
      <c r="L11" s="2318" t="s">
        <v>908</v>
      </c>
      <c r="M11" s="2318" t="s">
        <v>907</v>
      </c>
      <c r="N11" s="2318" t="s">
        <v>908</v>
      </c>
      <c r="O11" s="2642"/>
    </row>
    <row r="12" spans="1:17" ht="21" customHeight="1">
      <c r="A12" s="2339">
        <v>1</v>
      </c>
      <c r="B12" s="2340" t="s">
        <v>909</v>
      </c>
      <c r="C12" s="2345">
        <f>'[11]5'!$D$12</f>
        <v>33.774223098842441</v>
      </c>
      <c r="D12" s="2345">
        <f>'[11]5'!$F$12</f>
        <v>3.3391203780000001</v>
      </c>
      <c r="E12" s="2345">
        <f>'[12]5'!$D$12</f>
        <v>33.807846408619753</v>
      </c>
      <c r="F12" s="2345">
        <f>'[12]5'!$F$12</f>
        <v>1.5035229129999998</v>
      </c>
      <c r="G12" s="2345">
        <f>'[13]5'!$D$12</f>
        <v>34.53480555185466</v>
      </c>
      <c r="H12" s="2345">
        <f>'[13]5'!$F$12</f>
        <v>1.4909770869999999</v>
      </c>
      <c r="I12" s="2345">
        <f>'[14]5'!$D$12</f>
        <v>34.002224542662432</v>
      </c>
      <c r="J12" s="2345">
        <f>'[14]5'!$F$12</f>
        <v>1.0632636349999998</v>
      </c>
      <c r="K12" s="2345">
        <f>'[15]5'!$D$12</f>
        <v>33.861617776180267</v>
      </c>
      <c r="L12" s="2345">
        <f>'[15]5'!$F$12</f>
        <v>0.93668110899999968</v>
      </c>
      <c r="M12" s="2345">
        <f>'[16]5'!$D$12</f>
        <v>34.07791598613953</v>
      </c>
      <c r="N12" s="2345">
        <f>'[16]5'!$F$12</f>
        <v>2.7307196939999998</v>
      </c>
      <c r="O12" s="2342" t="s">
        <v>910</v>
      </c>
      <c r="Q12" s="2319" t="e">
        <f>ROUND(#REF!,0)</f>
        <v>#REF!</v>
      </c>
    </row>
    <row r="13" spans="1:17" ht="21" customHeight="1">
      <c r="A13" s="2339">
        <v>2</v>
      </c>
      <c r="B13" s="2341" t="s">
        <v>911</v>
      </c>
      <c r="C13" s="2346">
        <f>'[11]5'!$D$13</f>
        <v>75.887308049246784</v>
      </c>
      <c r="D13" s="2346">
        <f>'[11]5'!$F$13</f>
        <v>0</v>
      </c>
      <c r="E13" s="2346">
        <f>'[12]5'!$D$13</f>
        <v>75.871781653266211</v>
      </c>
      <c r="F13" s="2346">
        <f>'[12]5'!$F$13</f>
        <v>0</v>
      </c>
      <c r="G13" s="2346">
        <f>'[13]5'!$D$13</f>
        <v>76.090747768779465</v>
      </c>
      <c r="H13" s="2346">
        <f>'[13]5'!$F$13</f>
        <v>0</v>
      </c>
      <c r="I13" s="2346">
        <f>'[14]5'!$D$13</f>
        <v>76.184285915287489</v>
      </c>
      <c r="J13" s="2346">
        <f>'[14]5'!$F$13</f>
        <v>0</v>
      </c>
      <c r="K13" s="2347">
        <f>'[15]5'!$D$13+0.1</f>
        <v>76.445135405246148</v>
      </c>
      <c r="L13" s="2346">
        <f>'[15]5'!$F$13</f>
        <v>0</v>
      </c>
      <c r="M13" s="2347">
        <f>'[16]5'!$D$13+0.1</f>
        <v>74.45054623411805</v>
      </c>
      <c r="N13" s="2346">
        <f>'[16]5'!$F$13</f>
        <v>0</v>
      </c>
      <c r="O13" s="2343" t="s">
        <v>912</v>
      </c>
      <c r="Q13" s="2319" t="e">
        <f>ROUND(#REF!,0)</f>
        <v>#REF!</v>
      </c>
    </row>
    <row r="14" spans="1:17" ht="21" customHeight="1">
      <c r="A14" s="2339">
        <v>3</v>
      </c>
      <c r="B14" s="2341" t="s">
        <v>595</v>
      </c>
      <c r="C14" s="2346">
        <f>'[11]5'!$D$14</f>
        <v>1191.2775484702443</v>
      </c>
      <c r="D14" s="2346">
        <f>'[11]5'!$F$14</f>
        <v>28.877773174757827</v>
      </c>
      <c r="E14" s="2346">
        <f>'[12]5'!$D$14</f>
        <v>1124.8483919052892</v>
      </c>
      <c r="F14" s="2346">
        <f>'[12]5'!$F$14</f>
        <v>28.569560184181444</v>
      </c>
      <c r="G14" s="2346">
        <f>'[13]5'!$D$14</f>
        <v>1075.9160977788147</v>
      </c>
      <c r="H14" s="2346">
        <f>'[13]5'!$F$14</f>
        <v>28.402431345515133</v>
      </c>
      <c r="I14" s="2346">
        <f>'[14]5'!$D$14</f>
        <v>1260.2781985316306</v>
      </c>
      <c r="J14" s="2347">
        <f>'[14]5'!$F$14-0.02</f>
        <v>28.845185369877154</v>
      </c>
      <c r="K14" s="2346">
        <f>'[15]5'!$D$14</f>
        <v>1347.8604010479312</v>
      </c>
      <c r="L14" s="2346">
        <f>'[15]5'!$F$14</f>
        <v>28.683661232844706</v>
      </c>
      <c r="M14" s="2346">
        <f>'[16]5'!$D$14</f>
        <v>1284.2465579808597</v>
      </c>
      <c r="N14" s="2346">
        <f>'[16]5'!$F$14</f>
        <v>29.059335359903734</v>
      </c>
      <c r="O14" s="2343" t="s">
        <v>913</v>
      </c>
      <c r="Q14" s="2319" t="e">
        <f>ROUND(#REF!,0)</f>
        <v>#REF!</v>
      </c>
    </row>
    <row r="15" spans="1:17" ht="33.75" customHeight="1">
      <c r="A15" s="2339">
        <v>4</v>
      </c>
      <c r="B15" s="2341" t="s">
        <v>914</v>
      </c>
      <c r="C15" s="2346">
        <f>'[11]5'!$D$15</f>
        <v>267.55124182236216</v>
      </c>
      <c r="D15" s="2346">
        <f>'[11]5'!$F$15</f>
        <v>0.89554930899999996</v>
      </c>
      <c r="E15" s="2346">
        <f>'[12]5'!$D$15</f>
        <v>241.25494425951314</v>
      </c>
      <c r="F15" s="2346">
        <f>'[12]5'!$F$15</f>
        <v>0.88068410399999997</v>
      </c>
      <c r="G15" s="2346">
        <f>'[13]5'!$D$15</f>
        <v>239.87108823289876</v>
      </c>
      <c r="H15" s="2346">
        <f>'[13]5'!$F$15</f>
        <v>0.86853567700000012</v>
      </c>
      <c r="I15" s="2346">
        <f>'[14]5'!$D$15</f>
        <v>269.70530874790677</v>
      </c>
      <c r="J15" s="2346">
        <f>'[14]5'!$F$15</f>
        <v>0.85638725000000004</v>
      </c>
      <c r="K15" s="2346">
        <f>'[15]5'!$D$15</f>
        <v>302.34675534229336</v>
      </c>
      <c r="L15" s="2346">
        <f>'[15]5'!$F$15</f>
        <v>0.84423882299999997</v>
      </c>
      <c r="M15" s="2346">
        <f>'[16]5'!$D$15</f>
        <v>296.34331107441847</v>
      </c>
      <c r="N15" s="2346">
        <f>'[16]5'!$F$15</f>
        <v>0.83209040499999998</v>
      </c>
      <c r="O15" s="2343" t="s">
        <v>915</v>
      </c>
      <c r="Q15" s="2319" t="e">
        <f>ROUND(#REF!,0)</f>
        <v>#REF!</v>
      </c>
    </row>
    <row r="16" spans="1:17" ht="33">
      <c r="A16" s="2339">
        <v>5</v>
      </c>
      <c r="B16" s="2341" t="s">
        <v>916</v>
      </c>
      <c r="C16" s="2346">
        <f>'[11]5'!$D$16</f>
        <v>42.6748323090155</v>
      </c>
      <c r="D16" s="2346">
        <f>'[11]5'!$F$16</f>
        <v>0</v>
      </c>
      <c r="E16" s="2346">
        <f>'[12]5'!$D$16</f>
        <v>43.803533447521609</v>
      </c>
      <c r="F16" s="2346">
        <f>'[12]5'!$F$16</f>
        <v>0</v>
      </c>
      <c r="G16" s="2347">
        <f>'[13]5'!$D$16-0.01</f>
        <v>43.843043459229747</v>
      </c>
      <c r="H16" s="2346">
        <f>'[13]5'!$F$16</f>
        <v>0</v>
      </c>
      <c r="I16" s="2346">
        <f>'[14]5'!$D$16</f>
        <v>44.291999766201066</v>
      </c>
      <c r="J16" s="2346">
        <f>'[14]5'!$F$16</f>
        <v>0</v>
      </c>
      <c r="K16" s="2346">
        <f>'[15]5'!$D$16</f>
        <v>42.50172362173651</v>
      </c>
      <c r="L16" s="2346">
        <f>'[15]5'!$F$16</f>
        <v>0</v>
      </c>
      <c r="M16" s="2346">
        <f>'[16]5'!$D$16</f>
        <v>42.856731809387753</v>
      </c>
      <c r="N16" s="2346">
        <f>'[16]5'!$F$16</f>
        <v>0</v>
      </c>
      <c r="O16" s="2344" t="s">
        <v>917</v>
      </c>
      <c r="Q16" s="2319" t="e">
        <f>ROUND(#REF!,0)</f>
        <v>#REF!</v>
      </c>
    </row>
    <row r="17" spans="1:17" ht="21" customHeight="1">
      <c r="A17" s="2339">
        <v>6</v>
      </c>
      <c r="B17" s="2341" t="s">
        <v>918</v>
      </c>
      <c r="C17" s="2346">
        <f>'[11]5'!$D$17</f>
        <v>679.54531336374885</v>
      </c>
      <c r="D17" s="2346">
        <f>'[11]5'!$F$17</f>
        <v>135.26630347265231</v>
      </c>
      <c r="E17" s="2346">
        <f>'[12]5'!$D$17</f>
        <v>680.21684105817872</v>
      </c>
      <c r="F17" s="2346">
        <f>'[12]5'!$F$17</f>
        <v>112.49800134865245</v>
      </c>
      <c r="G17" s="2346">
        <f>'[13]5'!$D$17</f>
        <v>696.29280018452857</v>
      </c>
      <c r="H17" s="2346">
        <f>'[13]5'!$F$17</f>
        <v>114.220088299</v>
      </c>
      <c r="I17" s="2346">
        <f>'[14]5'!$D$17</f>
        <v>705.1762236847311</v>
      </c>
      <c r="J17" s="2346">
        <f>'[14]5'!$F$17</f>
        <v>114.87902980402112</v>
      </c>
      <c r="K17" s="2346">
        <f>'[15]5'!$D$17</f>
        <v>716.12346274053493</v>
      </c>
      <c r="L17" s="2346">
        <f>'[15]5'!$F$17</f>
        <v>115.28242305402108</v>
      </c>
      <c r="M17" s="2346">
        <f>'[16]5'!$D$17</f>
        <v>706.51009399645659</v>
      </c>
      <c r="N17" s="2346">
        <f>'[16]5'!$F$17</f>
        <v>112.39910352024999</v>
      </c>
      <c r="O17" s="2344" t="s">
        <v>919</v>
      </c>
      <c r="Q17" s="2319" t="e">
        <f>ROUND(#REF!,0)</f>
        <v>#REF!</v>
      </c>
    </row>
    <row r="18" spans="1:17" ht="33">
      <c r="A18" s="2339">
        <v>7</v>
      </c>
      <c r="B18" s="2341" t="s">
        <v>920</v>
      </c>
      <c r="C18" s="2346">
        <f>'[11]5'!$D$18</f>
        <v>613.42110101620028</v>
      </c>
      <c r="D18" s="2346">
        <f>'[11]5'!$F$18</f>
        <v>109.22177439557635</v>
      </c>
      <c r="E18" s="2346">
        <f>'[12]5'!$D$18</f>
        <v>602.4244127890388</v>
      </c>
      <c r="F18" s="2346">
        <f>'[12]5'!$F$18</f>
        <v>101.13651431054328</v>
      </c>
      <c r="G18" s="2346">
        <f>'[13]5'!$D$18</f>
        <v>570.06695056975695</v>
      </c>
      <c r="H18" s="2346">
        <f>'[13]5'!$F$18</f>
        <v>101.17160031897228</v>
      </c>
      <c r="I18" s="2346">
        <f>'[14]5'!$D$18</f>
        <v>601.8225625093072</v>
      </c>
      <c r="J18" s="2346">
        <f>'[14]5'!$F$18</f>
        <v>98.119915003086987</v>
      </c>
      <c r="K18" s="2346">
        <f>'[15]5'!$D$18</f>
        <v>598.01120651710733</v>
      </c>
      <c r="L18" s="2346">
        <f>'[15]5'!$F$18</f>
        <v>97.721835673248691</v>
      </c>
      <c r="M18" s="2346">
        <f>'[16]5'!$D$18</f>
        <v>585.1207047581114</v>
      </c>
      <c r="N18" s="2346">
        <f>'[16]5'!$F$18</f>
        <v>97.869080680546489</v>
      </c>
      <c r="O18" s="2344" t="s">
        <v>921</v>
      </c>
      <c r="Q18" s="2319" t="e">
        <f>ROUND(#REF!,0)</f>
        <v>#REF!</v>
      </c>
    </row>
    <row r="19" spans="1:17" ht="21" customHeight="1">
      <c r="A19" s="2339">
        <v>8</v>
      </c>
      <c r="B19" s="2341" t="s">
        <v>922</v>
      </c>
      <c r="C19" s="2346">
        <f>'[11]5'!$D$19</f>
        <v>61.352734156793773</v>
      </c>
      <c r="D19" s="2346">
        <f>'[11]5'!$F$19</f>
        <v>5.966402518999999</v>
      </c>
      <c r="E19" s="2346">
        <f>'[12]5'!$D$19</f>
        <v>63.202896169907035</v>
      </c>
      <c r="F19" s="2346">
        <f>'[12]5'!$F$19</f>
        <v>6.4990407070206277</v>
      </c>
      <c r="G19" s="2346">
        <f>'[13]5'!$D$19</f>
        <v>62.673111181213145</v>
      </c>
      <c r="H19" s="2346">
        <f>'[13]5'!$F$19</f>
        <v>6.4438968659999976</v>
      </c>
      <c r="I19" s="2346">
        <f>'[14]5'!$D$19</f>
        <v>61.240414564884077</v>
      </c>
      <c r="J19" s="2346">
        <f>'[14]5'!$F$19</f>
        <v>6.3991785029999999</v>
      </c>
      <c r="K19" s="2346">
        <f>'[15]5'!$D$19</f>
        <v>65.023774788056841</v>
      </c>
      <c r="L19" s="2346">
        <f>'[15]5'!$F$19</f>
        <v>7.4298804360000013</v>
      </c>
      <c r="M19" s="2346">
        <f>'[16]5'!$D$19</f>
        <v>94.621220276344332</v>
      </c>
      <c r="N19" s="2346">
        <f>'[16]5'!$F$19</f>
        <v>7.7225444910606988</v>
      </c>
      <c r="O19" s="2343" t="s">
        <v>923</v>
      </c>
      <c r="Q19" s="2319" t="e">
        <f>ROUND(#REF!,0)</f>
        <v>#REF!</v>
      </c>
    </row>
    <row r="20" spans="1:17" ht="33.75" customHeight="1">
      <c r="A20" s="2339">
        <v>9</v>
      </c>
      <c r="B20" s="2341" t="s">
        <v>924</v>
      </c>
      <c r="C20" s="2346">
        <f>'[11]5'!$D$20</f>
        <v>181.4173345135103</v>
      </c>
      <c r="D20" s="2346">
        <f>'[11]5'!$F$20</f>
        <v>31.797283988</v>
      </c>
      <c r="E20" s="2346">
        <f>'[12]5'!$D$20</f>
        <v>201.00174269085306</v>
      </c>
      <c r="F20" s="2346">
        <f>'[12]5'!$F$20</f>
        <v>31.177709365000002</v>
      </c>
      <c r="G20" s="2346">
        <f>'[13]5'!$D$20</f>
        <v>199.20890957481311</v>
      </c>
      <c r="H20" s="2346">
        <f>'[13]5'!$F$20</f>
        <v>25.583463386000002</v>
      </c>
      <c r="I20" s="2346">
        <f>'[14]5'!$D$20</f>
        <v>198.49357589193474</v>
      </c>
      <c r="J20" s="2346">
        <f>'[14]5'!$F$20</f>
        <v>32.179514147000006</v>
      </c>
      <c r="K20" s="2346">
        <f>'[15]5'!$D$20</f>
        <v>198.74795174553529</v>
      </c>
      <c r="L20" s="2346">
        <f>'[15]5'!$F$20</f>
        <v>32.055222219000001</v>
      </c>
      <c r="M20" s="2346">
        <f>'[16]5'!$D$20</f>
        <v>198.87370171154831</v>
      </c>
      <c r="N20" s="2346">
        <f>'[16]5'!$F$20</f>
        <v>32.220915549999994</v>
      </c>
      <c r="O20" s="2343" t="s">
        <v>925</v>
      </c>
      <c r="Q20" s="2319" t="e">
        <f>ROUND(#REF!,0)</f>
        <v>#REF!</v>
      </c>
    </row>
    <row r="21" spans="1:17" ht="21" customHeight="1">
      <c r="A21" s="2339">
        <v>10</v>
      </c>
      <c r="B21" s="2341" t="s">
        <v>926</v>
      </c>
      <c r="C21" s="2346">
        <f>'[11]5'!$D$21</f>
        <v>133.94180661346013</v>
      </c>
      <c r="D21" s="2346">
        <f>'[11]5'!$F$21</f>
        <v>1.2417664930000001</v>
      </c>
      <c r="E21" s="2346">
        <f>'[12]5'!$D$21</f>
        <v>134.39877532000372</v>
      </c>
      <c r="F21" s="2346">
        <f>'[12]5'!$F$21</f>
        <v>1.0594162859999998</v>
      </c>
      <c r="G21" s="2347">
        <f>'[13]5'!$D$21-0.01</f>
        <v>134.64026126885483</v>
      </c>
      <c r="H21" s="2346">
        <f>'[13]5'!$F$21</f>
        <v>1.0702306439999993</v>
      </c>
      <c r="I21" s="2346">
        <f>'[14]5'!$D$21</f>
        <v>134.59535310670981</v>
      </c>
      <c r="J21" s="2346">
        <f>'[14]5'!$F$21</f>
        <v>1.0596883049999999</v>
      </c>
      <c r="K21" s="2346">
        <f>'[15]5'!$D$21</f>
        <v>134.90052439849973</v>
      </c>
      <c r="L21" s="2346">
        <f>'[15]5'!$F$21</f>
        <v>1.1696532740000003</v>
      </c>
      <c r="M21" s="2346">
        <f>'[16]5'!$D$21</f>
        <v>133.82703630507095</v>
      </c>
      <c r="N21" s="2346">
        <f>'[16]5'!$F$21</f>
        <v>1.3011188150000002</v>
      </c>
      <c r="O21" s="2343" t="s">
        <v>927</v>
      </c>
      <c r="Q21" s="2319" t="e">
        <f>ROUND(#REF!,0)</f>
        <v>#REF!</v>
      </c>
    </row>
    <row r="22" spans="1:17" ht="21" customHeight="1">
      <c r="A22" s="2339">
        <v>11</v>
      </c>
      <c r="B22" s="2341" t="s">
        <v>928</v>
      </c>
      <c r="C22" s="2346">
        <f>'[11]5'!$D$22</f>
        <v>255.48824234209314</v>
      </c>
      <c r="D22" s="2346">
        <f>'[11]5'!$F$22</f>
        <v>12.694544670999999</v>
      </c>
      <c r="E22" s="2346">
        <f>'[12]5'!$D$22</f>
        <v>209.69604817788763</v>
      </c>
      <c r="F22" s="2346">
        <f>'[12]5'!$F$22</f>
        <v>12.603145045</v>
      </c>
      <c r="G22" s="2346">
        <f>'[13]5'!$D$22</f>
        <v>224.48782085476111</v>
      </c>
      <c r="H22" s="2346">
        <f>'[13]5'!$F$22</f>
        <v>13.175605287</v>
      </c>
      <c r="I22" s="2346">
        <f>'[14]5'!$D$22</f>
        <v>224.90682399524437</v>
      </c>
      <c r="J22" s="2346">
        <f>'[14]5'!$F$22</f>
        <v>12.543686269000002</v>
      </c>
      <c r="K22" s="2346">
        <f>'[15]5'!$D$22</f>
        <v>235.28019359531945</v>
      </c>
      <c r="L22" s="2346">
        <f>'[15]5'!$F$22</f>
        <v>11.639373101</v>
      </c>
      <c r="M22" s="2346">
        <f>'[16]5'!$D$22</f>
        <v>243.07503015228875</v>
      </c>
      <c r="N22" s="2346">
        <f>'[16]5'!$F$22</f>
        <v>13.111575918</v>
      </c>
      <c r="O22" s="2343" t="s">
        <v>929</v>
      </c>
      <c r="Q22" s="2319" t="e">
        <f>ROUND(#REF!,0)</f>
        <v>#REF!</v>
      </c>
    </row>
    <row r="23" spans="1:17" ht="21" customHeight="1">
      <c r="A23" s="2339">
        <v>12</v>
      </c>
      <c r="B23" s="2341" t="s">
        <v>930</v>
      </c>
      <c r="C23" s="2346">
        <f>'[11]5'!$D$23</f>
        <v>727.94603294419881</v>
      </c>
      <c r="D23" s="2346">
        <f>'[11]5'!$F$23</f>
        <v>37.457783845960002</v>
      </c>
      <c r="E23" s="2346">
        <f>'[12]5'!$D$23</f>
        <v>726.48449825194098</v>
      </c>
      <c r="F23" s="2346">
        <f>'[12]5'!$F$23</f>
        <v>35.837389111900002</v>
      </c>
      <c r="G23" s="2346">
        <f>'[13]5'!$D$23</f>
        <v>725.01597621177211</v>
      </c>
      <c r="H23" s="2346">
        <f>'[13]5'!$F$23</f>
        <v>36.037224465150004</v>
      </c>
      <c r="I23" s="2346">
        <f>'[14]5'!$D$23</f>
        <v>739.05829693695966</v>
      </c>
      <c r="J23" s="2346">
        <f>'[14]5'!$F$23</f>
        <v>35.892722907740001</v>
      </c>
      <c r="K23" s="2346">
        <f>'[15]5'!$D$23</f>
        <v>738.65640304569013</v>
      </c>
      <c r="L23" s="2346">
        <f>'[15]5'!$F$23</f>
        <v>28.944231570529997</v>
      </c>
      <c r="M23" s="2346">
        <f>'[16]5'!$D$23</f>
        <v>749.57881995022785</v>
      </c>
      <c r="N23" s="2346">
        <f>'[16]5'!$F$23</f>
        <v>29.416684730650001</v>
      </c>
      <c r="O23" s="2343" t="s">
        <v>931</v>
      </c>
      <c r="Q23" s="2319" t="e">
        <f>ROUND(#REF!,0)</f>
        <v>#REF!</v>
      </c>
    </row>
    <row r="24" spans="1:17" ht="33.75" customHeight="1">
      <c r="A24" s="2339">
        <v>13</v>
      </c>
      <c r="B24" s="2341" t="s">
        <v>932</v>
      </c>
      <c r="C24" s="2346">
        <f>'[11]5'!$D$24</f>
        <v>18.549541625606565</v>
      </c>
      <c r="D24" s="2346">
        <f>'[11]5'!$F$24</f>
        <v>5.5292542805216272</v>
      </c>
      <c r="E24" s="2346">
        <f>'[12]5'!$D$24</f>
        <v>17.90709432440347</v>
      </c>
      <c r="F24" s="2346">
        <f>'[12]5'!$F$24</f>
        <v>4.7889923646376271</v>
      </c>
      <c r="G24" s="2346">
        <f>'[13]5'!$D$24</f>
        <v>18.09441083514756</v>
      </c>
      <c r="H24" s="2347">
        <f>'[13]5'!$F$24+0.01</f>
        <v>4.855802828829999</v>
      </c>
      <c r="I24" s="2346">
        <f>'[14]5'!$D$24</f>
        <v>18.445736504557221</v>
      </c>
      <c r="J24" s="2346">
        <f>'[14]5'!$F$24</f>
        <v>4.8133859980810003</v>
      </c>
      <c r="K24" s="2346">
        <f>'[15]5'!$D$24</f>
        <v>17.942622053992991</v>
      </c>
      <c r="L24" s="2346">
        <f>'[15]5'!$F$24</f>
        <v>4.6870226230170005</v>
      </c>
      <c r="M24" s="2346">
        <f>'[16]5'!$D$24</f>
        <v>18.298305419224114</v>
      </c>
      <c r="N24" s="2346">
        <f>'[16]5'!$F$24</f>
        <v>4.8397760729140007</v>
      </c>
      <c r="O24" s="2343" t="s">
        <v>933</v>
      </c>
      <c r="Q24" s="2319" t="e">
        <f>ROUND(#REF!,0)</f>
        <v>#REF!</v>
      </c>
    </row>
    <row r="25" spans="1:17" ht="33.75" customHeight="1">
      <c r="A25" s="2339">
        <v>14</v>
      </c>
      <c r="B25" s="2341" t="s">
        <v>934</v>
      </c>
      <c r="C25" s="2346">
        <f>'[11]5'!$D$25</f>
        <v>0.4</v>
      </c>
      <c r="D25" s="2346">
        <f>'[11]5'!$F$25</f>
        <v>0.4</v>
      </c>
      <c r="E25" s="2346">
        <f>'[12]5'!$D$25</f>
        <v>0.4</v>
      </c>
      <c r="F25" s="2346">
        <f>'[12]5'!$F$25</f>
        <v>0.4</v>
      </c>
      <c r="G25" s="2346">
        <f>'[13]5'!$D$25</f>
        <v>0.4</v>
      </c>
      <c r="H25" s="2346">
        <f>'[13]5'!$F$25</f>
        <v>0.4</v>
      </c>
      <c r="I25" s="2346">
        <f>'[14]5'!$D$25</f>
        <v>0.5</v>
      </c>
      <c r="J25" s="2346">
        <f>'[14]5'!$F$25</f>
        <v>0.3</v>
      </c>
      <c r="K25" s="2346">
        <f>'[15]5'!$D$25</f>
        <v>0.4</v>
      </c>
      <c r="L25" s="2346">
        <f>'[15]5'!$F$25</f>
        <v>0.3</v>
      </c>
      <c r="M25" s="2346">
        <f>'[16]5'!$D$25</f>
        <v>0.3</v>
      </c>
      <c r="N25" s="2346">
        <f>'[16]5'!$F$25</f>
        <v>0.3</v>
      </c>
      <c r="O25" s="2343" t="s">
        <v>935</v>
      </c>
      <c r="Q25" s="2319" t="e">
        <f>ROUND(#REF!,0)</f>
        <v>#REF!</v>
      </c>
    </row>
    <row r="26" spans="1:17" ht="33.75" customHeight="1">
      <c r="A26" s="2339">
        <v>15</v>
      </c>
      <c r="B26" s="2341" t="s">
        <v>936</v>
      </c>
      <c r="C26" s="2346">
        <f>'[11]5'!$D$26</f>
        <v>30.45</v>
      </c>
      <c r="D26" s="2346">
        <f>'[11]5'!$F$26</f>
        <v>0</v>
      </c>
      <c r="E26" s="2346">
        <f>'[12]5'!$D$26</f>
        <v>36.200000000000003</v>
      </c>
      <c r="F26" s="2346">
        <f>'[12]5'!$F$26</f>
        <v>0</v>
      </c>
      <c r="G26" s="2346">
        <f>'[13]5'!$D$26</f>
        <v>36.07</v>
      </c>
      <c r="H26" s="2346">
        <f>'[13]5'!$F$26</f>
        <v>0</v>
      </c>
      <c r="I26" s="2346">
        <f>'[14]5'!$D$26</f>
        <v>36.03</v>
      </c>
      <c r="J26" s="2346">
        <f>'[14]5'!$F$26</f>
        <v>0</v>
      </c>
      <c r="K26" s="2346">
        <f>'[15]5'!$D$26</f>
        <v>36.119999999999997</v>
      </c>
      <c r="L26" s="2346">
        <f>'[15]5'!$F$26</f>
        <v>0</v>
      </c>
      <c r="M26" s="2346">
        <f>'[16]5'!$D$26</f>
        <v>36.03</v>
      </c>
      <c r="N26" s="2346">
        <f>'[16]5'!$F$26</f>
        <v>0</v>
      </c>
      <c r="O26" s="2343" t="s">
        <v>937</v>
      </c>
      <c r="Q26" s="2319" t="e">
        <f>ROUND(#REF!,0)</f>
        <v>#REF!</v>
      </c>
    </row>
    <row r="27" spans="1:17" ht="21" customHeight="1">
      <c r="A27" s="2339">
        <v>16</v>
      </c>
      <c r="B27" s="2341" t="s">
        <v>938</v>
      </c>
      <c r="C27" s="2346">
        <f>'[11]5'!$D$27</f>
        <v>24.875300998</v>
      </c>
      <c r="D27" s="2346">
        <f>'[11]5'!$F$27</f>
        <v>2.5258815930000003</v>
      </c>
      <c r="E27" s="2346">
        <f>'[12]5'!$D$27</f>
        <v>25.883346200999995</v>
      </c>
      <c r="F27" s="2346">
        <f>'[12]5'!$F$27</f>
        <v>1.7626758580000002</v>
      </c>
      <c r="G27" s="2346">
        <f>'[13]5'!$D$27</f>
        <v>25.823773007000003</v>
      </c>
      <c r="H27" s="2346">
        <f>'[13]5'!$F$27</f>
        <v>1.7288554009999999</v>
      </c>
      <c r="I27" s="2346">
        <f>'[14]5'!$D$27</f>
        <v>29.246413539999985</v>
      </c>
      <c r="J27" s="2346">
        <f>'[14]5'!$F$27</f>
        <v>1.2194730479999998</v>
      </c>
      <c r="K27" s="2346">
        <f>'[15]5'!$D$27</f>
        <v>31.253795707999998</v>
      </c>
      <c r="L27" s="2346">
        <f>'[15]5'!$F$27</f>
        <v>1.2207807679999998</v>
      </c>
      <c r="M27" s="2346">
        <f>'[16]5'!$D$27</f>
        <v>32.731969644999992</v>
      </c>
      <c r="N27" s="2346">
        <f>'[16]5'!$F$27</f>
        <v>1.1580783659999998</v>
      </c>
      <c r="O27" s="2344" t="s">
        <v>939</v>
      </c>
      <c r="Q27" s="2319" t="e">
        <f>ROUND(#REF!,0)</f>
        <v>#REF!</v>
      </c>
    </row>
    <row r="28" spans="1:17" ht="21" customHeight="1">
      <c r="A28" s="2339">
        <v>17</v>
      </c>
      <c r="B28" s="2341" t="s">
        <v>940</v>
      </c>
      <c r="C28" s="2346">
        <f>'[11]5'!$D$28</f>
        <v>41.156012923399999</v>
      </c>
      <c r="D28" s="2346">
        <f>'[11]5'!$F$28</f>
        <v>1.6977093649999999</v>
      </c>
      <c r="E28" s="2346">
        <f>'[12]5'!$D$28</f>
        <v>41.465764608400001</v>
      </c>
      <c r="F28" s="2346">
        <f>'[12]5'!$F$28</f>
        <v>1.6693735940000001</v>
      </c>
      <c r="G28" s="2346">
        <f>'[13]5'!$D$28</f>
        <v>41.394033702400009</v>
      </c>
      <c r="H28" s="2346">
        <f>'[13]5'!$F$28</f>
        <v>2.2316378229999998</v>
      </c>
      <c r="I28" s="2346">
        <f>'[14]5'!$D$28</f>
        <v>41.179281597199996</v>
      </c>
      <c r="J28" s="2346">
        <f>'[14]5'!$F$28</f>
        <v>2.1972792079999999</v>
      </c>
      <c r="K28" s="2346">
        <f>'[15]5'!$D$28</f>
        <v>41.528373451199997</v>
      </c>
      <c r="L28" s="2346">
        <f>'[15]5'!$F$28</f>
        <v>2.0629205929999999</v>
      </c>
      <c r="M28" s="2346">
        <f>'[16]5'!$D$28</f>
        <v>44.113545838199997</v>
      </c>
      <c r="N28" s="2346">
        <f>'[16]5'!$F$28</f>
        <v>2.2265387240000001</v>
      </c>
      <c r="O28" s="2343" t="s">
        <v>941</v>
      </c>
      <c r="Q28" s="2319" t="e">
        <f>ROUND(#REF!,0)</f>
        <v>#REF!</v>
      </c>
    </row>
    <row r="29" spans="1:17" ht="21" customHeight="1">
      <c r="A29" s="2339">
        <v>18</v>
      </c>
      <c r="B29" s="2341" t="s">
        <v>942</v>
      </c>
      <c r="C29" s="2346">
        <f>'[11]5'!$D$29</f>
        <v>8.6421845969729549</v>
      </c>
      <c r="D29" s="2346">
        <f>'[11]5'!$F$29</f>
        <v>7.0961765749999994</v>
      </c>
      <c r="E29" s="2346">
        <f>'[12]5'!$D$29</f>
        <v>8.8275620232021357</v>
      </c>
      <c r="F29" s="2346">
        <f>'[12]5'!$F$29</f>
        <v>7.1450253930000009</v>
      </c>
      <c r="G29" s="2346">
        <f>'[13]5'!$D$29</f>
        <v>8.7706346337326266</v>
      </c>
      <c r="H29" s="2346">
        <f>'[13]5'!$F$29</f>
        <v>7.1892028149999998</v>
      </c>
      <c r="I29" s="2346">
        <f>'[14]5'!$D$29</f>
        <v>10.409999442041508</v>
      </c>
      <c r="J29" s="2346">
        <f>'[14]5'!$F$29</f>
        <v>7.2383148410000011</v>
      </c>
      <c r="K29" s="2346">
        <f>'[15]5'!$D$29</f>
        <v>8.5548103650001543</v>
      </c>
      <c r="L29" s="2346">
        <f>'[15]5'!$F$29</f>
        <v>7.2871661660000004</v>
      </c>
      <c r="M29" s="2346">
        <f>'[16]5'!$D$29</f>
        <v>10.496179174716726</v>
      </c>
      <c r="N29" s="2346">
        <f>'[16]5'!$F$29</f>
        <v>7.3375826550000021</v>
      </c>
      <c r="O29" s="2343" t="s">
        <v>943</v>
      </c>
      <c r="Q29" s="2319" t="e">
        <f>ROUND(#REF!,0)</f>
        <v>#REF!</v>
      </c>
    </row>
    <row r="30" spans="1:17" ht="21" customHeight="1">
      <c r="A30" s="2339">
        <v>19</v>
      </c>
      <c r="B30" s="2341" t="s">
        <v>944</v>
      </c>
      <c r="C30" s="2346">
        <f>'[11]5'!$D$30</f>
        <v>863.27184957659392</v>
      </c>
      <c r="D30" s="2346">
        <f>'[11]5'!$F$30</f>
        <v>154.0629307190035</v>
      </c>
      <c r="E30" s="2347">
        <f>'[12]5'!$D$30+0.02</f>
        <v>815.16498069854947</v>
      </c>
      <c r="F30" s="2346">
        <f>'[12]5'!$F$30</f>
        <v>119.57929530899696</v>
      </c>
      <c r="G30" s="2346">
        <f>'[13]5'!$D$30</f>
        <v>838.38719872248134</v>
      </c>
      <c r="H30" s="2346">
        <f>'[13]5'!$F$30</f>
        <v>121.9487038903449</v>
      </c>
      <c r="I30" s="2346">
        <f>'[14]5'!$D$30</f>
        <v>833.65916223901081</v>
      </c>
      <c r="J30" s="2347">
        <f>'[14]5'!$F$30-0.01</f>
        <v>114.44337119808004</v>
      </c>
      <c r="K30" s="2346">
        <f>'[15]5'!$D$30</f>
        <v>831.34941328866364</v>
      </c>
      <c r="L30" s="2347">
        <f>'[15]5'!$F$30+0.1</f>
        <v>111.44882483357284</v>
      </c>
      <c r="M30" s="2346">
        <f>'[16]5'!$D$30</f>
        <v>813.62837196443206</v>
      </c>
      <c r="N30" s="2347">
        <f>'[16]5'!$F$30+0.1</f>
        <v>110.19131285896538</v>
      </c>
      <c r="O30" s="2343" t="s">
        <v>945</v>
      </c>
      <c r="Q30" s="2319" t="e">
        <f>ROUND(#REF!,0)</f>
        <v>#REF!</v>
      </c>
    </row>
    <row r="31" spans="1:17" ht="62">
      <c r="A31" s="2339">
        <v>20</v>
      </c>
      <c r="B31" s="2341" t="s">
        <v>946</v>
      </c>
      <c r="C31" s="2346">
        <f>'[11]5'!$D$31</f>
        <v>24.522895752971554</v>
      </c>
      <c r="D31" s="2346">
        <f>'[11]5'!$F$31</f>
        <v>6.8812835999999877E-2</v>
      </c>
      <c r="E31" s="2346">
        <f>'[12]5'!$D$31</f>
        <v>25.823883478368888</v>
      </c>
      <c r="F31" s="2346">
        <f>'[12]5'!$F$31</f>
        <v>6.9159479999999954E-2</v>
      </c>
      <c r="G31" s="2346">
        <f>'[13]5'!$D$31</f>
        <v>24.317988979738207</v>
      </c>
      <c r="H31" s="2346">
        <f>'[13]5'!$F$31</f>
        <v>6.9104371999999942E-2</v>
      </c>
      <c r="I31" s="2346">
        <f>'[14]5'!$D$31</f>
        <v>24.663279123203651</v>
      </c>
      <c r="J31" s="2346">
        <f>'[14]5'!$F$31</f>
        <v>6.8937529999999914E-2</v>
      </c>
      <c r="K31" s="2346">
        <f>'[15]5'!$D$31</f>
        <v>24.866912726418658</v>
      </c>
      <c r="L31" s="2346">
        <f>'[15]5'!$F$31</f>
        <v>8.4942875999999903E-2</v>
      </c>
      <c r="M31" s="2346">
        <f>'[16]5'!$D$31</f>
        <v>25.269016308680445</v>
      </c>
      <c r="N31" s="2346">
        <f>'[16]5'!$F$31</f>
        <v>9.1624814999999915E-2</v>
      </c>
      <c r="O31" s="2344" t="s">
        <v>947</v>
      </c>
      <c r="Q31" s="2319" t="e">
        <f>ROUND(#REF!,0)</f>
        <v>#REF!</v>
      </c>
    </row>
    <row r="32" spans="1:17" ht="33.75" customHeight="1">
      <c r="A32" s="2339">
        <v>21</v>
      </c>
      <c r="B32" s="2341" t="s">
        <v>948</v>
      </c>
      <c r="C32" s="2346">
        <f>'[11]5'!$D$32</f>
        <v>0</v>
      </c>
      <c r="D32" s="2346">
        <f>'[11]5'!$F$32</f>
        <v>0</v>
      </c>
      <c r="E32" s="2346">
        <f>'[12]5'!$D$32</f>
        <v>0</v>
      </c>
      <c r="F32" s="2346">
        <f>'[12]5'!$F$32</f>
        <v>0</v>
      </c>
      <c r="G32" s="2346">
        <f>'[13]5'!$D$32</f>
        <v>0</v>
      </c>
      <c r="H32" s="2346">
        <f>'[13]5'!$F$32</f>
        <v>0</v>
      </c>
      <c r="I32" s="2346">
        <f>'[14]5'!$D$32</f>
        <v>0</v>
      </c>
      <c r="J32" s="2346">
        <f>'[14]5'!$F$32</f>
        <v>0</v>
      </c>
      <c r="K32" s="2346">
        <f>'[15]5'!$D$32</f>
        <v>0</v>
      </c>
      <c r="L32" s="2346">
        <f>'[15]5'!$F$32</f>
        <v>0</v>
      </c>
      <c r="M32" s="2346">
        <f>'[16]5'!$D$32</f>
        <v>0</v>
      </c>
      <c r="N32" s="2346">
        <f>'[16]5'!$F$32</f>
        <v>0</v>
      </c>
      <c r="O32" s="2343" t="s">
        <v>949</v>
      </c>
      <c r="Q32" s="2319" t="e">
        <f>ROUND(#REF!,0)</f>
        <v>#REF!</v>
      </c>
    </row>
    <row r="33" spans="1:17" s="2313" customFormat="1" ht="31.5" customHeight="1">
      <c r="A33" s="2320"/>
      <c r="B33" s="2321" t="s">
        <v>400</v>
      </c>
      <c r="C33" s="2494">
        <f>'[11]5'!$D$11+0.01</f>
        <v>5276.1555041732627</v>
      </c>
      <c r="D33" s="2494">
        <f>'[11]5'!$F$11+0.02</f>
        <v>538.1590676154716</v>
      </c>
      <c r="E33" s="2331">
        <f>'[12]5'!$D$11</f>
        <v>5108.6643434659436</v>
      </c>
      <c r="F33" s="2494">
        <f>'[12]5'!$F$11+0.08</f>
        <v>467.25950537393243</v>
      </c>
      <c r="G33" s="2331">
        <f>'[13]5'!$D$11</f>
        <v>5075.9196525177776</v>
      </c>
      <c r="H33" s="2331">
        <f>'[13]5'!$F$11</f>
        <v>466.87736050581231</v>
      </c>
      <c r="I33" s="2331">
        <f>'[14]5'!$D$11</f>
        <v>5343.8891406394723</v>
      </c>
      <c r="J33" s="2331">
        <f>'[14]5'!$F$11</f>
        <v>462.14933301688632</v>
      </c>
      <c r="K33" s="2331">
        <f>'[15]5'!$D$11</f>
        <v>5481.6750776174067</v>
      </c>
      <c r="L33" s="2331">
        <f>'[15]5'!$F$11</f>
        <v>451.69885835223437</v>
      </c>
      <c r="M33" s="2494">
        <f>'[16]5'!$D$11+0.01</f>
        <v>5424.3590585852253</v>
      </c>
      <c r="N33" s="2331">
        <f>'[16]5'!$F$11</f>
        <v>452.70808265629029</v>
      </c>
      <c r="O33" s="2322" t="s">
        <v>390</v>
      </c>
      <c r="Q33" s="2319" t="e">
        <f>ROUND(#REF!,0)</f>
        <v>#REF!</v>
      </c>
    </row>
    <row r="34" spans="1:17" ht="27.75" customHeight="1">
      <c r="A34" s="1262" t="s">
        <v>950</v>
      </c>
      <c r="B34" s="2324"/>
      <c r="C34" s="2325"/>
      <c r="D34" s="2325"/>
      <c r="E34" s="2325"/>
      <c r="F34" s="2325"/>
      <c r="G34" s="2325"/>
      <c r="H34" s="2325"/>
      <c r="I34" s="2325"/>
      <c r="J34" s="2325"/>
      <c r="K34" s="2325"/>
      <c r="L34" s="2325"/>
      <c r="M34" s="2325"/>
      <c r="N34" s="2325"/>
      <c r="O34" s="2348" t="s">
        <v>951</v>
      </c>
    </row>
    <row r="35" spans="1:17" ht="17.5">
      <c r="A35" s="2323"/>
      <c r="B35" s="2324"/>
      <c r="C35" s="2325"/>
      <c r="D35" s="2325"/>
      <c r="E35" s="2325"/>
      <c r="F35" s="2325"/>
      <c r="G35" s="2325"/>
      <c r="H35" s="2325"/>
      <c r="I35" s="2325"/>
      <c r="J35" s="2325"/>
      <c r="K35" s="2325"/>
      <c r="L35" s="2325"/>
      <c r="M35" s="2325"/>
      <c r="N35" s="2325"/>
      <c r="O35" s="2326"/>
    </row>
    <row r="36" spans="1:17">
      <c r="A36" s="2327"/>
      <c r="B36" s="2327"/>
      <c r="C36" s="2327"/>
      <c r="D36" s="2327"/>
      <c r="E36" s="2327"/>
      <c r="F36" s="2327"/>
      <c r="G36" s="2327"/>
      <c r="H36" s="2327"/>
      <c r="I36" s="2327"/>
      <c r="J36" s="2327"/>
      <c r="K36" s="2327"/>
      <c r="L36" s="2327"/>
      <c r="M36" s="2327"/>
      <c r="N36" s="2327"/>
    </row>
    <row r="37" spans="1:17" ht="20" customHeight="1">
      <c r="A37" s="2639" t="s">
        <v>952</v>
      </c>
      <c r="B37" s="2639"/>
      <c r="C37" s="2639"/>
      <c r="D37" s="2639"/>
      <c r="E37" s="2639"/>
      <c r="F37" s="2639"/>
      <c r="G37" s="2639"/>
      <c r="H37" s="2639"/>
      <c r="I37" s="2639"/>
      <c r="J37" s="2639"/>
      <c r="K37" s="2639"/>
      <c r="L37" s="2639"/>
      <c r="M37" s="2639"/>
      <c r="N37" s="2639"/>
      <c r="O37" s="2639"/>
    </row>
    <row r="38" spans="1:17">
      <c r="C38" s="2328">
        <f t="shared" ref="C38:F38" si="0">ROUND(C33,1)-ROUND(C12,1)-ROUND(C13,1)-ROUND(C14,1)-ROUND(C15,1)-ROUND(C16,1)-ROUND(C17,1)-ROUND(C18,1)-ROUND(C19,1)-ROUND(C20,1)-ROUND(C21,1)-ROUND(C22,1)-ROUND(C23,1)-ROUND(C24,1)-ROUND(C25,1)-ROUND(C26,1)-ROUND(C27,1)-ROUND(C28,1)-ROUND(C29,1)-ROUND(C30,1)-ROUND(C31,1)-ROUND(C32,1)</f>
        <v>-2.2737367544323206E-13</v>
      </c>
      <c r="D38" s="2328">
        <f t="shared" si="0"/>
        <v>1.6484036358122012E-13</v>
      </c>
      <c r="E38" s="2328">
        <f t="shared" si="0"/>
        <v>-3.872457909892546E-13</v>
      </c>
      <c r="F38" s="2328">
        <f t="shared" si="0"/>
        <v>3.6942671144402084E-14</v>
      </c>
      <c r="G38" s="2328">
        <f t="shared" ref="G38:H38" si="1">ROUND(G33,1)-ROUND(G12,1)-ROUND(G13,1)-ROUND(G14,1)-ROUND(G15,1)-ROUND(G16,1)-ROUND(G17,1)-ROUND(G18,1)-ROUND(G19,1)-ROUND(G20,1)-ROUND(G21,1)-ROUND(G22,1)-ROUND(G23,1)-ROUND(G24,1)-ROUND(G25,1)-ROUND(G26,1)-ROUND(G27,1)-ROUND(G28,1)-ROUND(G29,1)-ROUND(G30,1)-ROUND(G31,1)-ROUND(G32,1)</f>
        <v>-6.1461946643248666E-13</v>
      </c>
      <c r="H38" s="2328">
        <f t="shared" si="1"/>
        <v>6.5364380574806091E-14</v>
      </c>
      <c r="I38" s="2328">
        <f t="shared" ref="I38:J38" si="2">ROUND(I33,1)-ROUND(I12,1)-ROUND(I13,1)-ROUND(I14,1)-ROUND(I15,1)-ROUND(I16,1)-ROUND(I17,1)-ROUND(I18,1)-ROUND(I19,1)-ROUND(I20,1)-ROUND(I21,1)-ROUND(I22,1)-ROUND(I23,1)-ROUND(I24,1)-ROUND(I25,1)-ROUND(I26,1)-ROUND(I27,1)-ROUND(I28,1)-ROUND(I29,1)-ROUND(I30,1)-ROUND(I31,1)-ROUND(I32,1)</f>
        <v>-2.9487523534044158E-13</v>
      </c>
      <c r="J38" s="2328">
        <f t="shared" si="2"/>
        <v>-1.9900747716405931E-14</v>
      </c>
      <c r="K38" s="2328">
        <f t="shared" ref="K38:L38" si="3">ROUND(K33,1)-ROUND(K12,1)-ROUND(K13,1)-ROUND(K14,1)-ROUND(K15,1)-ROUND(K16,1)-ROUND(K17,1)-ROUND(K18,1)-ROUND(K19,1)-ROUND(K20,1)-ROUND(K21,1)-ROUND(K22,1)-ROUND(K23,1)-ROUND(K24,1)-ROUND(K25,1)-ROUND(K26,1)-ROUND(K27,1)-ROUND(K28,1)-ROUND(K29,1)-ROUND(K30,1)-ROUND(K31,1)-ROUND(K32,1)</f>
        <v>5.4711790653527714E-13</v>
      </c>
      <c r="L38" s="2328">
        <f t="shared" si="3"/>
        <v>2.273181642920008E-14</v>
      </c>
      <c r="M38" s="2328">
        <f t="shared" ref="M38:N38" si="4">ROUND(M33,1)-ROUND(M12,1)-ROUND(M13,1)-ROUND(M14,1)-ROUND(M15,1)-ROUND(M16,1)-ROUND(M17,1)-ROUND(M18,1)-ROUND(M19,1)-ROUND(M20,1)-ROUND(M21,1)-ROUND(M22,1)-ROUND(M23,1)-ROUND(M24,1)-ROUND(M25,1)-ROUND(M26,1)-ROUND(M27,1)-ROUND(M28,1)-ROUND(M29,1)-ROUND(M30,1)-ROUND(M31,1)-ROUND(M32,1)</f>
        <v>-6.1461946643248666E-13</v>
      </c>
      <c r="N38" s="2328">
        <f t="shared" si="4"/>
        <v>-9.095502129241595E-14</v>
      </c>
    </row>
    <row r="39" spans="1:17">
      <c r="C39" s="2328"/>
      <c r="D39" s="2328"/>
      <c r="E39" s="2328"/>
      <c r="F39" s="2328"/>
      <c r="G39" s="2328"/>
      <c r="H39" s="2328"/>
      <c r="I39" s="2328"/>
      <c r="J39" s="2328"/>
      <c r="K39" s="2328"/>
      <c r="L39" s="2328"/>
      <c r="M39" s="2328"/>
      <c r="N39" s="2328"/>
    </row>
    <row r="41" spans="1:17">
      <c r="C41" s="2329"/>
      <c r="D41" s="2329"/>
      <c r="E41" s="2329"/>
      <c r="F41" s="2329"/>
      <c r="G41" s="2329"/>
      <c r="H41" s="2329"/>
      <c r="I41" s="2329"/>
      <c r="J41" s="2329"/>
      <c r="K41" s="2329"/>
      <c r="L41" s="2329"/>
      <c r="M41" s="2329"/>
      <c r="N41" s="2329"/>
      <c r="O41" s="2329"/>
    </row>
  </sheetData>
  <mergeCells count="10">
    <mergeCell ref="A37:O37"/>
    <mergeCell ref="A8:A11"/>
    <mergeCell ref="B8:B11"/>
    <mergeCell ref="O8:O11"/>
    <mergeCell ref="C9:D9"/>
    <mergeCell ref="E9:F9"/>
    <mergeCell ref="G9:H9"/>
    <mergeCell ref="I9:J9"/>
    <mergeCell ref="K9:L9"/>
    <mergeCell ref="M9:N9"/>
  </mergeCells>
  <printOptions horizontalCentered="1"/>
  <pageMargins left="0.25" right="0.25" top="0.75" bottom="0.75" header="0.3" footer="0.3"/>
  <pageSetup paperSize="9" scale="52"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pageSetUpPr fitToPage="1"/>
  </sheetPr>
  <dimension ref="A1:E44"/>
  <sheetViews>
    <sheetView zoomScale="80" zoomScaleNormal="80" workbookViewId="0">
      <pane ySplit="8" topLeftCell="A33" activePane="bottomLeft" state="frozen"/>
      <selection activeCell="B9" sqref="B9"/>
      <selection pane="bottomLeft" activeCell="A42" sqref="A42"/>
    </sheetView>
  </sheetViews>
  <sheetFormatPr defaultColWidth="19.7265625" defaultRowHeight="15.5"/>
  <cols>
    <col min="1" max="2" width="9.26953125" style="1104" customWidth="1"/>
    <col min="3" max="5" width="33.7265625" style="1104" customWidth="1"/>
    <col min="6" max="219" width="7.81640625" style="1104" customWidth="1"/>
    <col min="220" max="221" width="9.26953125" style="1104" customWidth="1"/>
    <col min="222" max="16384" width="19.7265625" style="1104"/>
  </cols>
  <sheetData>
    <row r="1" spans="1:5" s="1083" customFormat="1" ht="18">
      <c r="A1" s="1073" t="s">
        <v>953</v>
      </c>
      <c r="B1" s="1458"/>
      <c r="C1" s="1458"/>
      <c r="D1" s="1458"/>
      <c r="E1" s="1458"/>
    </row>
    <row r="2" spans="1:5" s="915" customFormat="1" ht="21.25" customHeight="1">
      <c r="A2" s="1036" t="s">
        <v>954</v>
      </c>
      <c r="B2" s="1114"/>
      <c r="C2" s="1114"/>
      <c r="D2" s="1114"/>
      <c r="E2" s="1114"/>
    </row>
    <row r="3" spans="1:5" s="915" customFormat="1" ht="21.25" customHeight="1">
      <c r="A3" s="1036" t="s">
        <v>955</v>
      </c>
      <c r="B3" s="1114"/>
      <c r="C3" s="1114"/>
      <c r="D3" s="1114"/>
      <c r="E3" s="1114"/>
    </row>
    <row r="4" spans="1:5" s="915" customFormat="1" ht="18">
      <c r="A4" s="1091" t="s">
        <v>956</v>
      </c>
      <c r="B4" s="1114"/>
      <c r="C4" s="1114"/>
      <c r="D4" s="1114"/>
      <c r="E4" s="1114"/>
    </row>
    <row r="5" spans="1:5" s="915" customFormat="1" ht="18">
      <c r="A5" s="1091" t="s">
        <v>957</v>
      </c>
      <c r="B5" s="1114"/>
      <c r="C5" s="1114"/>
      <c r="D5" s="1114"/>
      <c r="E5" s="1114"/>
    </row>
    <row r="6" spans="1:5" s="1088" customFormat="1">
      <c r="A6" s="1449" t="s">
        <v>377</v>
      </c>
      <c r="C6" s="1408"/>
      <c r="D6" s="1409"/>
      <c r="E6" s="1450" t="s">
        <v>378</v>
      </c>
    </row>
    <row r="7" spans="1:5" s="1412" customFormat="1" ht="22.75" customHeight="1">
      <c r="A7" s="1451" t="s">
        <v>387</v>
      </c>
      <c r="B7" s="1452"/>
      <c r="C7" s="1411" t="s">
        <v>441</v>
      </c>
      <c r="D7" s="1411" t="s">
        <v>958</v>
      </c>
      <c r="E7" s="1410" t="s">
        <v>390</v>
      </c>
    </row>
    <row r="8" spans="1:5" s="1412" customFormat="1" ht="22.75" customHeight="1">
      <c r="A8" s="2299" t="s">
        <v>395</v>
      </c>
      <c r="B8" s="2122"/>
      <c r="C8" s="2123" t="s">
        <v>413</v>
      </c>
      <c r="D8" s="2124" t="s">
        <v>959</v>
      </c>
      <c r="E8" s="2123" t="s">
        <v>400</v>
      </c>
    </row>
    <row r="9" spans="1:5" s="1158" customFormat="1" ht="20.25" customHeight="1">
      <c r="A9" s="884">
        <v>2018</v>
      </c>
      <c r="B9" s="916" t="s">
        <v>242</v>
      </c>
      <c r="C9" s="1454">
        <v>8986.7775897897918</v>
      </c>
      <c r="D9" s="1454">
        <f>[36]Loans!D29</f>
        <v>455.50196</v>
      </c>
      <c r="E9" s="1505">
        <f>SUM(C9:D9)</f>
        <v>9442.2795497897914</v>
      </c>
    </row>
    <row r="10" spans="1:5">
      <c r="A10" s="661"/>
      <c r="B10" s="1453" t="s">
        <v>243</v>
      </c>
      <c r="C10" s="1454">
        <v>9202.3386112149165</v>
      </c>
      <c r="D10" s="1454">
        <f>[36]Loans!D30</f>
        <v>463.52499999999998</v>
      </c>
      <c r="E10" s="1464">
        <f>SUM(C10:D10)-0.02</f>
        <v>9665.8436112149157</v>
      </c>
    </row>
    <row r="11" spans="1:5">
      <c r="A11" s="661"/>
      <c r="B11" s="1453" t="s">
        <v>240</v>
      </c>
      <c r="C11" s="1454">
        <v>9783.7296130007235</v>
      </c>
      <c r="D11" s="1454">
        <f>[36]Loans!D31</f>
        <v>474.12524999999999</v>
      </c>
      <c r="E11" s="1504">
        <f>SUM(C11:D11)</f>
        <v>10257.854863000723</v>
      </c>
    </row>
    <row r="12" spans="1:5">
      <c r="A12" s="661"/>
      <c r="B12" s="1453" t="s">
        <v>241</v>
      </c>
      <c r="C12" s="1454">
        <v>9519.8911722057455</v>
      </c>
      <c r="D12" s="1454">
        <f>[36]Loans!D32</f>
        <v>480.35700000000003</v>
      </c>
      <c r="E12" s="1464">
        <f>SUM(C12:D12)+0.01</f>
        <v>10000.258172205746</v>
      </c>
    </row>
    <row r="13" spans="1:5" ht="20.25" customHeight="1">
      <c r="A13" s="884">
        <v>2019</v>
      </c>
      <c r="B13" s="916" t="s">
        <v>242</v>
      </c>
      <c r="C13" s="1454">
        <v>9623.1739906865823</v>
      </c>
      <c r="D13" s="1454">
        <f>[36]Loans!D33</f>
        <v>471.315</v>
      </c>
      <c r="E13" s="1455">
        <f>SUM(C13:D13)+0.03</f>
        <v>10094.518990686583</v>
      </c>
    </row>
    <row r="14" spans="1:5" s="1158" customFormat="1" ht="15" customHeight="1">
      <c r="A14" s="884"/>
      <c r="B14" s="916" t="s">
        <v>243</v>
      </c>
      <c r="C14" s="1454">
        <v>9887.3332244197209</v>
      </c>
      <c r="D14" s="1455">
        <v>469.25713807653727</v>
      </c>
      <c r="E14" s="1505">
        <v>10356.590362496258</v>
      </c>
    </row>
    <row r="15" spans="1:5" s="1158" customFormat="1" ht="15" customHeight="1">
      <c r="A15" s="884"/>
      <c r="B15" s="916" t="s">
        <v>240</v>
      </c>
      <c r="C15" s="1454">
        <v>9783.7296130007235</v>
      </c>
      <c r="D15" s="1505">
        <f>[36]Loans!D35</f>
        <v>505.82149599999997</v>
      </c>
      <c r="E15" s="1455">
        <f>SUM(C15:D15)-0.01</f>
        <v>10289.541109000724</v>
      </c>
    </row>
    <row r="16" spans="1:5" s="1158" customFormat="1" ht="15" customHeight="1">
      <c r="A16" s="884"/>
      <c r="B16" s="916" t="s">
        <v>241</v>
      </c>
      <c r="C16" s="1454">
        <v>9736.3989501659489</v>
      </c>
      <c r="D16" s="1505">
        <f>[36]Loans!D36</f>
        <v>508.60300000000001</v>
      </c>
      <c r="E16" s="1455">
        <f>SUM(C16:D16)-0.01</f>
        <v>10244.991950165948</v>
      </c>
    </row>
    <row r="17" spans="1:5" s="1158" customFormat="1" ht="21" customHeight="1">
      <c r="A17" s="884">
        <v>2020</v>
      </c>
      <c r="B17" s="916" t="s">
        <v>242</v>
      </c>
      <c r="C17" s="1454">
        <v>10125.599310966511</v>
      </c>
      <c r="D17" s="1505">
        <f>[36]Loans!D37</f>
        <v>450.98899999999998</v>
      </c>
      <c r="E17" s="1505">
        <f t="shared" ref="E17:E22" si="0">SUM(C17:D17)</f>
        <v>10576.58831096651</v>
      </c>
    </row>
    <row r="18" spans="1:5">
      <c r="A18" s="661"/>
      <c r="B18" s="1453" t="s">
        <v>243</v>
      </c>
      <c r="C18" s="1454">
        <v>10181.708217173877</v>
      </c>
      <c r="D18" s="1454">
        <f>[36]Loans!D38</f>
        <v>420.44170277622788</v>
      </c>
      <c r="E18" s="1504">
        <f t="shared" si="0"/>
        <v>10602.149919950105</v>
      </c>
    </row>
    <row r="19" spans="1:5">
      <c r="A19" s="661"/>
      <c r="B19" s="1453" t="s">
        <v>240</v>
      </c>
      <c r="C19" s="1454">
        <v>10196.731936263444</v>
      </c>
      <c r="D19" s="1454">
        <v>426.11181207388859</v>
      </c>
      <c r="E19" s="1504">
        <v>10622.843748337333</v>
      </c>
    </row>
    <row r="20" spans="1:5">
      <c r="A20" s="661"/>
      <c r="B20" s="1453" t="s">
        <v>241</v>
      </c>
      <c r="C20" s="1454">
        <v>10413.786929066708</v>
      </c>
      <c r="D20" s="1454">
        <v>413.07799999999997</v>
      </c>
      <c r="E20" s="1504">
        <v>10826.864929066707</v>
      </c>
    </row>
    <row r="21" spans="1:5" s="1158" customFormat="1" ht="21" customHeight="1">
      <c r="A21" s="884">
        <v>2021</v>
      </c>
      <c r="B21" s="916" t="s">
        <v>242</v>
      </c>
      <c r="C21" s="1454">
        <v>10556.732305438796</v>
      </c>
      <c r="D21" s="1454">
        <f>[36]Loans!D41</f>
        <v>393.97699999999998</v>
      </c>
      <c r="E21" s="2092">
        <f t="shared" si="0"/>
        <v>10950.709305438797</v>
      </c>
    </row>
    <row r="22" spans="1:5">
      <c r="A22" s="661"/>
      <c r="B22" s="1453" t="s">
        <v>243</v>
      </c>
      <c r="C22" s="1454">
        <v>10718.958351654859</v>
      </c>
      <c r="D22" s="1454">
        <f>[36]Loans!D42</f>
        <v>382.32794491241521</v>
      </c>
      <c r="E22" s="1504">
        <f t="shared" si="0"/>
        <v>11101.286296567274</v>
      </c>
    </row>
    <row r="23" spans="1:5">
      <c r="A23" s="661"/>
      <c r="B23" s="1453" t="s">
        <v>240</v>
      </c>
      <c r="C23" s="1454">
        <v>10730.63662614669</v>
      </c>
      <c r="D23" s="1454">
        <f>[36]Loans!D43</f>
        <v>382.32794491241521</v>
      </c>
      <c r="E23" s="1504">
        <f t="shared" ref="E23" si="1">SUM(C23:D23)</f>
        <v>11112.964571059105</v>
      </c>
    </row>
    <row r="24" spans="1:5">
      <c r="A24" s="661"/>
      <c r="B24" s="1453" t="s">
        <v>241</v>
      </c>
      <c r="C24" s="1454">
        <v>10906.303339064274</v>
      </c>
      <c r="D24" s="1454">
        <v>386.78900323804288</v>
      </c>
      <c r="E24" s="1504">
        <v>11293.092342302318</v>
      </c>
    </row>
    <row r="25" spans="1:5" s="1158" customFormat="1" ht="21" customHeight="1">
      <c r="A25" s="884">
        <v>2022</v>
      </c>
      <c r="B25" s="916" t="s">
        <v>242</v>
      </c>
      <c r="C25" s="1454">
        <v>11072.258362172841</v>
      </c>
      <c r="D25" s="1454">
        <v>387.40363299999996</v>
      </c>
      <c r="E25" s="2092">
        <v>11459.661995172841</v>
      </c>
    </row>
    <row r="26" spans="1:5">
      <c r="A26" s="661"/>
      <c r="B26" s="1453" t="s">
        <v>243</v>
      </c>
      <c r="C26" s="1454">
        <v>11345.7369195418</v>
      </c>
      <c r="D26" s="1454">
        <v>379.14785042841595</v>
      </c>
      <c r="E26" s="2166">
        <v>11724.834769970217</v>
      </c>
    </row>
    <row r="27" spans="1:5">
      <c r="A27" s="661"/>
      <c r="B27" s="1453" t="s">
        <v>240</v>
      </c>
      <c r="C27" s="1454">
        <v>11549.2</v>
      </c>
      <c r="D27" s="1454">
        <f>[36]Loans!D47</f>
        <v>379.860187</v>
      </c>
      <c r="E27" s="2166">
        <f>SUM(C27:D27)+0.02</f>
        <v>11929.080187000001</v>
      </c>
    </row>
    <row r="28" spans="1:5">
      <c r="A28" s="661"/>
      <c r="B28" s="1453" t="s">
        <v>241</v>
      </c>
      <c r="C28" s="1454">
        <v>11298.088209443948</v>
      </c>
      <c r="D28" s="1454">
        <f>[36]Loans!D48</f>
        <v>364.50400000000002</v>
      </c>
      <c r="E28" s="2092">
        <f>SUM(C28:D28)</f>
        <v>11662.592209443948</v>
      </c>
    </row>
    <row r="29" spans="1:5" s="1158" customFormat="1" ht="21" customHeight="1">
      <c r="A29" s="884">
        <v>2023</v>
      </c>
      <c r="B29" s="916" t="s">
        <v>242</v>
      </c>
      <c r="C29" s="1454">
        <v>11552.302462948268</v>
      </c>
      <c r="D29" s="1454">
        <f>[36]Loans!D49</f>
        <v>355.01965300000001</v>
      </c>
      <c r="E29" s="2092">
        <f>SUM(C29:D29)</f>
        <v>11907.322115948267</v>
      </c>
    </row>
    <row r="30" spans="1:5">
      <c r="A30" s="661"/>
      <c r="B30" s="1453" t="s">
        <v>243</v>
      </c>
      <c r="C30" s="1454">
        <v>11634.944942923375</v>
      </c>
      <c r="D30" s="1454">
        <f>[36]Loans!D50</f>
        <v>348.68454988992113</v>
      </c>
      <c r="E30" s="2092">
        <f>SUM(C30:D30)</f>
        <v>11983.629492813297</v>
      </c>
    </row>
    <row r="31" spans="1:5">
      <c r="A31" s="661"/>
      <c r="B31" s="1453" t="s">
        <v>240</v>
      </c>
      <c r="C31" s="1454">
        <v>11597.156394214564</v>
      </c>
      <c r="D31" s="1455">
        <f>[36]Loans!D51-0.01</f>
        <v>342.04247815859799</v>
      </c>
      <c r="E31" s="2092">
        <f>SUM(C31:D31)</f>
        <v>11939.198872373163</v>
      </c>
    </row>
    <row r="32" spans="1:5">
      <c r="A32" s="661"/>
      <c r="B32" s="1453" t="s">
        <v>241</v>
      </c>
      <c r="C32" s="1454">
        <v>11779.271154676429</v>
      </c>
      <c r="D32" s="1454">
        <f>[36]Loans!D52</f>
        <v>318.38389844100004</v>
      </c>
      <c r="E32" s="2092">
        <f>SUM(C32:D32)</f>
        <v>12097.655053117429</v>
      </c>
    </row>
    <row r="33" spans="1:5" s="1158" customFormat="1" ht="21" customHeight="1">
      <c r="A33" s="884">
        <v>2024</v>
      </c>
      <c r="B33" s="916" t="s">
        <v>242</v>
      </c>
      <c r="C33" s="1454">
        <v>12125.640672090414</v>
      </c>
      <c r="D33" s="1454">
        <f>[36]Loans!D53</f>
        <v>315.36582701250637</v>
      </c>
      <c r="E33" s="2092">
        <f t="shared" ref="E33:E38" si="2">SUM(C33:D33)</f>
        <v>12441.006499102921</v>
      </c>
    </row>
    <row r="34" spans="1:5" s="1158" customFormat="1" ht="15" customHeight="1">
      <c r="A34" s="884"/>
      <c r="B34" s="916" t="s">
        <v>243</v>
      </c>
      <c r="C34" s="1454">
        <v>12228.832756745041</v>
      </c>
      <c r="D34" s="1455">
        <f>[36]Loans!D54+0.02</f>
        <v>314.46294499999999</v>
      </c>
      <c r="E34" s="2092">
        <f t="shared" si="2"/>
        <v>12543.295701745041</v>
      </c>
    </row>
    <row r="35" spans="1:5" s="1158" customFormat="1" ht="15" customHeight="1">
      <c r="A35" s="884"/>
      <c r="B35" s="916" t="s">
        <v>240</v>
      </c>
      <c r="C35" s="1454">
        <f>'20'!L24</f>
        <v>12164.677245830258</v>
      </c>
      <c r="D35" s="1454">
        <f>[36]Loans!D55</f>
        <v>326.7894459863391</v>
      </c>
      <c r="E35" s="2092">
        <f t="shared" si="2"/>
        <v>12491.466691816597</v>
      </c>
    </row>
    <row r="36" spans="1:5" s="1158" customFormat="1" ht="15" customHeight="1">
      <c r="A36" s="884"/>
      <c r="B36" s="916" t="s">
        <v>241</v>
      </c>
      <c r="C36" s="1454">
        <f>'20'!L25</f>
        <v>12321.880044577063</v>
      </c>
      <c r="D36" s="1454">
        <f>[36]Loans!D56</f>
        <v>326.63037600000007</v>
      </c>
      <c r="E36" s="2092">
        <f t="shared" si="2"/>
        <v>12648.510420577062</v>
      </c>
    </row>
    <row r="37" spans="1:5" s="1158" customFormat="1" ht="21" customHeight="1">
      <c r="A37" s="884">
        <v>2025</v>
      </c>
      <c r="B37" s="916" t="s">
        <v>242</v>
      </c>
      <c r="C37" s="1454">
        <f>'20'!L26</f>
        <v>12607.389288370905</v>
      </c>
      <c r="D37" s="1454">
        <f>[36]Loans!D57</f>
        <v>319.61998199999999</v>
      </c>
      <c r="E37" s="2092">
        <f t="shared" si="2"/>
        <v>12927.009270370905</v>
      </c>
    </row>
    <row r="38" spans="1:5" s="1158" customFormat="1" ht="15" customHeight="1">
      <c r="A38" s="884"/>
      <c r="B38" s="916" t="s">
        <v>243</v>
      </c>
      <c r="C38" s="1454">
        <f>'20'!L27</f>
        <v>12477.506100759178</v>
      </c>
      <c r="D38" s="1454">
        <f>[36]Loans!D58</f>
        <v>329.09430200000003</v>
      </c>
      <c r="E38" s="2092">
        <f t="shared" si="2"/>
        <v>12806.600402759177</v>
      </c>
    </row>
    <row r="39" spans="1:5" s="1158" customFormat="1" ht="15" customHeight="1">
      <c r="A39" s="884"/>
      <c r="B39" s="916" t="s">
        <v>240</v>
      </c>
      <c r="C39" s="1454">
        <f>'20'!L28</f>
        <v>12746.785557590629</v>
      </c>
      <c r="D39" s="1454">
        <f>[36]Loans!D59</f>
        <v>336.49167999999997</v>
      </c>
      <c r="E39" s="2092">
        <f t="shared" ref="E39:E40" si="3">SUM(C39:D39)</f>
        <v>13083.277237590628</v>
      </c>
    </row>
    <row r="40" spans="1:5" s="1158" customFormat="1" ht="15" customHeight="1">
      <c r="A40" s="884"/>
      <c r="B40" s="916" t="s">
        <v>241</v>
      </c>
      <c r="C40" s="1454">
        <f>'20'!L29</f>
        <v>12974.080110870829</v>
      </c>
      <c r="D40" s="1454">
        <f>[36]Loans!D60</f>
        <v>349.28492999999997</v>
      </c>
      <c r="E40" s="2092">
        <f t="shared" si="3"/>
        <v>13323.365040870829</v>
      </c>
    </row>
    <row r="41" spans="1:5" s="1158" customFormat="1" ht="21" customHeight="1">
      <c r="A41" s="884">
        <v>2026</v>
      </c>
      <c r="B41" s="916" t="s">
        <v>242</v>
      </c>
      <c r="C41" s="1454">
        <f>'20'!L30</f>
        <v>13235.326234715823</v>
      </c>
      <c r="D41" s="1454">
        <f>[36]Loans!D61</f>
        <v>305.99162000000001</v>
      </c>
      <c r="E41" s="2092">
        <f t="shared" ref="E41" si="4">SUM(C41:D41)</f>
        <v>13541.317854715824</v>
      </c>
    </row>
    <row r="42" spans="1:5" ht="8.25" customHeight="1">
      <c r="A42" s="1456"/>
      <c r="B42" s="1456"/>
      <c r="C42" s="1456"/>
      <c r="D42" s="1456"/>
      <c r="E42" s="1457"/>
    </row>
    <row r="43" spans="1:5" ht="15" customHeight="1">
      <c r="D43" s="1413"/>
      <c r="E43" s="1413"/>
    </row>
    <row r="44" spans="1:5" s="18" customFormat="1" ht="14">
      <c r="A44" s="1367" t="s">
        <v>960</v>
      </c>
      <c r="B44" s="269"/>
      <c r="C44" s="269"/>
      <c r="D44" s="269"/>
      <c r="E44" s="269"/>
    </row>
  </sheetData>
  <printOptions horizontalCentered="1"/>
  <pageMargins left="0" right="0" top="0" bottom="0" header="0.3" footer="0.3"/>
  <pageSetup scale="78"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tabColor rgb="FFFF0000"/>
  </sheetPr>
  <dimension ref="A1:V49"/>
  <sheetViews>
    <sheetView zoomScale="80" zoomScaleNormal="80" workbookViewId="0">
      <pane ySplit="12" topLeftCell="A40" activePane="bottomLeft" state="frozen"/>
      <selection activeCell="B44" sqref="B44"/>
      <selection pane="bottomLeft" activeCell="Q43" sqref="Q43"/>
    </sheetView>
  </sheetViews>
  <sheetFormatPr defaultColWidth="9.1796875" defaultRowHeight="12.5"/>
  <cols>
    <col min="1" max="2" width="9.7265625" style="18" customWidth="1"/>
    <col min="3" max="3" width="12.7265625" style="18" customWidth="1"/>
    <col min="4" max="4" width="10.26953125" style="18" customWidth="1"/>
    <col min="5" max="5" width="12.7265625" style="18" customWidth="1"/>
    <col min="6" max="6" width="11.7265625" style="18" customWidth="1"/>
    <col min="7" max="8" width="10.7265625" style="18" customWidth="1"/>
    <col min="9" max="9" width="10.26953125" style="18" customWidth="1"/>
    <col min="10" max="10" width="11.81640625" style="18" customWidth="1"/>
    <col min="11" max="11" width="12.7265625" style="18" customWidth="1"/>
    <col min="12" max="12" width="12.1796875" style="18" customWidth="1"/>
    <col min="13" max="13" width="12.7265625" style="18" customWidth="1"/>
    <col min="14" max="14" width="11.7265625" style="18" customWidth="1"/>
    <col min="15" max="16" width="10.7265625" style="18" customWidth="1"/>
    <col min="17" max="17" width="10.26953125" style="18" customWidth="1"/>
    <col min="18" max="18" width="8.26953125" style="18" customWidth="1"/>
    <col min="19" max="16384" width="9.1796875" style="18"/>
  </cols>
  <sheetData>
    <row r="1" spans="1:22" s="915" customFormat="1" ht="18">
      <c r="A1" s="1091" t="s">
        <v>961</v>
      </c>
      <c r="B1" s="1113"/>
      <c r="C1" s="1113"/>
      <c r="D1" s="1113"/>
      <c r="E1" s="1113"/>
      <c r="F1" s="1113"/>
      <c r="G1" s="1113"/>
      <c r="H1" s="1113"/>
      <c r="I1" s="1113"/>
      <c r="J1" s="1113"/>
      <c r="K1" s="1113"/>
      <c r="L1" s="1113"/>
      <c r="M1" s="1113"/>
      <c r="N1" s="1113"/>
      <c r="O1" s="1113"/>
      <c r="P1" s="1113"/>
      <c r="Q1" s="1113"/>
    </row>
    <row r="2" spans="1:22" s="915" customFormat="1" ht="18">
      <c r="A2" s="1153" t="s">
        <v>962</v>
      </c>
      <c r="B2" s="1113"/>
      <c r="C2" s="1113"/>
      <c r="D2" s="1113"/>
      <c r="E2" s="1113"/>
      <c r="F2" s="1113"/>
      <c r="G2" s="1113"/>
      <c r="H2" s="1113"/>
      <c r="I2" s="1113"/>
      <c r="J2" s="1113"/>
      <c r="K2" s="1113"/>
      <c r="L2" s="1113"/>
      <c r="M2" s="1113"/>
      <c r="N2" s="1113"/>
      <c r="O2" s="1113"/>
      <c r="P2" s="1113"/>
      <c r="Q2" s="1113"/>
    </row>
    <row r="3" spans="1:22" s="915" customFormat="1" ht="18">
      <c r="A3" s="1146" t="s">
        <v>963</v>
      </c>
      <c r="B3" s="1113"/>
      <c r="C3" s="1113"/>
      <c r="D3" s="1113"/>
      <c r="E3" s="1113"/>
      <c r="F3" s="1113"/>
      <c r="G3" s="1113"/>
      <c r="H3" s="1113"/>
      <c r="I3" s="1113"/>
      <c r="J3" s="1113"/>
      <c r="K3" s="1113"/>
      <c r="L3" s="1113"/>
      <c r="M3" s="1113"/>
      <c r="N3" s="1113"/>
      <c r="O3" s="1114"/>
      <c r="P3" s="1113"/>
      <c r="Q3" s="1113"/>
    </row>
    <row r="4" spans="1:22" s="889" customFormat="1" ht="14">
      <c r="A4" s="1149" t="s">
        <v>377</v>
      </c>
      <c r="B4" s="1150"/>
      <c r="C4" s="1151"/>
      <c r="D4" s="1151"/>
      <c r="E4" s="1151"/>
      <c r="F4" s="1151"/>
      <c r="G4" s="1151"/>
      <c r="H4" s="1151"/>
      <c r="I4" s="1151"/>
      <c r="J4" s="1151"/>
      <c r="K4" s="1151"/>
      <c r="L4" s="1151"/>
      <c r="Q4" s="1152" t="s">
        <v>378</v>
      </c>
    </row>
    <row r="5" spans="1:22" s="889" customFormat="1" ht="14" hidden="1">
      <c r="A5" s="1149"/>
      <c r="B5" s="1150"/>
      <c r="C5" s="1151"/>
      <c r="D5" s="1151"/>
      <c r="E5" s="1151"/>
      <c r="F5" s="1151"/>
      <c r="G5" s="1151"/>
      <c r="H5" s="1151"/>
      <c r="I5" s="1151"/>
      <c r="J5" s="1151"/>
      <c r="K5" s="1151"/>
      <c r="L5" s="1151"/>
      <c r="Q5" s="1152"/>
    </row>
    <row r="6" spans="1:22" s="483" customFormat="1" ht="14" hidden="1">
      <c r="A6" s="626"/>
      <c r="B6" s="627"/>
      <c r="C6" s="628"/>
      <c r="D6" s="628"/>
      <c r="E6" s="628"/>
      <c r="F6" s="628"/>
      <c r="G6" s="628"/>
      <c r="H6" s="628"/>
      <c r="I6" s="628"/>
      <c r="J6" s="628"/>
      <c r="K6" s="628"/>
      <c r="L6" s="628"/>
      <c r="Q6" s="629"/>
    </row>
    <row r="7" spans="1:22" s="889" customFormat="1" ht="14" hidden="1">
      <c r="A7" s="1149"/>
      <c r="B7" s="1150"/>
      <c r="C7" s="1151"/>
      <c r="D7" s="1151"/>
      <c r="E7" s="1151"/>
      <c r="F7" s="1151"/>
      <c r="G7" s="1151"/>
      <c r="H7" s="1151"/>
      <c r="I7" s="1151"/>
      <c r="J7" s="1151"/>
      <c r="K7" s="1151"/>
      <c r="L7" s="1151"/>
      <c r="Q7" s="1152"/>
    </row>
    <row r="8" spans="1:22" s="166" customFormat="1" ht="23.9" customHeight="1">
      <c r="A8" s="176"/>
      <c r="B8" s="164"/>
      <c r="C8" s="630" t="s">
        <v>379</v>
      </c>
      <c r="D8" s="179"/>
      <c r="E8" s="186"/>
      <c r="F8" s="186"/>
      <c r="G8" s="186"/>
      <c r="H8" s="165"/>
      <c r="I8" s="631" t="s">
        <v>380</v>
      </c>
      <c r="J8" s="632"/>
      <c r="K8" s="630" t="s">
        <v>381</v>
      </c>
      <c r="L8" s="179"/>
      <c r="M8" s="186"/>
      <c r="N8" s="186"/>
      <c r="O8" s="186"/>
      <c r="P8" s="165"/>
      <c r="Q8" s="633" t="s">
        <v>382</v>
      </c>
    </row>
    <row r="9" spans="1:22" s="181" customFormat="1" ht="18" customHeight="1">
      <c r="A9" s="180"/>
      <c r="C9" s="196" t="s">
        <v>806</v>
      </c>
      <c r="D9" s="187" t="s">
        <v>964</v>
      </c>
      <c r="E9" s="182" t="s">
        <v>965</v>
      </c>
      <c r="F9" s="171"/>
      <c r="G9" s="182"/>
      <c r="H9" s="171"/>
      <c r="I9" s="182"/>
      <c r="J9" s="198"/>
      <c r="K9" s="187" t="s">
        <v>806</v>
      </c>
      <c r="L9" s="187" t="s">
        <v>964</v>
      </c>
      <c r="M9" s="182" t="s">
        <v>965</v>
      </c>
      <c r="N9" s="171"/>
      <c r="O9" s="182"/>
      <c r="P9" s="171"/>
      <c r="Q9" s="182"/>
    </row>
    <row r="10" spans="1:22" s="181" customFormat="1" ht="18" customHeight="1">
      <c r="A10" s="168" t="s">
        <v>387</v>
      </c>
      <c r="B10" s="170"/>
      <c r="C10" s="187" t="s">
        <v>966</v>
      </c>
      <c r="D10" s="187" t="s">
        <v>967</v>
      </c>
      <c r="E10" s="182" t="s">
        <v>511</v>
      </c>
      <c r="F10" s="167" t="s">
        <v>968</v>
      </c>
      <c r="G10" s="182" t="s">
        <v>969</v>
      </c>
      <c r="H10" s="182" t="s">
        <v>970</v>
      </c>
      <c r="I10" s="182" t="s">
        <v>399</v>
      </c>
      <c r="J10" s="198" t="s">
        <v>390</v>
      </c>
      <c r="K10" s="187" t="s">
        <v>966</v>
      </c>
      <c r="L10" s="187" t="s">
        <v>967</v>
      </c>
      <c r="M10" s="182" t="s">
        <v>511</v>
      </c>
      <c r="N10" s="167" t="s">
        <v>968</v>
      </c>
      <c r="O10" s="182" t="s">
        <v>969</v>
      </c>
      <c r="P10" s="182" t="s">
        <v>970</v>
      </c>
      <c r="Q10" s="182" t="s">
        <v>399</v>
      </c>
    </row>
    <row r="11" spans="1:22" s="169" customFormat="1" ht="18" customHeight="1">
      <c r="A11" s="183" t="s">
        <v>395</v>
      </c>
      <c r="B11" s="170"/>
      <c r="C11" s="294" t="s">
        <v>971</v>
      </c>
      <c r="D11" s="296" t="s">
        <v>972</v>
      </c>
      <c r="E11" s="297" t="s">
        <v>973</v>
      </c>
      <c r="F11" s="298" t="s">
        <v>974</v>
      </c>
      <c r="G11" s="298" t="s">
        <v>975</v>
      </c>
      <c r="H11" s="298" t="s">
        <v>976</v>
      </c>
      <c r="I11" s="298" t="s">
        <v>407</v>
      </c>
      <c r="J11" s="299" t="s">
        <v>400</v>
      </c>
      <c r="K11" s="294" t="s">
        <v>971</v>
      </c>
      <c r="L11" s="296" t="s">
        <v>972</v>
      </c>
      <c r="M11" s="300" t="s">
        <v>973</v>
      </c>
      <c r="N11" s="298" t="s">
        <v>974</v>
      </c>
      <c r="O11" s="298" t="s">
        <v>975</v>
      </c>
      <c r="P11" s="298" t="s">
        <v>976</v>
      </c>
      <c r="Q11" s="298" t="s">
        <v>407</v>
      </c>
    </row>
    <row r="12" spans="1:22" s="169" customFormat="1" ht="18" customHeight="1">
      <c r="A12" s="184"/>
      <c r="B12" s="175"/>
      <c r="C12" s="295" t="s">
        <v>977</v>
      </c>
      <c r="D12" s="295"/>
      <c r="E12" s="301" t="s">
        <v>978</v>
      </c>
      <c r="F12" s="302" t="s">
        <v>820</v>
      </c>
      <c r="G12" s="302"/>
      <c r="H12" s="302"/>
      <c r="I12" s="302"/>
      <c r="J12" s="303"/>
      <c r="K12" s="295" t="s">
        <v>977</v>
      </c>
      <c r="L12" s="295"/>
      <c r="M12" s="302" t="s">
        <v>978</v>
      </c>
      <c r="N12" s="302" t="s">
        <v>820</v>
      </c>
      <c r="O12" s="302"/>
      <c r="P12" s="302"/>
      <c r="Q12" s="302"/>
    </row>
    <row r="13" spans="1:22" s="667" customFormat="1" ht="27" customHeight="1">
      <c r="A13" s="664">
        <v>2016</v>
      </c>
      <c r="B13" s="665"/>
      <c r="C13" s="668">
        <v>17349.04192278098</v>
      </c>
      <c r="D13" s="668">
        <v>7043.1036713408466</v>
      </c>
      <c r="E13" s="669">
        <v>944.09464075719166</v>
      </c>
      <c r="F13" s="669">
        <v>1225.8407769051723</v>
      </c>
      <c r="G13" s="669">
        <v>1710.6028469431737</v>
      </c>
      <c r="H13" s="669">
        <v>2673.0517052933155</v>
      </c>
      <c r="I13" s="669">
        <v>267.79763813469793</v>
      </c>
      <c r="J13" s="671">
        <v>31213.53320215538</v>
      </c>
      <c r="K13" s="669">
        <v>16760.744843135093</v>
      </c>
      <c r="L13" s="669">
        <v>9543.6501160301159</v>
      </c>
      <c r="M13" s="669">
        <v>747.73638500980996</v>
      </c>
      <c r="N13" s="669">
        <v>786.77558732117291</v>
      </c>
      <c r="O13" s="669">
        <v>1184.4811981059618</v>
      </c>
      <c r="P13" s="669">
        <v>2091.8885878375199</v>
      </c>
      <c r="Q13" s="669">
        <v>98.174460822785903</v>
      </c>
      <c r="R13" s="618">
        <f t="shared" ref="R13:R15" si="0">ROUND(J13,1)-ROUND(C13,1)-ROUND(D13,1)-ROUND(E13,1)-ROUND(F13,1)-ROUND(G13,1)-ROUND(H13,1)-ROUND(I13,1)</f>
        <v>-7.3896444519050419E-13</v>
      </c>
      <c r="S13" s="618">
        <f t="shared" ref="S13:S15" si="1">ROUND(J13,1)-ROUND(K13,1)-ROUND(L13,1)-ROUND(M13,1)-ROUND(N13,1)-ROUND(O13,1)-ROUND(P13,1)-ROUND(Q13,1)</f>
        <v>-1.5489831639570184E-12</v>
      </c>
      <c r="T13" s="666"/>
      <c r="U13" s="666"/>
    </row>
    <row r="14" spans="1:22" s="666" customFormat="1" ht="18" customHeight="1">
      <c r="A14" s="664">
        <v>2017</v>
      </c>
      <c r="B14" s="665"/>
      <c r="C14" s="668">
        <v>18025.025685114462</v>
      </c>
      <c r="D14" s="668">
        <v>7074.1092814730473</v>
      </c>
      <c r="E14" s="669">
        <v>956.99774050010467</v>
      </c>
      <c r="F14" s="669">
        <v>1133.2722630155472</v>
      </c>
      <c r="G14" s="669">
        <v>1763.6653542391739</v>
      </c>
      <c r="H14" s="669">
        <v>2198.6766411349017</v>
      </c>
      <c r="I14" s="669">
        <v>237.18502732662583</v>
      </c>
      <c r="J14" s="671">
        <v>31389.031992803859</v>
      </c>
      <c r="K14" s="668">
        <v>17103.50192654011</v>
      </c>
      <c r="L14" s="668">
        <v>9704.6997353691004</v>
      </c>
      <c r="M14" s="669">
        <v>863.3625341500001</v>
      </c>
      <c r="N14" s="669">
        <v>805.94801632527856</v>
      </c>
      <c r="O14" s="669">
        <v>1269.2392951778495</v>
      </c>
      <c r="P14" s="669">
        <v>1541.598299606791</v>
      </c>
      <c r="Q14" s="669">
        <v>100.70225655976999</v>
      </c>
      <c r="R14" s="618">
        <f t="shared" si="0"/>
        <v>0</v>
      </c>
      <c r="S14" s="618">
        <f t="shared" si="1"/>
        <v>-8.6686213762732223E-13</v>
      </c>
      <c r="V14" s="667"/>
    </row>
    <row r="15" spans="1:22" s="666" customFormat="1" ht="18" customHeight="1">
      <c r="A15" s="664">
        <v>2018</v>
      </c>
      <c r="B15" s="665"/>
      <c r="C15" s="668">
        <v>18939.343910584437</v>
      </c>
      <c r="D15" s="668">
        <v>7948.26532899827</v>
      </c>
      <c r="E15" s="669">
        <v>991.86155398034202</v>
      </c>
      <c r="F15" s="669">
        <v>1186.1117737526686</v>
      </c>
      <c r="G15" s="669">
        <v>1482.4542068005308</v>
      </c>
      <c r="H15" s="669">
        <v>1817.9047880272624</v>
      </c>
      <c r="I15" s="669">
        <v>203.03145227702063</v>
      </c>
      <c r="J15" s="671">
        <v>32569.002859020529</v>
      </c>
      <c r="K15" s="668">
        <v>17832.37369845785</v>
      </c>
      <c r="L15" s="668">
        <v>10275.941631885997</v>
      </c>
      <c r="M15" s="669">
        <v>880.20705161951855</v>
      </c>
      <c r="N15" s="669">
        <v>484.60485490619237</v>
      </c>
      <c r="O15" s="669">
        <v>1412.3912252764103</v>
      </c>
      <c r="P15" s="669">
        <v>1636.1813954201575</v>
      </c>
      <c r="Q15" s="669">
        <v>47.303653695923998</v>
      </c>
      <c r="R15" s="618">
        <f t="shared" si="0"/>
        <v>9.0949470177292824E-13</v>
      </c>
      <c r="S15" s="618">
        <f t="shared" si="1"/>
        <v>-9.5212726591853425E-13</v>
      </c>
      <c r="V15" s="667"/>
    </row>
    <row r="16" spans="1:22" s="666" customFormat="1" ht="18" customHeight="1">
      <c r="A16" s="664">
        <v>2019</v>
      </c>
      <c r="B16" s="665"/>
      <c r="C16" s="668">
        <v>19946.565711668136</v>
      </c>
      <c r="D16" s="668">
        <v>8684.4604509095479</v>
      </c>
      <c r="E16" s="669">
        <v>1024.9173078212689</v>
      </c>
      <c r="F16" s="669">
        <v>1651.2398477404984</v>
      </c>
      <c r="G16" s="669">
        <v>1836.6600526469101</v>
      </c>
      <c r="H16" s="669">
        <v>2041.78926349118</v>
      </c>
      <c r="I16" s="669">
        <v>184.17388548457868</v>
      </c>
      <c r="J16" s="671">
        <v>35369.75651976213</v>
      </c>
      <c r="K16" s="668">
        <v>18967.637102931127</v>
      </c>
      <c r="L16" s="668">
        <v>10994.81479144534</v>
      </c>
      <c r="M16" s="669">
        <v>1205.900461744814</v>
      </c>
      <c r="N16" s="669">
        <v>349.52259899959802</v>
      </c>
      <c r="O16" s="669">
        <v>2407.0553949969949</v>
      </c>
      <c r="P16" s="669">
        <v>1382.6745863091428</v>
      </c>
      <c r="Q16" s="669">
        <v>62.348357596620005</v>
      </c>
      <c r="R16" s="618">
        <v>4.8885340220294893E-12</v>
      </c>
      <c r="S16" s="618">
        <v>5.4143356464919634E-12</v>
      </c>
      <c r="V16" s="667"/>
    </row>
    <row r="17" spans="1:22" s="666" customFormat="1" ht="18" customHeight="1">
      <c r="A17" s="664">
        <v>2020</v>
      </c>
      <c r="B17" s="665"/>
      <c r="C17" s="668">
        <v>20939.705476393843</v>
      </c>
      <c r="D17" s="668">
        <v>8514.0308476972677</v>
      </c>
      <c r="E17" s="669">
        <v>898.75587188051588</v>
      </c>
      <c r="F17" s="669">
        <v>1324.353216025434</v>
      </c>
      <c r="G17" s="669">
        <v>1598.6042330283128</v>
      </c>
      <c r="H17" s="669">
        <v>1964.1659866233799</v>
      </c>
      <c r="I17" s="669">
        <v>207.60336434723661</v>
      </c>
      <c r="J17" s="671">
        <v>35447.298995995996</v>
      </c>
      <c r="K17" s="668">
        <v>19610.5933551036</v>
      </c>
      <c r="L17" s="668">
        <v>9347.5923836468719</v>
      </c>
      <c r="M17" s="669">
        <v>1438.1525509615317</v>
      </c>
      <c r="N17" s="669">
        <v>632.59731316474927</v>
      </c>
      <c r="O17" s="669">
        <v>2642.2397205360985</v>
      </c>
      <c r="P17" s="669">
        <v>1537.3211133039247</v>
      </c>
      <c r="Q17" s="669">
        <v>238.73795483585417</v>
      </c>
      <c r="R17" s="618">
        <v>1.9326762412674725E-12</v>
      </c>
      <c r="S17" s="618">
        <v>3.865352482534945E-12</v>
      </c>
      <c r="V17" s="667"/>
    </row>
    <row r="18" spans="1:22" s="666" customFormat="1" ht="18" customHeight="1">
      <c r="A18" s="664">
        <v>2021</v>
      </c>
      <c r="B18" s="665"/>
      <c r="C18" s="668">
        <v>22126.17716926229</v>
      </c>
      <c r="D18" s="668">
        <v>8841.6744838720442</v>
      </c>
      <c r="E18" s="669">
        <v>1049.8775047025094</v>
      </c>
      <c r="F18" s="669">
        <v>1549.4599487015839</v>
      </c>
      <c r="G18" s="669">
        <v>1642.1957109053124</v>
      </c>
      <c r="H18" s="669">
        <v>1910.1622519341827</v>
      </c>
      <c r="I18" s="669">
        <v>254.31416849818433</v>
      </c>
      <c r="J18" s="671">
        <v>37373.981237876105</v>
      </c>
      <c r="K18" s="668">
        <v>20632.24322656143</v>
      </c>
      <c r="L18" s="668">
        <v>10438.93667760578</v>
      </c>
      <c r="M18" s="669">
        <v>1203.9748044174835</v>
      </c>
      <c r="N18" s="669">
        <v>1035.8561552252449</v>
      </c>
      <c r="O18" s="669">
        <v>2433.2530400352762</v>
      </c>
      <c r="P18" s="669">
        <v>1328.0303850548671</v>
      </c>
      <c r="Q18" s="669">
        <v>301.76926378114536</v>
      </c>
      <c r="R18" s="618">
        <v>-1.0231815394945443E-12</v>
      </c>
      <c r="S18" s="618">
        <v>0</v>
      </c>
      <c r="V18" s="667"/>
    </row>
    <row r="19" spans="1:22" s="2199" customFormat="1" ht="18" customHeight="1">
      <c r="A19" s="1983">
        <v>2022</v>
      </c>
      <c r="B19" s="1984"/>
      <c r="C19" s="674">
        <v>23882.408080810634</v>
      </c>
      <c r="D19" s="675">
        <v>7478.5967301923329</v>
      </c>
      <c r="E19" s="675">
        <v>979.33635173486516</v>
      </c>
      <c r="F19" s="675">
        <v>2154.9119973158186</v>
      </c>
      <c r="G19" s="675">
        <v>2094.825709371436</v>
      </c>
      <c r="H19" s="675">
        <v>1382.8486092118126</v>
      </c>
      <c r="I19" s="675">
        <v>274.62710230665436</v>
      </c>
      <c r="J19" s="1461">
        <v>38247.434580943554</v>
      </c>
      <c r="K19" s="674">
        <v>21282.934648244249</v>
      </c>
      <c r="L19" s="674">
        <v>9819.6013731496823</v>
      </c>
      <c r="M19" s="675">
        <v>1187.0735081007797</v>
      </c>
      <c r="N19" s="675">
        <v>751.84893070567045</v>
      </c>
      <c r="O19" s="675">
        <v>2786.809987895082</v>
      </c>
      <c r="P19" s="675">
        <v>2081.2426198692137</v>
      </c>
      <c r="Q19" s="675">
        <v>337.98189805017853</v>
      </c>
      <c r="R19" s="618">
        <v>-7.9580786405131221E-13</v>
      </c>
      <c r="S19" s="618">
        <v>-9.0949470177292824E-13</v>
      </c>
      <c r="V19" s="185"/>
    </row>
    <row r="20" spans="1:22" s="2199" customFormat="1" ht="18" customHeight="1">
      <c r="A20" s="1983">
        <v>2023</v>
      </c>
      <c r="B20" s="1984"/>
      <c r="C20" s="674">
        <v>25652.258766562649</v>
      </c>
      <c r="D20" s="674">
        <v>8125.7709036097194</v>
      </c>
      <c r="E20" s="675">
        <v>1091.3883130970833</v>
      </c>
      <c r="F20" s="675">
        <v>1650.5431934166618</v>
      </c>
      <c r="G20" s="675">
        <v>2188.0266966628051</v>
      </c>
      <c r="H20" s="675">
        <v>1356.512828237021</v>
      </c>
      <c r="I20" s="675">
        <v>196.15629902865476</v>
      </c>
      <c r="J20" s="1461">
        <v>40260.657000614599</v>
      </c>
      <c r="K20" s="674">
        <v>22550.85890509051</v>
      </c>
      <c r="L20" s="674">
        <v>10487.089501013086</v>
      </c>
      <c r="M20" s="675">
        <v>1489.2445047144624</v>
      </c>
      <c r="N20" s="675">
        <v>696.28528937110616</v>
      </c>
      <c r="O20" s="675">
        <v>3452.6198085469769</v>
      </c>
      <c r="P20" s="675">
        <v>1315.0041675620496</v>
      </c>
      <c r="Q20" s="675">
        <v>269.55482431639393</v>
      </c>
      <c r="R20" s="618">
        <v>-2.8990143619012088E-12</v>
      </c>
      <c r="S20" s="618">
        <v>-4.6611603465862572E-12</v>
      </c>
      <c r="V20" s="185"/>
    </row>
    <row r="21" spans="1:22" s="2199" customFormat="1" ht="18" customHeight="1">
      <c r="A21" s="1983">
        <v>2024</v>
      </c>
      <c r="B21" s="1984"/>
      <c r="C21" s="674">
        <v>26863.000820399804</v>
      </c>
      <c r="D21" s="674">
        <v>7889.7692907676219</v>
      </c>
      <c r="E21" s="675">
        <v>959.99365903343232</v>
      </c>
      <c r="F21" s="675">
        <v>2149.9429626059436</v>
      </c>
      <c r="G21" s="675">
        <v>2449.3888114142046</v>
      </c>
      <c r="H21" s="675">
        <v>1209.6754082669895</v>
      </c>
      <c r="I21" s="675">
        <v>187.73536368666507</v>
      </c>
      <c r="J21" s="1461">
        <v>41709.526316174655</v>
      </c>
      <c r="K21" s="674">
        <v>22639.292034651524</v>
      </c>
      <c r="L21" s="674">
        <v>10739.342830837297</v>
      </c>
      <c r="M21" s="675">
        <v>1447.4651039233938</v>
      </c>
      <c r="N21" s="675">
        <v>733.27705983139469</v>
      </c>
      <c r="O21" s="675">
        <v>4097.8406110383694</v>
      </c>
      <c r="P21" s="675">
        <v>1880.359378198156</v>
      </c>
      <c r="Q21" s="675">
        <v>171.94929769452574</v>
      </c>
      <c r="R21" s="618">
        <v>-3.979039320256561E-13</v>
      </c>
      <c r="S21" s="618">
        <v>9.9475983006414026E-13</v>
      </c>
      <c r="V21" s="185"/>
    </row>
    <row r="22" spans="1:22" s="2199" customFormat="1" ht="18" customHeight="1">
      <c r="A22" s="2194">
        <v>2025</v>
      </c>
      <c r="B22" s="2195"/>
      <c r="C22" s="2196">
        <f t="shared" ref="C22:Q22" si="2">C29</f>
        <v>29189.182845824929</v>
      </c>
      <c r="D22" s="2196">
        <f t="shared" si="2"/>
        <v>8552.0932346619229</v>
      </c>
      <c r="E22" s="2197">
        <f t="shared" si="2"/>
        <v>1213.0294311021278</v>
      </c>
      <c r="F22" s="2197">
        <f t="shared" si="2"/>
        <v>1766.2797562036569</v>
      </c>
      <c r="G22" s="2197">
        <f t="shared" si="2"/>
        <v>2885.1781531864617</v>
      </c>
      <c r="H22" s="2197">
        <f t="shared" si="2"/>
        <v>1257.6374278438038</v>
      </c>
      <c r="I22" s="2197">
        <f t="shared" si="2"/>
        <v>137.73945033265045</v>
      </c>
      <c r="J22" s="2198">
        <f t="shared" si="2"/>
        <v>45001.140299155551</v>
      </c>
      <c r="K22" s="2196">
        <f t="shared" si="2"/>
        <v>23317.709982532338</v>
      </c>
      <c r="L22" s="2196">
        <f t="shared" si="2"/>
        <v>12315.662017054539</v>
      </c>
      <c r="M22" s="2197">
        <f t="shared" si="2"/>
        <v>2097.7327147008987</v>
      </c>
      <c r="N22" s="2197">
        <f t="shared" si="2"/>
        <v>650.70375405904542</v>
      </c>
      <c r="O22" s="2197">
        <f t="shared" si="2"/>
        <v>4897.8010543833198</v>
      </c>
      <c r="P22" s="2197">
        <f t="shared" si="2"/>
        <v>1549.4425534324812</v>
      </c>
      <c r="Q22" s="2197">
        <f t="shared" si="2"/>
        <v>172.0882229929266</v>
      </c>
      <c r="R22" s="618">
        <f t="shared" ref="R22" si="3">ROUND(J22,1)-ROUND(C22,1)-ROUND(D22,1)-ROUND(E22,1)-ROUND(F22,1)-ROUND(G22,1)-ROUND(H22,1)-ROUND(I22,1)</f>
        <v>-2.4442670110147446E-12</v>
      </c>
      <c r="S22" s="618">
        <f t="shared" ref="S22" si="4">ROUND(J22,1)-ROUND(K22,1)-ROUND(L22,1)-ROUND(M22,1)-ROUND(N22,1)-ROUND(O22,1)-ROUND(P22,1)-ROUND(Q22,1)</f>
        <v>-2.8137492336099967E-12</v>
      </c>
      <c r="V22" s="185"/>
    </row>
    <row r="23" spans="1:22" s="666" customFormat="1" ht="21" customHeight="1">
      <c r="A23" s="664">
        <v>2024</v>
      </c>
      <c r="B23" s="665" t="s">
        <v>243</v>
      </c>
      <c r="C23" s="668">
        <v>26542.893731499833</v>
      </c>
      <c r="D23" s="668">
        <v>7928.508056821398</v>
      </c>
      <c r="E23" s="669">
        <v>932.82988032316257</v>
      </c>
      <c r="F23" s="669">
        <v>1779.6863685856908</v>
      </c>
      <c r="G23" s="669">
        <v>2208.0938220834396</v>
      </c>
      <c r="H23" s="669">
        <v>1353.4945279177275</v>
      </c>
      <c r="I23" s="669">
        <v>452.38226433105592</v>
      </c>
      <c r="J23" s="671">
        <v>41197.888651562294</v>
      </c>
      <c r="K23" s="668">
        <v>22336.218574298582</v>
      </c>
      <c r="L23" s="668">
        <v>11129.680560700095</v>
      </c>
      <c r="M23" s="669">
        <v>1616.0339292825506</v>
      </c>
      <c r="N23" s="669">
        <v>600.11962682531009</v>
      </c>
      <c r="O23" s="669">
        <v>3640.9551695940045</v>
      </c>
      <c r="P23" s="669">
        <v>1706.2601322136543</v>
      </c>
      <c r="Q23" s="669">
        <v>168.62065864809847</v>
      </c>
      <c r="R23" s="618">
        <v>0</v>
      </c>
      <c r="S23" s="618">
        <v>-3.1263880373444408E-13</v>
      </c>
      <c r="V23" s="667"/>
    </row>
    <row r="24" spans="1:22" s="666" customFormat="1" ht="15" customHeight="1">
      <c r="A24" s="664"/>
      <c r="B24" s="665" t="s">
        <v>240</v>
      </c>
      <c r="C24" s="668">
        <v>27255.35550262767</v>
      </c>
      <c r="D24" s="668">
        <v>7855.4486871492918</v>
      </c>
      <c r="E24" s="669">
        <v>964.42664761902813</v>
      </c>
      <c r="F24" s="669">
        <v>1795.1955922978473</v>
      </c>
      <c r="G24" s="669">
        <v>2239.2163397800205</v>
      </c>
      <c r="H24" s="669">
        <v>1169.218557439161</v>
      </c>
      <c r="I24" s="669">
        <v>253.15399908290652</v>
      </c>
      <c r="J24" s="671">
        <v>41531.955325995921</v>
      </c>
      <c r="K24" s="668">
        <v>23166.142696337854</v>
      </c>
      <c r="L24" s="668">
        <v>11227.524053974757</v>
      </c>
      <c r="M24" s="669">
        <v>1411.8588349508586</v>
      </c>
      <c r="N24" s="669">
        <v>577.92360664432545</v>
      </c>
      <c r="O24" s="669">
        <v>3703.517363240629</v>
      </c>
      <c r="P24" s="669">
        <v>1306.764419808545</v>
      </c>
      <c r="Q24" s="669">
        <v>138.25435103895259</v>
      </c>
      <c r="R24" s="618">
        <v>-3.979039320256561E-13</v>
      </c>
      <c r="S24" s="618">
        <v>2.2168933355715126E-12</v>
      </c>
      <c r="V24" s="667"/>
    </row>
    <row r="25" spans="1:22" s="666" customFormat="1" ht="15" customHeight="1">
      <c r="A25" s="664"/>
      <c r="B25" s="665" t="s">
        <v>241</v>
      </c>
      <c r="C25" s="668">
        <v>26863.000820399804</v>
      </c>
      <c r="D25" s="668">
        <v>7889.7692907676219</v>
      </c>
      <c r="E25" s="669">
        <v>959.99365903343232</v>
      </c>
      <c r="F25" s="669">
        <v>2149.9429626059436</v>
      </c>
      <c r="G25" s="669">
        <v>2449.3888114142046</v>
      </c>
      <c r="H25" s="669">
        <v>1209.6754082669895</v>
      </c>
      <c r="I25" s="669">
        <v>187.73536368666507</v>
      </c>
      <c r="J25" s="671">
        <v>41709.526316174655</v>
      </c>
      <c r="K25" s="668">
        <v>22639.292034651524</v>
      </c>
      <c r="L25" s="668">
        <v>10739.342830837297</v>
      </c>
      <c r="M25" s="669">
        <v>1447.4651039233938</v>
      </c>
      <c r="N25" s="669">
        <v>733.27705983139469</v>
      </c>
      <c r="O25" s="669">
        <v>4097.8406110383694</v>
      </c>
      <c r="P25" s="669">
        <v>1880.359378198156</v>
      </c>
      <c r="Q25" s="669">
        <v>171.94929769452574</v>
      </c>
      <c r="R25" s="618">
        <v>-3.979039320256561E-13</v>
      </c>
      <c r="S25" s="618">
        <v>9.9475983006414026E-13</v>
      </c>
      <c r="V25" s="667"/>
    </row>
    <row r="26" spans="1:22" s="666" customFormat="1" ht="21" customHeight="1">
      <c r="A26" s="664">
        <v>2025</v>
      </c>
      <c r="B26" s="665" t="s">
        <v>242</v>
      </c>
      <c r="C26" s="668">
        <v>27825.870301222272</v>
      </c>
      <c r="D26" s="668">
        <v>8251.8475335091553</v>
      </c>
      <c r="E26" s="669">
        <v>1012.8449107113108</v>
      </c>
      <c r="F26" s="669">
        <v>1600.9026224687268</v>
      </c>
      <c r="G26" s="669">
        <v>2347.7587957963597</v>
      </c>
      <c r="H26" s="669">
        <v>1249.3902270922163</v>
      </c>
      <c r="I26" s="669">
        <v>154.46194760925894</v>
      </c>
      <c r="J26" s="671">
        <v>42443.056338409304</v>
      </c>
      <c r="K26" s="668">
        <v>23253.244600784179</v>
      </c>
      <c r="L26" s="668">
        <v>11025.49787310292</v>
      </c>
      <c r="M26" s="669">
        <v>1542.8232511272597</v>
      </c>
      <c r="N26" s="669">
        <v>722.65225783623237</v>
      </c>
      <c r="O26" s="669">
        <v>4101.8179526316244</v>
      </c>
      <c r="P26" s="669">
        <v>1637.1563806298293</v>
      </c>
      <c r="Q26" s="669">
        <v>159.86402229726082</v>
      </c>
      <c r="R26" s="618">
        <v>-2.7284841053187847E-12</v>
      </c>
      <c r="S26" s="618">
        <v>-2.4158453015843406E-12</v>
      </c>
      <c r="V26" s="667"/>
    </row>
    <row r="27" spans="1:22" s="666" customFormat="1" ht="15" customHeight="1">
      <c r="A27" s="664"/>
      <c r="B27" s="665" t="s">
        <v>243</v>
      </c>
      <c r="C27" s="668">
        <v>28216.060263560586</v>
      </c>
      <c r="D27" s="668">
        <v>8721.5151927816314</v>
      </c>
      <c r="E27" s="669">
        <v>1026.4182534605261</v>
      </c>
      <c r="F27" s="669">
        <v>1629.4183774202079</v>
      </c>
      <c r="G27" s="669">
        <v>2586.482848496129</v>
      </c>
      <c r="H27" s="669">
        <v>1221.0600832298351</v>
      </c>
      <c r="I27" s="669">
        <v>152.0184803887314</v>
      </c>
      <c r="J27" s="671">
        <v>43552.973499337655</v>
      </c>
      <c r="K27" s="668">
        <v>23031.953484538863</v>
      </c>
      <c r="L27" s="668">
        <v>11809.372123869822</v>
      </c>
      <c r="M27" s="669">
        <v>1681.2412765082011</v>
      </c>
      <c r="N27" s="669">
        <v>697.66830279773319</v>
      </c>
      <c r="O27" s="669">
        <v>4173.9118639584058</v>
      </c>
      <c r="P27" s="669">
        <v>1980.0815374833999</v>
      </c>
      <c r="Q27" s="669">
        <v>178.74491018123081</v>
      </c>
      <c r="R27" s="618">
        <v>1.8189894035458565E-12</v>
      </c>
      <c r="S27" s="618">
        <v>1.1937117960769683E-12</v>
      </c>
      <c r="V27" s="667"/>
    </row>
    <row r="28" spans="1:22" s="666" customFormat="1" ht="15" customHeight="1">
      <c r="A28" s="664"/>
      <c r="B28" s="665" t="s">
        <v>240</v>
      </c>
      <c r="C28" s="668">
        <f t="shared" ref="C28:Q28" si="5">C35</f>
        <v>28101.205140041879</v>
      </c>
      <c r="D28" s="668">
        <f t="shared" si="5"/>
        <v>8891.8683990752907</v>
      </c>
      <c r="E28" s="669">
        <f t="shared" si="5"/>
        <v>1130.8649250223364</v>
      </c>
      <c r="F28" s="669">
        <f t="shared" si="5"/>
        <v>1813.1396415238414</v>
      </c>
      <c r="G28" s="669">
        <f t="shared" si="5"/>
        <v>2645.2665138188231</v>
      </c>
      <c r="H28" s="669">
        <f t="shared" si="5"/>
        <v>1331.7312870028129</v>
      </c>
      <c r="I28" s="669">
        <f t="shared" si="5"/>
        <v>146.63558497172809</v>
      </c>
      <c r="J28" s="671">
        <f t="shared" si="5"/>
        <v>44060.741491456713</v>
      </c>
      <c r="K28" s="668">
        <f t="shared" si="5"/>
        <v>22985.532371988418</v>
      </c>
      <c r="L28" s="668">
        <f t="shared" si="5"/>
        <v>11282.344664586946</v>
      </c>
      <c r="M28" s="669">
        <f t="shared" si="5"/>
        <v>1871.5045580305366</v>
      </c>
      <c r="N28" s="669">
        <f t="shared" si="5"/>
        <v>708.21917180579567</v>
      </c>
      <c r="O28" s="669">
        <f t="shared" si="5"/>
        <v>4679.3691734179229</v>
      </c>
      <c r="P28" s="669">
        <f t="shared" si="5"/>
        <v>2334.2516942185657</v>
      </c>
      <c r="Q28" s="669">
        <f t="shared" si="5"/>
        <v>199.51985740852251</v>
      </c>
      <c r="R28" s="618">
        <f t="shared" ref="R28" si="6">ROUND(J28,1)-ROUND(C28,1)-ROUND(D28,1)-ROUND(E28,1)-ROUND(F28,1)-ROUND(G28,1)-ROUND(H28,1)-ROUND(I28,1)</f>
        <v>-3.4958702599396929E-12</v>
      </c>
      <c r="S28" s="618">
        <f t="shared" ref="S28" si="7">ROUND(J28,1)-ROUND(K28,1)-ROUND(L28,1)-ROUND(M28,1)-ROUND(N28,1)-ROUND(O28,1)-ROUND(P28,1)-ROUND(Q28,1)</f>
        <v>-1.8189894035458565E-12</v>
      </c>
      <c r="V28" s="667"/>
    </row>
    <row r="29" spans="1:22" s="666" customFormat="1" ht="15" customHeight="1">
      <c r="A29" s="664"/>
      <c r="B29" s="665" t="s">
        <v>241</v>
      </c>
      <c r="C29" s="668">
        <f t="shared" ref="C29:Q29" si="8">C38</f>
        <v>29189.182845824929</v>
      </c>
      <c r="D29" s="668">
        <f t="shared" si="8"/>
        <v>8552.0932346619229</v>
      </c>
      <c r="E29" s="669">
        <f t="shared" si="8"/>
        <v>1213.0294311021278</v>
      </c>
      <c r="F29" s="669">
        <f t="shared" si="8"/>
        <v>1766.2797562036569</v>
      </c>
      <c r="G29" s="669">
        <f t="shared" si="8"/>
        <v>2885.1781531864617</v>
      </c>
      <c r="H29" s="669">
        <f t="shared" si="8"/>
        <v>1257.6374278438038</v>
      </c>
      <c r="I29" s="669">
        <f t="shared" si="8"/>
        <v>137.73945033265045</v>
      </c>
      <c r="J29" s="671">
        <f t="shared" si="8"/>
        <v>45001.140299155551</v>
      </c>
      <c r="K29" s="668">
        <f t="shared" si="8"/>
        <v>23317.709982532338</v>
      </c>
      <c r="L29" s="668">
        <f t="shared" si="8"/>
        <v>12315.662017054539</v>
      </c>
      <c r="M29" s="669">
        <f t="shared" si="8"/>
        <v>2097.7327147008987</v>
      </c>
      <c r="N29" s="669">
        <f t="shared" si="8"/>
        <v>650.70375405904542</v>
      </c>
      <c r="O29" s="669">
        <f t="shared" si="8"/>
        <v>4897.8010543833198</v>
      </c>
      <c r="P29" s="669">
        <f t="shared" si="8"/>
        <v>1549.4425534324812</v>
      </c>
      <c r="Q29" s="669">
        <f t="shared" si="8"/>
        <v>172.0882229929266</v>
      </c>
      <c r="R29" s="618">
        <f t="shared" ref="R29" si="9">ROUND(J29,1)-ROUND(C29,1)-ROUND(D29,1)-ROUND(E29,1)-ROUND(F29,1)-ROUND(G29,1)-ROUND(H29,1)-ROUND(I29,1)</f>
        <v>-2.4442670110147446E-12</v>
      </c>
      <c r="S29" s="618">
        <f t="shared" ref="S29" si="10">ROUND(J29,1)-ROUND(K29,1)-ROUND(L29,1)-ROUND(M29,1)-ROUND(N29,1)-ROUND(O29,1)-ROUND(P29,1)-ROUND(Q29,1)</f>
        <v>-2.8137492336099967E-12</v>
      </c>
      <c r="V29" s="667"/>
    </row>
    <row r="30" spans="1:22" s="666" customFormat="1" ht="21" customHeight="1">
      <c r="A30" s="1757">
        <v>2026</v>
      </c>
      <c r="B30" s="1758" t="s">
        <v>242</v>
      </c>
      <c r="C30" s="1759">
        <f t="shared" ref="C30:Q30" si="11">C41</f>
        <v>30502.077269753252</v>
      </c>
      <c r="D30" s="1759">
        <f t="shared" si="11"/>
        <v>8827.5132775579095</v>
      </c>
      <c r="E30" s="1760">
        <f t="shared" si="11"/>
        <v>1298.8470400219974</v>
      </c>
      <c r="F30" s="1760">
        <f t="shared" si="11"/>
        <v>1896.9324957109952</v>
      </c>
      <c r="G30" s="1760">
        <f t="shared" si="11"/>
        <v>3066.1068107111041</v>
      </c>
      <c r="H30" s="1760">
        <f t="shared" si="11"/>
        <v>1115.2963086919415</v>
      </c>
      <c r="I30" s="1760">
        <f t="shared" si="11"/>
        <v>130.57170161531394</v>
      </c>
      <c r="J30" s="1761">
        <f t="shared" si="11"/>
        <v>46837.344904062513</v>
      </c>
      <c r="K30" s="1759">
        <f t="shared" si="11"/>
        <v>23997.239220725674</v>
      </c>
      <c r="L30" s="1759">
        <f t="shared" si="11"/>
        <v>13644.519716279752</v>
      </c>
      <c r="M30" s="1760">
        <f t="shared" si="11"/>
        <v>2228.9069607532142</v>
      </c>
      <c r="N30" s="1760">
        <f t="shared" si="11"/>
        <v>765.49999599379555</v>
      </c>
      <c r="O30" s="1760">
        <f t="shared" si="11"/>
        <v>4546.3340909617036</v>
      </c>
      <c r="P30" s="1760">
        <f t="shared" si="11"/>
        <v>1543.9569066487984</v>
      </c>
      <c r="Q30" s="1760">
        <f t="shared" si="11"/>
        <v>110.88801269957912</v>
      </c>
      <c r="R30" s="618">
        <f t="shared" ref="R30" si="12">ROUND(J30,1)-ROUND(C30,1)-ROUND(D30,1)-ROUND(E30,1)-ROUND(F30,1)-ROUND(G30,1)-ROUND(H30,1)-ROUND(I30,1)</f>
        <v>3.780087354243733E-12</v>
      </c>
      <c r="S30" s="618">
        <f t="shared" ref="S30" si="13">ROUND(J30,1)-ROUND(K30,1)-ROUND(L30,1)-ROUND(M30,1)-ROUND(N30,1)-ROUND(O30,1)-ROUND(P30,1)-ROUND(Q30,1)</f>
        <v>2.3590018827235326E-12</v>
      </c>
      <c r="V30" s="667"/>
    </row>
    <row r="31" spans="1:22" s="185" customFormat="1" ht="21" customHeight="1">
      <c r="A31" s="1983">
        <v>2025</v>
      </c>
      <c r="B31" s="1984" t="s">
        <v>427</v>
      </c>
      <c r="C31" s="674">
        <v>28186.084253228408</v>
      </c>
      <c r="D31" s="674">
        <v>8763.1232039963234</v>
      </c>
      <c r="E31" s="674">
        <v>1020.9812941296794</v>
      </c>
      <c r="F31" s="674">
        <v>1688.0249017855544</v>
      </c>
      <c r="G31" s="674">
        <v>2456.5562376808061</v>
      </c>
      <c r="H31" s="674">
        <v>1183.6830613658653</v>
      </c>
      <c r="I31" s="675">
        <v>156.33213944491581</v>
      </c>
      <c r="J31" s="1461">
        <v>43454.785091631551</v>
      </c>
      <c r="K31" s="674">
        <v>23028.934588177381</v>
      </c>
      <c r="L31" s="674">
        <v>11521.157753449585</v>
      </c>
      <c r="M31" s="674">
        <v>1619.9410011971831</v>
      </c>
      <c r="N31" s="674">
        <v>796.57827158229179</v>
      </c>
      <c r="O31" s="674">
        <v>4199.9517558677426</v>
      </c>
      <c r="P31" s="674">
        <v>2144.8851602205023</v>
      </c>
      <c r="Q31" s="675">
        <v>143.33656113686447</v>
      </c>
      <c r="R31" s="618">
        <v>4.0358827391173691E-12</v>
      </c>
      <c r="S31" s="618">
        <v>6.2527760746888816E-13</v>
      </c>
    </row>
    <row r="32" spans="1:22" s="185" customFormat="1" ht="17.25" customHeight="1">
      <c r="A32" s="1983"/>
      <c r="B32" s="1984" t="s">
        <v>428</v>
      </c>
      <c r="C32" s="674">
        <f>'[5]3B'!$AH$186</f>
        <v>28216.060263560586</v>
      </c>
      <c r="D32" s="674">
        <f>SUM('[5]3B'!$AH$189:$AH$193)</f>
        <v>8721.5151927816314</v>
      </c>
      <c r="E32" s="674">
        <f>'[5]3B'!$AH$69+'[5]3B'!$AH$188+'[5]3B'!$AH$120+'[5]3B'!$AH$122+SUM('[5]3B'!$AH$199:$AH$203)+'[5]3B'!$AH$86+'[5]3B'!$AH$90+'[5]3B'!$AH$105+'[5]3B'!$AH$118</f>
        <v>1026.4182534605261</v>
      </c>
      <c r="F32" s="674">
        <f>'[5]3B'!$AH$130+'[5]3B'!$AH$141+'[5]3B'!$AH$170</f>
        <v>1629.4183774202079</v>
      </c>
      <c r="G32" s="674">
        <f>'[5]3B'!$AH$15</f>
        <v>2586.482848496129</v>
      </c>
      <c r="H32" s="674">
        <f>'[5]3B'!$AH$204+'[5]3B'!$AH$229+'[5]3B'!$AH$187</f>
        <v>1221.0600832298351</v>
      </c>
      <c r="I32" s="675">
        <f t="shared" ref="I32:I34" si="14">$J32-SUM(C32:H32)</f>
        <v>152.0184803887314</v>
      </c>
      <c r="J32" s="1461">
        <f>'[5]3B'!$AH$272</f>
        <v>43552.973499337655</v>
      </c>
      <c r="K32" s="674">
        <f>'[5]3A'!$AX$186</f>
        <v>23031.953484538863</v>
      </c>
      <c r="L32" s="674">
        <f>SUM('[5]3A'!$AX$189:$AX$193)</f>
        <v>11809.372123869822</v>
      </c>
      <c r="M32" s="672">
        <f>'[5]3A'!$AX$69+'[5]3A'!$AX$188+'[5]3A'!$AX$120+'[5]3A'!$AX$122+SUM('[5]3A'!$AX$199:$AX$203)+'[5]3A'!$AX$86+'[5]3A'!$AX$90+'[5]3A'!$AX$105+'[5]3A'!$AX$118-0.01</f>
        <v>1681.2412765082011</v>
      </c>
      <c r="N32" s="674">
        <f>'[5]3A'!$AX$130+'[5]3A'!$AX$141+'[5]3A'!$AX$170</f>
        <v>697.66830279773319</v>
      </c>
      <c r="O32" s="674">
        <f>'[5]3A'!$AX$15</f>
        <v>4173.9118639584058</v>
      </c>
      <c r="P32" s="674">
        <f>'[5]3A'!$AX$204+'[5]3A'!$AX$229+'[5]3A'!$AX$187</f>
        <v>1980.0815374833999</v>
      </c>
      <c r="Q32" s="675">
        <f t="shared" ref="Q32:Q36" si="15">$J32-SUM(K32:P32)</f>
        <v>178.74491018123081</v>
      </c>
      <c r="R32" s="618">
        <f t="shared" ref="R32" si="16">ROUND(J32,1)-ROUND(C32,1)-ROUND(D32,1)-ROUND(E32,1)-ROUND(F32,1)-ROUND(G32,1)-ROUND(H32,1)-ROUND(I32,1)</f>
        <v>1.8189894035458565E-12</v>
      </c>
      <c r="S32" s="618">
        <f t="shared" ref="S32" si="17">ROUND(J32,1)-ROUND(K32,1)-ROUND(L32,1)-ROUND(M32,1)-ROUND(N32,1)-ROUND(O32,1)-ROUND(P32,1)-ROUND(Q32,1)</f>
        <v>1.1937117960769683E-12</v>
      </c>
    </row>
    <row r="33" spans="1:21" s="185" customFormat="1" ht="17.25" customHeight="1">
      <c r="A33" s="1983"/>
      <c r="B33" s="1984" t="s">
        <v>429</v>
      </c>
      <c r="C33" s="672">
        <f>'[6]3B'!$AH$186-0.03</f>
        <v>28211.041084364228</v>
      </c>
      <c r="D33" s="674">
        <f>SUM('[6]3B'!$AH$189:$AH$193)</f>
        <v>8768.4357797172215</v>
      </c>
      <c r="E33" s="674">
        <f>'[6]3B'!$AH$69+'[6]3B'!$AH$188+'[6]3B'!$AH$120+'[6]3B'!$AH$122+SUM('[6]3B'!$AH$199:$AH$203)+'[6]3B'!$AH$86+'[6]3B'!$AH$90+'[6]3B'!$AH$105+'[6]3B'!$AH$118</f>
        <v>1133.6654692056468</v>
      </c>
      <c r="F33" s="674">
        <f>'[6]3B'!$AH$130+'[6]3B'!$AH$141+'[6]3B'!$AH$170</f>
        <v>1794.2159000762801</v>
      </c>
      <c r="G33" s="674">
        <f>'[6]3B'!$AH$15</f>
        <v>2606.8854575574105</v>
      </c>
      <c r="H33" s="674">
        <f>'[6]3B'!$AH$204+'[6]3B'!$AH$229+'[6]3B'!$AH$187</f>
        <v>1135.0299384817358</v>
      </c>
      <c r="I33" s="675">
        <f t="shared" si="14"/>
        <v>150.36791691659164</v>
      </c>
      <c r="J33" s="673">
        <f>'[6]3B'!$AH$272-0.11</f>
        <v>43799.641546319108</v>
      </c>
      <c r="K33" s="674">
        <f>'[6]3A'!$AX$186</f>
        <v>22957.65687593845</v>
      </c>
      <c r="L33" s="674">
        <f>SUM('[6]3A'!$AX$189:$AX$193)</f>
        <v>11202.942145276978</v>
      </c>
      <c r="M33" s="674">
        <f>'[6]3A'!$AX$69+'[6]3A'!$AX$188+'[6]3A'!$AX$120+'[6]3A'!$AX$122+SUM('[6]3A'!$AX$199:$AX$203)+'[6]3A'!$AX$86+'[6]3A'!$AX$90+'[6]3A'!$AX$105+'[6]3A'!$AX$118</f>
        <v>1696.6879735696984</v>
      </c>
      <c r="N33" s="674">
        <f>'[6]3A'!$AX$130+'[6]3A'!$AX$141+'[6]3A'!$AX$170</f>
        <v>900.37081284692158</v>
      </c>
      <c r="O33" s="674">
        <f>'[6]3A'!$AX$15</f>
        <v>4627.3398204132573</v>
      </c>
      <c r="P33" s="674">
        <f>'[6]3A'!$AX$204+'[6]3A'!$AX$229+'[6]3A'!$AX$187</f>
        <v>2222.9484123812931</v>
      </c>
      <c r="Q33" s="675">
        <f t="shared" si="15"/>
        <v>191.69550589250139</v>
      </c>
      <c r="R33" s="618">
        <f t="shared" ref="R33" si="18">ROUND(J33,1)-ROUND(C33,1)-ROUND(D33,1)-ROUND(E33,1)-ROUND(F33,1)-ROUND(G33,1)-ROUND(H33,1)-ROUND(I33,1)</f>
        <v>-8.2422957348171622E-13</v>
      </c>
      <c r="S33" s="618">
        <f t="shared" ref="S33" si="19">ROUND(J33,1)-ROUND(K33,1)-ROUND(L33,1)-ROUND(M33,1)-ROUND(N33,1)-ROUND(O33,1)-ROUND(P33,1)-ROUND(Q33,1)</f>
        <v>-1.5347723092418164E-12</v>
      </c>
    </row>
    <row r="34" spans="1:21" s="185" customFormat="1" ht="17.25" customHeight="1">
      <c r="A34" s="1983"/>
      <c r="B34" s="1984" t="s">
        <v>430</v>
      </c>
      <c r="C34" s="674">
        <f>'[7]3B'!$AH$186</f>
        <v>28036.856351553135</v>
      </c>
      <c r="D34" s="674">
        <f>SUM('[7]3B'!$AH$189:$AH$193)</f>
        <v>9109.0194213349896</v>
      </c>
      <c r="E34" s="674">
        <f>'[7]3B'!$AH$69+'[7]3B'!$AH$188+'[7]3B'!$AH$120+'[7]3B'!$AH$122+SUM('[7]3B'!$AH$199:$AH$203)+'[7]3B'!$AH$86+'[7]3B'!$AH$90+'[7]3B'!$AH$105+'[7]3B'!$AH$118</f>
        <v>1125.5138198451186</v>
      </c>
      <c r="F34" s="674">
        <f>'[7]3B'!$AH$130+'[7]3B'!$AH$141+'[7]3B'!$AH$170</f>
        <v>1833.5375383733099</v>
      </c>
      <c r="G34" s="674">
        <f>'[7]3B'!$AH$15</f>
        <v>2704.0422015553704</v>
      </c>
      <c r="H34" s="674">
        <f>'[7]3B'!$AH$204+'[7]3B'!$AH$229+'[7]3B'!$AH$187</f>
        <v>1289.6695062803697</v>
      </c>
      <c r="I34" s="675">
        <f t="shared" si="14"/>
        <v>148.35663539761299</v>
      </c>
      <c r="J34" s="1461">
        <f>'[7]3B'!$AH$272</f>
        <v>44246.995474339907</v>
      </c>
      <c r="K34" s="674">
        <f>'[7]3A'!$AX$186</f>
        <v>22984.133759488053</v>
      </c>
      <c r="L34" s="674">
        <f>SUM('[7]3A'!$AX$189:$AX$193)</f>
        <v>11233.393110607374</v>
      </c>
      <c r="M34" s="674">
        <f>'[7]3A'!$AX$69+'[7]3A'!$AX$188+'[7]3A'!$AX$120+'[7]3A'!$AX$122+SUM('[7]3A'!$AX$199:$AX$203)+'[7]3A'!$AX$86+'[7]3A'!$AX$90+'[7]3A'!$AX$105+'[7]3A'!$AX$118</f>
        <v>1733.3284544440467</v>
      </c>
      <c r="N34" s="672">
        <f>'[7]3A'!$AX$130+'[7]3A'!$AX$141+'[7]3A'!$AX$170+0.02</f>
        <v>934.15566347002834</v>
      </c>
      <c r="O34" s="674">
        <f>'[7]3A'!$AX$15</f>
        <v>4759.6720420704141</v>
      </c>
      <c r="P34" s="674">
        <f>'[7]3A'!$AX$204+'[7]3A'!$AX$229+'[7]3A'!$AX$187</f>
        <v>2399.3225587284355</v>
      </c>
      <c r="Q34" s="675">
        <f t="shared" si="15"/>
        <v>202.98988553155505</v>
      </c>
      <c r="R34" s="618">
        <f t="shared" ref="R34" si="20">ROUND(J34,1)-ROUND(C34,1)-ROUND(D34,1)-ROUND(E34,1)-ROUND(F34,1)-ROUND(G34,1)-ROUND(H34,1)-ROUND(I34,1)</f>
        <v>-1.5063505998114124E-12</v>
      </c>
      <c r="S34" s="618">
        <f t="shared" ref="S34" si="21">ROUND(J34,1)-ROUND(K34,1)-ROUND(L34,1)-ROUND(M34,1)-ROUND(N34,1)-ROUND(O34,1)-ROUND(P34,1)-ROUND(Q34,1)</f>
        <v>2.7284841053187847E-12</v>
      </c>
    </row>
    <row r="35" spans="1:21" s="185" customFormat="1" ht="17.25" customHeight="1">
      <c r="A35" s="1983"/>
      <c r="B35" s="1984" t="s">
        <v>431</v>
      </c>
      <c r="C35" s="672">
        <f>'[8]3B'!$AH$186-0.1</f>
        <v>28101.205140041879</v>
      </c>
      <c r="D35" s="674">
        <f>SUM('[8]3B'!$AH$189:$AH$193)</f>
        <v>8891.8683990752907</v>
      </c>
      <c r="E35" s="674">
        <f>'[8]3B'!$AH$69+'[8]3B'!$AH$188+'[8]3B'!$AH$120+'[8]3B'!$AH$122+SUM('[8]3B'!$AH$199:$AH$203)+'[8]3B'!$AH$86+'[8]3B'!$AH$90+'[8]3B'!$AH$105+'[8]3B'!$AH$118</f>
        <v>1130.8649250223364</v>
      </c>
      <c r="F35" s="674">
        <f>'[8]3B'!$AH$130+'[8]3B'!$AH$141+'[8]3B'!$AH$170</f>
        <v>1813.1396415238414</v>
      </c>
      <c r="G35" s="674">
        <f>'[8]3B'!$AH$15</f>
        <v>2645.2665138188231</v>
      </c>
      <c r="H35" s="674">
        <f>'[8]3B'!$AH$204+'[8]3B'!$AH$229+'[8]3B'!$AH$187</f>
        <v>1331.7312870028129</v>
      </c>
      <c r="I35" s="670">
        <f>$J35-SUM(C35:H35)-0.03</f>
        <v>146.63558497172809</v>
      </c>
      <c r="J35" s="673">
        <f>'[8]3B'!$AH$272-0.05</f>
        <v>44060.741491456713</v>
      </c>
      <c r="K35" s="674">
        <f>'[8]3A'!$AX$186</f>
        <v>22985.532371988418</v>
      </c>
      <c r="L35" s="674">
        <f>SUM('[8]3A'!$AX$189:$AX$193)</f>
        <v>11282.344664586946</v>
      </c>
      <c r="M35" s="674">
        <f>'[8]3A'!$AX$69+'[8]3A'!$AX$188+'[8]3A'!$AX$120+'[8]3A'!$AX$122+SUM('[8]3A'!$AX$199:$AX$203)+'[8]3A'!$AX$86+'[8]3A'!$AX$90+'[8]3A'!$AX$105+'[8]3A'!$AX$118</f>
        <v>1871.5045580305366</v>
      </c>
      <c r="N35" s="674">
        <f>'[8]3A'!$AX$130+'[8]3A'!$AX$141+'[8]3A'!$AX$170</f>
        <v>708.21917180579567</v>
      </c>
      <c r="O35" s="674">
        <f>'[8]3A'!$AX$15</f>
        <v>4679.3691734179229</v>
      </c>
      <c r="P35" s="674">
        <f>'[8]3A'!$AX$204+'[8]3A'!$AX$229+'[8]3A'!$AX$187</f>
        <v>2334.2516942185657</v>
      </c>
      <c r="Q35" s="675">
        <f t="shared" si="15"/>
        <v>199.51985740852251</v>
      </c>
      <c r="R35" s="618">
        <f t="shared" ref="R35" si="22">ROUND(J35,1)-ROUND(C35,1)-ROUND(D35,1)-ROUND(E35,1)-ROUND(F35,1)-ROUND(G35,1)-ROUND(H35,1)-ROUND(I35,1)</f>
        <v>-3.4958702599396929E-12</v>
      </c>
      <c r="S35" s="618">
        <f t="shared" ref="S35" si="23">ROUND(J35,1)-ROUND(K35,1)-ROUND(L35,1)-ROUND(M35,1)-ROUND(N35,1)-ROUND(O35,1)-ROUND(P35,1)-ROUND(Q35,1)</f>
        <v>-1.8189894035458565E-12</v>
      </c>
    </row>
    <row r="36" spans="1:21" s="185" customFormat="1" ht="17.25" customHeight="1">
      <c r="A36" s="1983"/>
      <c r="B36" s="1984" t="s">
        <v>420</v>
      </c>
      <c r="C36" s="674">
        <f>'[9]3B'!$AH$186</f>
        <v>28511.136359516779</v>
      </c>
      <c r="D36" s="674">
        <f>SUM('[9]3B'!$AH$189:$AH$193)</f>
        <v>8381.850625250634</v>
      </c>
      <c r="E36" s="674">
        <f>'[9]3B'!$AH$69+'[9]3B'!$AH$188+'[9]3B'!$AH$120+'[9]3B'!$AH$122+SUM('[9]3B'!$AH$199:$AH$203)+'[9]3B'!$AH$86+'[9]3B'!$AH$90+'[9]3B'!$AH$105+'[9]3B'!$AH$118</f>
        <v>1174.6979354267664</v>
      </c>
      <c r="F36" s="674">
        <f>'[9]3B'!$AH$130+'[9]3B'!$AH$141+'[9]3B'!$AH$170</f>
        <v>1849.6455789248726</v>
      </c>
      <c r="G36" s="674">
        <f>'[9]3B'!$AH$15</f>
        <v>2754.7362600964607</v>
      </c>
      <c r="H36" s="674">
        <f>'[9]3B'!$AH$204+'[9]3B'!$AH$229+'[9]3B'!$AH$187</f>
        <v>1371.6682405202628</v>
      </c>
      <c r="I36" s="675">
        <f>$J36-SUM(C36:H36)</f>
        <v>144.6619674210815</v>
      </c>
      <c r="J36" s="1461">
        <f>'[9]3B'!$AH$272</f>
        <v>44188.396967156863</v>
      </c>
      <c r="K36" s="674">
        <f>'[9]3A'!$AX$186</f>
        <v>22686.39490364811</v>
      </c>
      <c r="L36" s="674">
        <f>SUM('[9]3A'!$AX$189:$AX$193)</f>
        <v>11733.891006150567</v>
      </c>
      <c r="M36" s="672">
        <f>'[9]3A'!$AX$69+'[9]3A'!$AX$188+'[9]3A'!$AX$120+'[9]3A'!$AX$122+SUM('[9]3A'!$AX$199:$AX$203)+'[9]3A'!$AX$86+'[9]3A'!$AX$90+'[9]3A'!$AX$105+'[9]3A'!$AX$118+0.01</f>
        <v>1924.3553780102391</v>
      </c>
      <c r="N36" s="674">
        <f>'[9]3A'!$AX$130+'[9]3A'!$AX$141+'[9]3A'!$AX$170</f>
        <v>814.63002351063608</v>
      </c>
      <c r="O36" s="674">
        <f>'[9]3A'!$AX$15</f>
        <v>4597.5733885928785</v>
      </c>
      <c r="P36" s="674">
        <f>'[9]3A'!$AX$204+'[9]3A'!$AX$229+'[9]3A'!$AX$187</f>
        <v>2296.1427992892927</v>
      </c>
      <c r="Q36" s="675">
        <f t="shared" si="15"/>
        <v>135.40946795513446</v>
      </c>
      <c r="R36" s="618">
        <f t="shared" ref="R36" si="24">ROUND(J36,1)-ROUND(C36,1)-ROUND(D36,1)-ROUND(E36,1)-ROUND(F36,1)-ROUND(G36,1)-ROUND(H36,1)-ROUND(I36,1)</f>
        <v>4.1495695768389851E-12</v>
      </c>
      <c r="S36" s="618">
        <f t="shared" ref="S36" si="25">ROUND(J36,1)-ROUND(K36,1)-ROUND(L36,1)-ROUND(M36,1)-ROUND(N36,1)-ROUND(O36,1)-ROUND(P36,1)-ROUND(Q36,1)</f>
        <v>0</v>
      </c>
    </row>
    <row r="37" spans="1:21" s="185" customFormat="1" ht="17.25" customHeight="1">
      <c r="A37" s="1983"/>
      <c r="B37" s="1984" t="s">
        <v>421</v>
      </c>
      <c r="C37" s="674">
        <f>'[10]3B'!$AH$186</f>
        <v>28811.586145280635</v>
      </c>
      <c r="D37" s="674">
        <f>SUM('[10]3B'!$AH$189:$AH$193)</f>
        <v>8542.6984615958518</v>
      </c>
      <c r="E37" s="674">
        <f>'[10]3B'!$AH$69+'[10]3B'!$AH$188+'[10]3B'!$AH$120+'[10]3B'!$AH$122+SUM('[10]3B'!$AH$199:$AH$203)+'[10]3B'!$AH$86+'[10]3B'!$AH$90+'[10]3B'!$AH$105+'[10]3B'!$AH$118</f>
        <v>1190.9343258297126</v>
      </c>
      <c r="F37" s="674">
        <f>'[10]3B'!$AH$130+'[10]3B'!$AH$141+'[10]3B'!$AH$170</f>
        <v>1658.0745719448551</v>
      </c>
      <c r="G37" s="674">
        <f>'[10]3B'!$AH$15</f>
        <v>2798.366042759872</v>
      </c>
      <c r="H37" s="674">
        <f>'[10]3B'!$AH$204+'[10]3B'!$AH$229+'[10]3B'!$AH$187</f>
        <v>1383.3675163920791</v>
      </c>
      <c r="I37" s="675">
        <f>$J37-SUM(C37:H37)</f>
        <v>142.74762524636753</v>
      </c>
      <c r="J37" s="1461">
        <f>'[10]3B'!$AH$272</f>
        <v>44527.774689049373</v>
      </c>
      <c r="K37" s="674">
        <f>'[10]3A'!$AX$186</f>
        <v>23090.7267210836</v>
      </c>
      <c r="L37" s="674">
        <f>SUM('[10]3A'!$AX$189:$AX$193)</f>
        <v>11654.533694105776</v>
      </c>
      <c r="M37" s="674">
        <f>'[10]3A'!$AX$69+'[10]3A'!$AX$188+'[10]3A'!$AX$120+'[10]3A'!$AX$122+SUM('[10]3A'!$AX$199:$AX$203)+'[10]3A'!$AX$86+'[10]3A'!$AX$90+'[10]3A'!$AX$105+'[10]3A'!$AX$118</f>
        <v>1981.9103876571789</v>
      </c>
      <c r="N37" s="674">
        <f>'[10]3A'!$AX$130+'[10]3A'!$AX$141+'[10]3A'!$AX$170</f>
        <v>798.70476861526197</v>
      </c>
      <c r="O37" s="674">
        <f>'[10]3A'!$AX$15</f>
        <v>4824.6781396455435</v>
      </c>
      <c r="P37" s="674">
        <f>'[10]3A'!$AX$204+'[10]3A'!$AX$229+'[10]3A'!$AX$187</f>
        <v>2036.372064520709</v>
      </c>
      <c r="Q37" s="670">
        <f>$J37-SUM(K37:P37)+0.01</f>
        <v>140.85891342130867</v>
      </c>
      <c r="R37" s="618">
        <f t="shared" ref="R37" si="26">ROUND(J37,1)-ROUND(C37,1)-ROUND(D37,1)-ROUND(E37,1)-ROUND(F37,1)-ROUND(G37,1)-ROUND(H37,1)-ROUND(I37,1)</f>
        <v>3.4674485505092889E-12</v>
      </c>
      <c r="S37" s="618">
        <f t="shared" ref="S37" si="27">ROUND(J37,1)-ROUND(K37,1)-ROUND(L37,1)-ROUND(M37,1)-ROUND(N37,1)-ROUND(O37,1)-ROUND(P37,1)-ROUND(Q37,1)</f>
        <v>2.8137492336099967E-12</v>
      </c>
    </row>
    <row r="38" spans="1:21" s="185" customFormat="1" ht="17.25" customHeight="1">
      <c r="A38" s="1983"/>
      <c r="B38" s="1984" t="s">
        <v>422</v>
      </c>
      <c r="C38" s="674">
        <f>'[11]3B'!$AH$186</f>
        <v>29189.182845824929</v>
      </c>
      <c r="D38" s="674">
        <f>SUM('[11]3B'!$AH$189:$AH$193)</f>
        <v>8552.0932346619229</v>
      </c>
      <c r="E38" s="674">
        <f>'[11]3B'!$AH$69+'[11]3B'!$AH$188+'[11]3B'!$AH$120+'[11]3B'!$AH$122+SUM('[11]3B'!$AH$199:$AH$203)+'[11]3B'!$AH$86+'[11]3B'!$AH$90+'[11]3B'!$AH$105+'[11]3B'!$AH$118</f>
        <v>1213.0294311021278</v>
      </c>
      <c r="F38" s="674">
        <f>'[11]3B'!$AH$130+'[11]3B'!$AH$141+'[11]3B'!$AH$170</f>
        <v>1766.2797562036569</v>
      </c>
      <c r="G38" s="674">
        <f>'[11]3B'!$AH$15</f>
        <v>2885.1781531864617</v>
      </c>
      <c r="H38" s="674">
        <f>'[11]3B'!$AH$204+'[11]3B'!$AH$229+'[11]3B'!$AH$187</f>
        <v>1257.6374278438038</v>
      </c>
      <c r="I38" s="675">
        <f>$J38-SUM(C38:H38)</f>
        <v>137.73945033265045</v>
      </c>
      <c r="J38" s="1461">
        <f>'[11]3B'!$AH$272</f>
        <v>45001.140299155551</v>
      </c>
      <c r="K38" s="674">
        <f>'[11]3A'!$AX$186</f>
        <v>23317.709982532338</v>
      </c>
      <c r="L38" s="674">
        <f>SUM('[11]3A'!$AX$189:$AX$193)</f>
        <v>12315.662017054539</v>
      </c>
      <c r="M38" s="674">
        <f>'[11]3A'!$AX$69+'[11]3A'!$AX$188+'[11]3A'!$AX$120+'[11]3A'!$AX$122+SUM('[11]3A'!$AX$199:$AX$203)+'[11]3A'!$AX$86+'[11]3A'!$AX$90+'[11]3A'!$AX$105+'[11]3A'!$AX$118</f>
        <v>2097.7327147008987</v>
      </c>
      <c r="N38" s="674">
        <f>'[11]3A'!$AX$130+'[11]3A'!$AX$141+'[11]3A'!$AX$170</f>
        <v>650.70375405904542</v>
      </c>
      <c r="O38" s="674">
        <f>'[11]3A'!$AX$15</f>
        <v>4897.8010543833198</v>
      </c>
      <c r="P38" s="672">
        <f>'[11]3A'!$AX$204+'[11]3A'!$AX$229+'[11]3A'!$AX$187-0.01</f>
        <v>1549.4425534324812</v>
      </c>
      <c r="Q38" s="675">
        <f>$J38-SUM(K38:P38)</f>
        <v>172.0882229929266</v>
      </c>
      <c r="R38" s="618">
        <f t="shared" ref="R38" si="28">ROUND(J38,1)-ROUND(C38,1)-ROUND(D38,1)-ROUND(E38,1)-ROUND(F38,1)-ROUND(G38,1)-ROUND(H38,1)-ROUND(I38,1)</f>
        <v>-2.4442670110147446E-12</v>
      </c>
      <c r="S38" s="618">
        <f t="shared" ref="S38" si="29">ROUND(J38,1)-ROUND(K38,1)-ROUND(L38,1)-ROUND(M38,1)-ROUND(N38,1)-ROUND(O38,1)-ROUND(P38,1)-ROUND(Q38,1)</f>
        <v>-2.8137492336099967E-12</v>
      </c>
    </row>
    <row r="39" spans="1:21" s="185" customFormat="1" ht="21" customHeight="1">
      <c r="A39" s="1983">
        <v>2026</v>
      </c>
      <c r="B39" s="1984" t="s">
        <v>423</v>
      </c>
      <c r="C39" s="674">
        <f>'[12]3B'!$AH$186</f>
        <v>29246.43193579782</v>
      </c>
      <c r="D39" s="674">
        <f>SUM('[12]3B'!$AH$189:$AH$193)</f>
        <v>8542.3064539392199</v>
      </c>
      <c r="E39" s="674">
        <f>'[12]3B'!$AH$69+'[12]3B'!$AH$188+'[12]3B'!$AH$120+'[12]3B'!$AH$122+SUM('[12]3B'!$AH$199:$AH$203)+'[12]3B'!$AH$86+'[12]3B'!$AH$90+'[12]3B'!$AH$105+'[12]3B'!$AH$118</f>
        <v>1234.5611168477342</v>
      </c>
      <c r="F39" s="674">
        <f>'[12]3B'!$AH$130+'[12]3B'!$AH$141+'[12]3B'!$AH$170</f>
        <v>1861.2468575955174</v>
      </c>
      <c r="G39" s="674">
        <f>'[12]3B'!$AH$15</f>
        <v>2976.7633979153243</v>
      </c>
      <c r="H39" s="674">
        <f>'[12]3B'!$AH$204+'[12]3B'!$AH$229+'[12]3B'!$AH$187</f>
        <v>1274.5181009321818</v>
      </c>
      <c r="I39" s="670">
        <f>$J39-SUM(C39:H39)+0.02</f>
        <v>135.53494780577196</v>
      </c>
      <c r="J39" s="673">
        <f>'[12]3B'!$AH$272-0.01</f>
        <v>45271.342810833572</v>
      </c>
      <c r="K39" s="672">
        <f>'[12]3A'!$AX$186+0.05</f>
        <v>23554.570528389453</v>
      </c>
      <c r="L39" s="674">
        <f>SUM('[12]3A'!$AX$189:$AX$193)</f>
        <v>12020.272704235438</v>
      </c>
      <c r="M39" s="672">
        <f>'[12]3A'!$AX$69+'[12]3A'!$AX$188+'[12]3A'!$AX$120+'[12]3A'!$AX$122+SUM('[12]3A'!$AX$199:$AX$203)+'[12]3A'!$AX$86+'[12]3A'!$AX$90+'[12]3A'!$AX$105+'[12]3A'!$AX$118-0.02</f>
        <v>2339.0431884277041</v>
      </c>
      <c r="N39" s="674">
        <f>'[12]3A'!$AX$130+'[12]3A'!$AX$141+'[12]3A'!$AX$170</f>
        <v>940.97673508608966</v>
      </c>
      <c r="O39" s="674">
        <f>'[12]3A'!$AX$15</f>
        <v>4572.9323787284338</v>
      </c>
      <c r="P39" s="674">
        <f>'[12]3A'!$AX$204+'[12]3A'!$AX$229+'[12]3A'!$AX$187</f>
        <v>1683.9196690902256</v>
      </c>
      <c r="Q39" s="675">
        <f>$J39-SUM(K39:P39)</f>
        <v>159.62760687622358</v>
      </c>
      <c r="R39" s="618">
        <f t="shared" ref="R39" si="30">ROUND(J39,1)-ROUND(C39,1)-ROUND(D39,1)-ROUND(E39,1)-ROUND(F39,1)-ROUND(G39,1)-ROUND(H39,1)-ROUND(I39,1)</f>
        <v>1.8189894035458565E-12</v>
      </c>
      <c r="S39" s="618">
        <f t="shared" ref="S39" si="31">ROUND(J39,1)-ROUND(K39,1)-ROUND(L39,1)-ROUND(M39,1)-ROUND(N39,1)-ROUND(O39,1)-ROUND(P39,1)-ROUND(Q39,1)</f>
        <v>5.3717030823463574E-12</v>
      </c>
    </row>
    <row r="40" spans="1:21" s="185" customFormat="1" ht="17.25" customHeight="1">
      <c r="A40" s="1983"/>
      <c r="B40" s="1984" t="s">
        <v>424</v>
      </c>
      <c r="C40" s="674">
        <f>'[13]3B'!$AH$186</f>
        <v>29328.402111737163</v>
      </c>
      <c r="D40" s="674">
        <f>SUM('[13]3B'!$AH$189:$AH$193)</f>
        <v>8864.7142212952385</v>
      </c>
      <c r="E40" s="674">
        <f>'[13]3B'!$AH$69+'[13]3B'!$AH$188+'[13]3B'!$AH$120+'[13]3B'!$AH$122+SUM('[13]3B'!$AH$199:$AH$203)+'[13]3B'!$AH$86+'[13]3B'!$AH$90+'[13]3B'!$AH$105+'[13]3B'!$AH$118</f>
        <v>1304.696983086744</v>
      </c>
      <c r="F40" s="674">
        <f>'[13]3B'!$AH$130+'[13]3B'!$AH$141+'[13]3B'!$AH$170</f>
        <v>2140.3370869003707</v>
      </c>
      <c r="G40" s="674">
        <f>'[13]3B'!$AH$15</f>
        <v>2949.351944459343</v>
      </c>
      <c r="H40" s="674">
        <f>'[13]3B'!$AH$204+'[13]3B'!$AH$229+'[13]3B'!$AH$187</f>
        <v>1293.5026687191053</v>
      </c>
      <c r="I40" s="675">
        <f>$J40-SUM(C40:H40)</f>
        <v>129.53314543455053</v>
      </c>
      <c r="J40" s="673">
        <f>'[13]3B'!$AH$272-0.02</f>
        <v>46010.538161632518</v>
      </c>
      <c r="K40" s="672">
        <f>'[13]3A'!$AX$186-0.05</f>
        <v>23742.337905137618</v>
      </c>
      <c r="L40" s="674">
        <f>SUM('[13]3A'!$AX$189:$AX$193)</f>
        <v>12343.975105290161</v>
      </c>
      <c r="M40" s="674">
        <f>'[13]3A'!$AX$69+'[13]3A'!$AX$188+'[13]3A'!$AX$120+'[13]3A'!$AX$122+SUM('[13]3A'!$AX$199:$AX$203)+'[13]3A'!$AX$86+'[13]3A'!$AX$90+'[13]3A'!$AX$105+'[13]3A'!$AX$118</f>
        <v>2378.3299457870598</v>
      </c>
      <c r="N40" s="674">
        <f>'[13]3A'!$AX$130+'[13]3A'!$AX$141+'[13]3A'!$AX$170</f>
        <v>952.97586640751047</v>
      </c>
      <c r="O40" s="672">
        <f>'[13]3A'!$AX$15-0.02</f>
        <v>4652.6385194441245</v>
      </c>
      <c r="P40" s="674">
        <f>'[13]3A'!$AX$204+'[13]3A'!$AX$229+'[13]3A'!$AX$187</f>
        <v>1793.6835752182842</v>
      </c>
      <c r="Q40" s="675">
        <f>$J40-SUM(K40:P40)</f>
        <v>146.59724434775853</v>
      </c>
      <c r="R40" s="618">
        <f t="shared" ref="R40" si="32">ROUND(J40,1)-ROUND(C40,1)-ROUND(D40,1)-ROUND(E40,1)-ROUND(F40,1)-ROUND(G40,1)-ROUND(H40,1)-ROUND(I40,1)</f>
        <v>-2.2737367544323206E-12</v>
      </c>
      <c r="S40" s="618">
        <f t="shared" ref="S40" si="33">ROUND(J40,1)-ROUND(K40,1)-ROUND(L40,1)-ROUND(M40,1)-ROUND(N40,1)-ROUND(O40,1)-ROUND(P40,1)-ROUND(Q40,1)</f>
        <v>0</v>
      </c>
    </row>
    <row r="41" spans="1:21" s="185" customFormat="1" ht="17.25" customHeight="1">
      <c r="A41" s="1983"/>
      <c r="B41" s="1984" t="s">
        <v>425</v>
      </c>
      <c r="C41" s="674">
        <f>'[14]3B'!$AH$186</f>
        <v>30502.077269753252</v>
      </c>
      <c r="D41" s="674">
        <f>SUM('[14]3B'!$AH$189:$AH$193)</f>
        <v>8827.5132775579095</v>
      </c>
      <c r="E41" s="674">
        <f>'[14]3B'!$AH$69+'[14]3B'!$AH$188+'[14]3B'!$AH$120+'[14]3B'!$AH$122+SUM('[14]3B'!$AH$199:$AH$203)+'[14]3B'!$AH$86+'[14]3B'!$AH$90+'[14]3B'!$AH$105+'[14]3B'!$AH$118</f>
        <v>1298.8470400219974</v>
      </c>
      <c r="F41" s="674">
        <f>'[14]3B'!$AH$130+'[14]3B'!$AH$141+'[14]3B'!$AH$170</f>
        <v>1896.9324957109952</v>
      </c>
      <c r="G41" s="674">
        <f>'[14]3B'!$AH$15</f>
        <v>3066.1068107111041</v>
      </c>
      <c r="H41" s="674">
        <f>'[14]3B'!$AH$204+'[14]3B'!$AH$229+'[14]3B'!$AH$187</f>
        <v>1115.2963086919415</v>
      </c>
      <c r="I41" s="675">
        <f>$J41-SUM(C41:H41)</f>
        <v>130.57170161531394</v>
      </c>
      <c r="J41" s="673">
        <f>'[14]3B'!$AH$272-0.2</f>
        <v>46837.344904062513</v>
      </c>
      <c r="K41" s="674">
        <f>'[14]3A'!$AX$186</f>
        <v>23997.239220725674</v>
      </c>
      <c r="L41" s="674">
        <f>SUM('[14]3A'!$AX$189:$AX$193)</f>
        <v>13644.519716279752</v>
      </c>
      <c r="M41" s="674">
        <f>'[14]3A'!$AX$69+'[14]3A'!$AX$188+'[14]3A'!$AX$120+'[14]3A'!$AX$122+SUM('[14]3A'!$AX$199:$AX$203)+'[14]3A'!$AX$86+'[14]3A'!$AX$90+'[14]3A'!$AX$105+'[14]3A'!$AX$118</f>
        <v>2228.9069607532142</v>
      </c>
      <c r="N41" s="674">
        <f>'[14]3A'!$AX$130+'[14]3A'!$AX$141+'[14]3A'!$AX$170</f>
        <v>765.49999599379555</v>
      </c>
      <c r="O41" s="674">
        <f>'[14]3A'!$AX$15</f>
        <v>4546.3340909617036</v>
      </c>
      <c r="P41" s="674">
        <f>'[14]3A'!$AX$204+'[14]3A'!$AX$229+'[14]3A'!$AX$187</f>
        <v>1543.9569066487984</v>
      </c>
      <c r="Q41" s="675">
        <f>$J41-SUM(K41:P41)</f>
        <v>110.88801269957912</v>
      </c>
      <c r="R41" s="618">
        <f t="shared" ref="R41" si="34">ROUND(J41,1)-ROUND(C41,1)-ROUND(D41,1)-ROUND(E41,1)-ROUND(F41,1)-ROUND(G41,1)-ROUND(H41,1)-ROUND(I41,1)</f>
        <v>3.780087354243733E-12</v>
      </c>
      <c r="S41" s="618">
        <f t="shared" ref="S41" si="35">ROUND(J41,1)-ROUND(K41,1)-ROUND(L41,1)-ROUND(M41,1)-ROUND(N41,1)-ROUND(O41,1)-ROUND(P41,1)-ROUND(Q41,1)</f>
        <v>2.3590018827235326E-12</v>
      </c>
    </row>
    <row r="42" spans="1:21" s="185" customFormat="1" ht="17.25" customHeight="1">
      <c r="A42" s="1983"/>
      <c r="B42" s="1984" t="s">
        <v>426</v>
      </c>
      <c r="C42" s="672">
        <f>'[15]3B'!$AH$186-0.04</f>
        <v>30219.540746604976</v>
      </c>
      <c r="D42" s="674">
        <f>SUM('[15]3B'!$AH$189:$AH$193)</f>
        <v>9044.633573215051</v>
      </c>
      <c r="E42" s="674">
        <f>'[15]3B'!$AH$69+'[15]3B'!$AH$188+'[15]3B'!$AH$120+'[15]3B'!$AH$122+SUM('[15]3B'!$AH$199:$AH$203)+'[15]3B'!$AH$86+'[15]3B'!$AH$90+'[15]3B'!$AH$105+'[15]3B'!$AH$118</f>
        <v>1426.0578313409096</v>
      </c>
      <c r="F42" s="674">
        <f>'[15]3B'!$AH$130+'[15]3B'!$AH$141+'[15]3B'!$AH$170</f>
        <v>2018.6726547276014</v>
      </c>
      <c r="G42" s="674">
        <f>'[15]3B'!$AH$15</f>
        <v>3191.9103287211742</v>
      </c>
      <c r="H42" s="674">
        <f>'[15]3B'!$AH$204+'[15]3B'!$AH$229+'[15]3B'!$AH$187</f>
        <v>1112.7994933394398</v>
      </c>
      <c r="I42" s="670">
        <f>$J42-SUM(C42:H42)-0.05</f>
        <v>123.28424521897541</v>
      </c>
      <c r="J42" s="1461">
        <f>'[15]3B'!$AH$272</f>
        <v>47136.948873168127</v>
      </c>
      <c r="K42" s="672">
        <f>'[15]3A'!$AX$186+0.04</f>
        <v>24648.250645496686</v>
      </c>
      <c r="L42" s="674">
        <f>SUM('[15]3A'!$AX$189:$AX$193)</f>
        <v>13178.00878939949</v>
      </c>
      <c r="M42" s="674">
        <f>'[15]3A'!$AX$69+'[15]3A'!$AX$188+'[15]3A'!$AX$120+'[15]3A'!$AX$122+SUM('[15]3A'!$AX$199:$AX$203)+'[15]3A'!$AX$86+'[15]3A'!$AX$90+'[15]3A'!$AX$105+'[15]3A'!$AX$118</f>
        <v>2193.7991465602349</v>
      </c>
      <c r="N42" s="674">
        <f>'[15]3A'!$AX$130+'[15]3A'!$AX$141+'[15]3A'!$AX$170</f>
        <v>1004.0041056177289</v>
      </c>
      <c r="O42" s="674">
        <f>'[15]3A'!$AX$15</f>
        <v>4443.5127463352483</v>
      </c>
      <c r="P42" s="674">
        <f>'[15]3A'!$AX$204+'[15]3A'!$AX$229+'[15]3A'!$AX$187</f>
        <v>1526.5122454282473</v>
      </c>
      <c r="Q42" s="670">
        <f>$J42-SUM(K42:P42)-0.02</f>
        <v>142.84119433050043</v>
      </c>
      <c r="R42" s="618">
        <f t="shared" ref="R42" si="36">ROUND(J42,1)-ROUND(C42,1)-ROUND(D42,1)-ROUND(E42,1)-ROUND(F42,1)-ROUND(G42,1)-ROUND(H42,1)-ROUND(I42,1)</f>
        <v>8.6686213762732223E-13</v>
      </c>
      <c r="S42" s="618">
        <f t="shared" ref="S42" si="37">ROUND(J42,1)-ROUND(K42,1)-ROUND(L42,1)-ROUND(M42,1)-ROUND(N42,1)-ROUND(O42,1)-ROUND(P42,1)-ROUND(Q42,1)</f>
        <v>1.9895196601282805E-12</v>
      </c>
    </row>
    <row r="43" spans="1:21" s="185" customFormat="1" ht="17.25" customHeight="1">
      <c r="A43" s="1983"/>
      <c r="B43" s="1984" t="s">
        <v>427</v>
      </c>
      <c r="C43" s="674">
        <f>'[16]3B'!$AH$186</f>
        <v>30138.911154464695</v>
      </c>
      <c r="D43" s="674">
        <f>SUM('[16]3B'!$AH$189:$AH$193)</f>
        <v>8989.3864719842022</v>
      </c>
      <c r="E43" s="674">
        <f>'[16]3B'!$AH$69+'[16]3B'!$AH$188+'[16]3B'!$AH$120+'[16]3B'!$AH$122+SUM('[16]3B'!$AH$199:$AH$203)+'[16]3B'!$AH$86+'[16]3B'!$AH$90+'[16]3B'!$AH$105+'[16]3B'!$AH$118</f>
        <v>1383.9011414814051</v>
      </c>
      <c r="F43" s="674">
        <f>'[16]3B'!$AH$130+'[16]3B'!$AH$141+'[16]3B'!$AH$170</f>
        <v>2106.8207906439497</v>
      </c>
      <c r="G43" s="674">
        <f>'[16]3B'!$AH$15</f>
        <v>3201.0532246816292</v>
      </c>
      <c r="H43" s="674">
        <f>'[16]3B'!$AH$204+'[16]3B'!$AH$229+'[16]3B'!$AH$187</f>
        <v>1107.4209168981088</v>
      </c>
      <c r="I43" s="675">
        <f>$J43-SUM(C43:H43)</f>
        <v>119.35741837466776</v>
      </c>
      <c r="J43" s="1461">
        <f>'[16]3B'!$AH$272</f>
        <v>47046.851118528662</v>
      </c>
      <c r="K43" s="674">
        <f>'[16]3A'!$AX$186</f>
        <v>24843.443744991215</v>
      </c>
      <c r="L43" s="674">
        <f>SUM('[16]3A'!$AX$189:$AX$193)</f>
        <v>13137.493350841654</v>
      </c>
      <c r="M43" s="674">
        <f>'[16]3A'!$AX$69+'[16]3A'!$AX$188+'[16]3A'!$AX$120+'[16]3A'!$AX$122+SUM('[16]3A'!$AX$199:$AX$203)+'[16]3A'!$AX$86+'[16]3A'!$AX$90+'[16]3A'!$AX$105+'[16]3A'!$AX$118</f>
        <v>2274.0170435348441</v>
      </c>
      <c r="N43" s="674">
        <f>'[16]3A'!$AX$130+'[16]3A'!$AX$141+'[16]3A'!$AX$170</f>
        <v>868.9176565893946</v>
      </c>
      <c r="O43" s="674">
        <f>'[16]3A'!$AX$15</f>
        <v>4203.9108348350946</v>
      </c>
      <c r="P43" s="672">
        <f>'[16]3A'!$AX$204+'[16]3A'!$AX$229+'[16]3A'!$AX$187+0.04</f>
        <v>1462.3581446067428</v>
      </c>
      <c r="Q43" s="670">
        <f>$J43-SUM(K43:P43)+0.04</f>
        <v>256.75034312972917</v>
      </c>
      <c r="R43" s="618">
        <f t="shared" ref="R43" si="38">ROUND(J43,1)-ROUND(C43,1)-ROUND(D43,1)-ROUND(E43,1)-ROUND(F43,1)-ROUND(G43,1)-ROUND(H43,1)-ROUND(I43,1)</f>
        <v>5.4001247917767614E-13</v>
      </c>
      <c r="S43" s="618">
        <f t="shared" ref="S43" si="39">ROUND(J43,1)-ROUND(K43,1)-ROUND(L43,1)-ROUND(M43,1)-ROUND(N43,1)-ROUND(O43,1)-ROUND(P43,1)-ROUND(Q43,1)</f>
        <v>6.2527760746888816E-13</v>
      </c>
    </row>
    <row r="44" spans="1:21" ht="19.5" customHeight="1">
      <c r="A44" s="292" t="s">
        <v>979</v>
      </c>
      <c r="B44" s="232"/>
      <c r="C44" s="232"/>
      <c r="D44" s="232"/>
      <c r="E44" s="232"/>
      <c r="F44" s="232"/>
      <c r="G44" s="232"/>
      <c r="H44" s="232"/>
      <c r="I44" s="232"/>
      <c r="J44" s="232"/>
      <c r="K44" s="232"/>
      <c r="L44" s="232"/>
      <c r="M44" s="232"/>
      <c r="N44" s="232"/>
      <c r="O44" s="232"/>
      <c r="P44" s="232"/>
      <c r="Q44" s="291" t="s">
        <v>980</v>
      </c>
    </row>
    <row r="45" spans="1:21" ht="16" customHeight="1">
      <c r="A45" s="372" t="s">
        <v>981</v>
      </c>
      <c r="Q45" s="634" t="s">
        <v>982</v>
      </c>
    </row>
    <row r="46" spans="1:21" s="635" customFormat="1" ht="15.5">
      <c r="A46" s="372" t="s">
        <v>983</v>
      </c>
      <c r="B46" s="372"/>
      <c r="C46" s="372"/>
      <c r="D46" s="372"/>
      <c r="E46" s="372"/>
      <c r="F46" s="372"/>
      <c r="G46" s="372"/>
      <c r="H46" s="372"/>
      <c r="I46" s="372"/>
      <c r="J46" s="317"/>
      <c r="K46" s="317"/>
      <c r="L46" s="317"/>
      <c r="M46" s="317"/>
      <c r="N46" s="317"/>
      <c r="O46" s="317"/>
      <c r="P46" s="317"/>
      <c r="Q46" s="1415" t="s">
        <v>984</v>
      </c>
      <c r="R46" s="185"/>
      <c r="S46" s="185"/>
      <c r="T46" s="185"/>
      <c r="U46" s="185"/>
    </row>
    <row r="47" spans="1:21" ht="15.5">
      <c r="A47" s="317" t="s">
        <v>985</v>
      </c>
      <c r="B47" s="269"/>
      <c r="C47" s="269"/>
      <c r="D47" s="269"/>
      <c r="E47" s="269"/>
      <c r="F47" s="269"/>
      <c r="G47" s="269"/>
      <c r="H47" s="269"/>
      <c r="I47" s="269"/>
      <c r="J47" s="269"/>
      <c r="K47" s="269"/>
      <c r="L47" s="269"/>
      <c r="M47" s="269"/>
      <c r="N47" s="269"/>
      <c r="O47" s="269"/>
      <c r="P47" s="269"/>
      <c r="Q47" s="269"/>
    </row>
    <row r="48" spans="1:21">
      <c r="C48" s="1251"/>
      <c r="D48" s="1251"/>
      <c r="E48" s="1251"/>
      <c r="F48" s="1251"/>
      <c r="G48" s="1251"/>
      <c r="H48" s="1251"/>
      <c r="I48" s="1251"/>
      <c r="J48" s="1251"/>
      <c r="K48" s="1251"/>
      <c r="L48" s="1251"/>
      <c r="M48" s="1251"/>
      <c r="N48" s="1251"/>
      <c r="O48" s="1251"/>
      <c r="P48" s="1251"/>
      <c r="Q48" s="1251"/>
    </row>
    <row r="49" spans="3:17">
      <c r="C49" s="1251"/>
      <c r="D49" s="1251"/>
      <c r="E49" s="1251"/>
      <c r="F49" s="1251"/>
      <c r="G49" s="1251"/>
      <c r="H49" s="1251"/>
      <c r="I49" s="1251"/>
      <c r="J49" s="1251"/>
      <c r="K49" s="1251"/>
      <c r="L49" s="1251"/>
      <c r="M49" s="1251"/>
      <c r="N49" s="1251"/>
      <c r="O49" s="1251"/>
      <c r="P49" s="1251"/>
      <c r="Q49" s="1251"/>
    </row>
  </sheetData>
  <phoneticPr fontId="51" type="noConversion"/>
  <printOptions horizontalCentered="1" verticalCentered="1"/>
  <pageMargins left="0" right="0" top="0" bottom="0" header="0.5" footer="0.5"/>
  <pageSetup paperSize="9" scale="68"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tabColor rgb="FFFF0000"/>
  </sheetPr>
  <dimension ref="A1:U48"/>
  <sheetViews>
    <sheetView zoomScale="80" zoomScaleNormal="80" workbookViewId="0">
      <pane ySplit="12" topLeftCell="A39" activePane="bottomLeft" state="frozen"/>
      <selection activeCell="B44" sqref="B44"/>
      <selection pane="bottomLeft" activeCell="A44" sqref="A44"/>
    </sheetView>
  </sheetViews>
  <sheetFormatPr defaultColWidth="9.1796875" defaultRowHeight="12.5"/>
  <cols>
    <col min="1" max="2" width="9.7265625" style="18" customWidth="1"/>
    <col min="3" max="3" width="11" style="18" customWidth="1"/>
    <col min="4" max="4" width="12.81640625" style="18" customWidth="1"/>
    <col min="5" max="5" width="12.7265625" style="18" customWidth="1"/>
    <col min="6" max="6" width="10.26953125" style="18" customWidth="1"/>
    <col min="7" max="7" width="11.81640625" style="18" customWidth="1"/>
    <col min="8" max="8" width="11.7265625" style="18" customWidth="1"/>
    <col min="9" max="9" width="10.26953125" style="18" customWidth="1"/>
    <col min="10" max="10" width="12.7265625" style="18" customWidth="1"/>
    <col min="11" max="11" width="12" style="18" customWidth="1"/>
    <col min="12" max="12" width="12.81640625" style="18" customWidth="1"/>
    <col min="13" max="13" width="11.7265625" style="18" customWidth="1"/>
    <col min="14" max="14" width="10.26953125" style="18" customWidth="1"/>
    <col min="15" max="16" width="11.7265625" style="18" customWidth="1"/>
    <col min="17" max="17" width="10.7265625" style="18" customWidth="1"/>
    <col min="18" max="16384" width="9.1796875" style="18"/>
  </cols>
  <sheetData>
    <row r="1" spans="1:19" s="915" customFormat="1" ht="18">
      <c r="A1" s="1091" t="s">
        <v>986</v>
      </c>
      <c r="B1" s="1113"/>
      <c r="C1" s="1113"/>
      <c r="D1" s="1113"/>
      <c r="E1" s="1113"/>
      <c r="F1" s="1113"/>
      <c r="G1" s="1113"/>
      <c r="H1" s="1113"/>
      <c r="I1" s="1113"/>
      <c r="J1" s="1113"/>
      <c r="K1" s="1113"/>
      <c r="L1" s="1113"/>
      <c r="M1" s="1113"/>
      <c r="N1" s="1113"/>
      <c r="O1" s="1113"/>
      <c r="P1" s="1113"/>
      <c r="Q1" s="1113"/>
    </row>
    <row r="2" spans="1:19" s="915" customFormat="1" ht="18">
      <c r="A2" s="1036" t="s">
        <v>987</v>
      </c>
      <c r="B2" s="1113"/>
      <c r="C2" s="1113"/>
      <c r="D2" s="1113"/>
      <c r="E2" s="1113"/>
      <c r="F2" s="1113"/>
      <c r="G2" s="1113"/>
      <c r="H2" s="1113"/>
      <c r="I2" s="1113"/>
      <c r="J2" s="1113"/>
      <c r="K2" s="1113"/>
      <c r="L2" s="1113"/>
      <c r="M2" s="1113"/>
      <c r="N2" s="1113"/>
      <c r="O2" s="1113"/>
      <c r="P2" s="1113"/>
      <c r="Q2" s="1113"/>
    </row>
    <row r="3" spans="1:19" s="915" customFormat="1" ht="18">
      <c r="A3" s="1146" t="s">
        <v>988</v>
      </c>
      <c r="B3" s="1113"/>
      <c r="C3" s="1113"/>
      <c r="D3" s="1113"/>
      <c r="E3" s="1113"/>
      <c r="F3" s="1113"/>
      <c r="G3" s="1113"/>
      <c r="H3" s="1113"/>
      <c r="I3" s="1113"/>
      <c r="J3" s="1113"/>
      <c r="K3" s="1113"/>
      <c r="L3" s="1113"/>
      <c r="M3" s="1113"/>
      <c r="N3" s="1113"/>
      <c r="O3" s="1113"/>
      <c r="P3" s="1113"/>
      <c r="Q3" s="1113"/>
    </row>
    <row r="4" spans="1:19" s="889" customFormat="1" ht="14">
      <c r="A4" s="1149" t="s">
        <v>377</v>
      </c>
      <c r="B4" s="1150"/>
      <c r="C4" s="1151"/>
      <c r="D4" s="1151"/>
      <c r="E4" s="1151"/>
      <c r="F4" s="1151"/>
      <c r="G4" s="1151"/>
      <c r="H4" s="1151"/>
      <c r="I4" s="1151"/>
      <c r="J4" s="1151"/>
      <c r="K4" s="1151"/>
      <c r="L4" s="1151"/>
      <c r="Q4" s="1152" t="s">
        <v>378</v>
      </c>
    </row>
    <row r="5" spans="1:19" s="889" customFormat="1" ht="14" hidden="1">
      <c r="A5" s="1149"/>
      <c r="B5" s="1150"/>
      <c r="C5" s="1151"/>
      <c r="D5" s="1151"/>
      <c r="E5" s="1151"/>
      <c r="F5" s="1151"/>
      <c r="G5" s="1151"/>
      <c r="H5" s="1151"/>
      <c r="I5" s="1151"/>
      <c r="J5" s="1151"/>
      <c r="K5" s="1151"/>
      <c r="L5" s="1151"/>
      <c r="Q5" s="1152"/>
    </row>
    <row r="6" spans="1:19" s="483" customFormat="1" ht="14" hidden="1">
      <c r="A6" s="626"/>
      <c r="B6" s="627"/>
      <c r="C6" s="628"/>
      <c r="D6" s="628"/>
      <c r="E6" s="628"/>
      <c r="F6" s="628"/>
      <c r="G6" s="628"/>
      <c r="H6" s="628"/>
      <c r="I6" s="628"/>
      <c r="J6" s="628"/>
      <c r="K6" s="628"/>
      <c r="L6" s="628"/>
      <c r="Q6" s="629"/>
    </row>
    <row r="7" spans="1:19" s="889" customFormat="1" ht="14" hidden="1">
      <c r="A7" s="1149"/>
      <c r="B7" s="1150"/>
      <c r="C7" s="1151"/>
      <c r="D7" s="1151"/>
      <c r="E7" s="1151"/>
      <c r="F7" s="1151"/>
      <c r="G7" s="1151"/>
      <c r="H7" s="1151"/>
      <c r="I7" s="1151"/>
      <c r="J7" s="1151"/>
      <c r="K7" s="1151"/>
      <c r="L7" s="1151"/>
      <c r="Q7" s="1152"/>
    </row>
    <row r="8" spans="1:19" s="166" customFormat="1" ht="23.9" customHeight="1">
      <c r="A8" s="176"/>
      <c r="B8" s="164"/>
      <c r="C8" s="630" t="s">
        <v>379</v>
      </c>
      <c r="D8" s="179"/>
      <c r="E8" s="165"/>
      <c r="F8" s="165"/>
      <c r="G8" s="165"/>
      <c r="H8" s="165"/>
      <c r="I8" s="636" t="s">
        <v>380</v>
      </c>
      <c r="J8" s="637"/>
      <c r="K8" s="638" t="s">
        <v>381</v>
      </c>
      <c r="L8" s="179"/>
      <c r="M8" s="165"/>
      <c r="N8" s="165"/>
      <c r="O8" s="165"/>
      <c r="P8" s="165"/>
      <c r="Q8" s="639" t="s">
        <v>382</v>
      </c>
    </row>
    <row r="9" spans="1:19" s="181" customFormat="1" ht="18" customHeight="1">
      <c r="A9" s="180"/>
      <c r="C9" s="187" t="s">
        <v>989</v>
      </c>
      <c r="D9" s="182" t="s">
        <v>990</v>
      </c>
      <c r="E9" s="182" t="s">
        <v>991</v>
      </c>
      <c r="F9" s="167" t="s">
        <v>992</v>
      </c>
      <c r="G9" s="167"/>
      <c r="H9" s="182" t="s">
        <v>993</v>
      </c>
      <c r="I9" s="182"/>
      <c r="J9" s="199"/>
      <c r="K9" s="187" t="s">
        <v>989</v>
      </c>
      <c r="L9" s="182" t="s">
        <v>990</v>
      </c>
      <c r="M9" s="182" t="s">
        <v>991</v>
      </c>
      <c r="N9" s="167" t="s">
        <v>992</v>
      </c>
      <c r="O9" s="167"/>
      <c r="P9" s="182" t="s">
        <v>993</v>
      </c>
      <c r="Q9" s="182"/>
    </row>
    <row r="10" spans="1:19" s="181" customFormat="1" ht="18" customHeight="1">
      <c r="A10" s="168" t="s">
        <v>387</v>
      </c>
      <c r="B10" s="170"/>
      <c r="C10" s="187" t="s">
        <v>994</v>
      </c>
      <c r="D10" s="182" t="s">
        <v>995</v>
      </c>
      <c r="E10" s="182" t="s">
        <v>996</v>
      </c>
      <c r="F10" s="167" t="s">
        <v>997</v>
      </c>
      <c r="G10" s="167" t="s">
        <v>355</v>
      </c>
      <c r="H10" s="182" t="s">
        <v>998</v>
      </c>
      <c r="I10" s="182" t="s">
        <v>399</v>
      </c>
      <c r="J10" s="198" t="s">
        <v>390</v>
      </c>
      <c r="K10" s="187" t="s">
        <v>994</v>
      </c>
      <c r="L10" s="182" t="s">
        <v>995</v>
      </c>
      <c r="M10" s="182" t="s">
        <v>996</v>
      </c>
      <c r="N10" s="167" t="s">
        <v>997</v>
      </c>
      <c r="O10" s="167" t="s">
        <v>355</v>
      </c>
      <c r="P10" s="182" t="s">
        <v>998</v>
      </c>
      <c r="Q10" s="182" t="s">
        <v>399</v>
      </c>
    </row>
    <row r="11" spans="1:19" s="169" customFormat="1" ht="18" customHeight="1">
      <c r="A11" s="183" t="s">
        <v>395</v>
      </c>
      <c r="B11" s="170"/>
      <c r="C11" s="196" t="s">
        <v>999</v>
      </c>
      <c r="D11" s="171" t="s">
        <v>1000</v>
      </c>
      <c r="E11" s="171" t="s">
        <v>1001</v>
      </c>
      <c r="F11" s="171" t="s">
        <v>1002</v>
      </c>
      <c r="G11" s="171" t="s">
        <v>557</v>
      </c>
      <c r="H11" s="171" t="s">
        <v>1003</v>
      </c>
      <c r="I11" s="173" t="s">
        <v>407</v>
      </c>
      <c r="J11" s="200" t="s">
        <v>400</v>
      </c>
      <c r="K11" s="196" t="s">
        <v>999</v>
      </c>
      <c r="L11" s="171" t="s">
        <v>1000</v>
      </c>
      <c r="M11" s="171" t="s">
        <v>1001</v>
      </c>
      <c r="N11" s="171" t="s">
        <v>1002</v>
      </c>
      <c r="O11" s="171" t="s">
        <v>557</v>
      </c>
      <c r="P11" s="171" t="s">
        <v>1003</v>
      </c>
      <c r="Q11" s="173" t="s">
        <v>407</v>
      </c>
    </row>
    <row r="12" spans="1:19" s="169" customFormat="1" ht="18" customHeight="1">
      <c r="A12" s="184"/>
      <c r="B12" s="175"/>
      <c r="C12" s="197" t="s">
        <v>1004</v>
      </c>
      <c r="D12" s="203" t="s">
        <v>1005</v>
      </c>
      <c r="E12" s="203" t="s">
        <v>1006</v>
      </c>
      <c r="F12" s="203" t="s">
        <v>1007</v>
      </c>
      <c r="G12" s="203"/>
      <c r="H12" s="203" t="s">
        <v>1008</v>
      </c>
      <c r="I12" s="204"/>
      <c r="J12" s="201"/>
      <c r="K12" s="197" t="s">
        <v>1004</v>
      </c>
      <c r="L12" s="203" t="s">
        <v>1005</v>
      </c>
      <c r="M12" s="203" t="s">
        <v>1006</v>
      </c>
      <c r="N12" s="203" t="s">
        <v>1007</v>
      </c>
      <c r="O12" s="203"/>
      <c r="P12" s="203" t="s">
        <v>1008</v>
      </c>
      <c r="Q12" s="203"/>
    </row>
    <row r="13" spans="1:19" s="667" customFormat="1" ht="27" customHeight="1">
      <c r="A13" s="664">
        <v>2016</v>
      </c>
      <c r="B13" s="665"/>
      <c r="C13" s="668">
        <v>13847.684482513308</v>
      </c>
      <c r="D13" s="668">
        <v>2582.1412415265781</v>
      </c>
      <c r="E13" s="669">
        <v>13061.54417763273</v>
      </c>
      <c r="F13" s="669">
        <v>608.83682272617261</v>
      </c>
      <c r="G13" s="669">
        <v>588.03695792123949</v>
      </c>
      <c r="H13" s="669">
        <v>29.177962049455999</v>
      </c>
      <c r="I13" s="669">
        <v>496.23113126245738</v>
      </c>
      <c r="J13" s="671">
        <v>31213.502775631947</v>
      </c>
      <c r="K13" s="668">
        <v>13725.336360418993</v>
      </c>
      <c r="L13" s="668">
        <v>2064.1325829993898</v>
      </c>
      <c r="M13" s="669">
        <v>14217.390170649742</v>
      </c>
      <c r="N13" s="669">
        <v>368.40274915953626</v>
      </c>
      <c r="O13" s="669">
        <v>553.22357673132444</v>
      </c>
      <c r="P13" s="669">
        <v>29.597446556999998</v>
      </c>
      <c r="Q13" s="669">
        <v>255.49861127791962</v>
      </c>
      <c r="R13" s="618">
        <f t="shared" ref="R13:R15" si="0">ROUND(J13,1)-ROUND(C13,1)-ROUND(D13,1)-ROUND(E13,1)-ROUND(F13,1)-ROUND(G13,1)-ROUND(H13,1)-ROUND(I13,1)</f>
        <v>-1.0231815394945443E-12</v>
      </c>
      <c r="S13" s="618">
        <f t="shared" ref="S13:S15" si="1">ROUND(J13,1)-ROUND(K13,1)-ROUND(L13,1)-ROUND(M13,1)-ROUND(N13,1)-ROUND(O13,1)-ROUND(P13,1)-ROUND(Q13,1)</f>
        <v>7.1054273576010019E-13</v>
      </c>
    </row>
    <row r="14" spans="1:19" s="880" customFormat="1" ht="18" customHeight="1">
      <c r="A14" s="664">
        <v>2017</v>
      </c>
      <c r="B14" s="665"/>
      <c r="C14" s="668">
        <v>13940.199743638404</v>
      </c>
      <c r="D14" s="668">
        <v>2907.4556547999391</v>
      </c>
      <c r="E14" s="669">
        <v>12788.375321419533</v>
      </c>
      <c r="F14" s="669">
        <v>552.43831574225521</v>
      </c>
      <c r="G14" s="669">
        <v>849.32577454291572</v>
      </c>
      <c r="H14" s="669">
        <v>27.06092474791868</v>
      </c>
      <c r="I14" s="669">
        <v>324.11342342409949</v>
      </c>
      <c r="J14" s="671">
        <v>31388.969158315067</v>
      </c>
      <c r="K14" s="668">
        <v>13742.671844237166</v>
      </c>
      <c r="L14" s="668">
        <v>2376.7097933799</v>
      </c>
      <c r="M14" s="669">
        <v>14405.79139482376</v>
      </c>
      <c r="N14" s="669">
        <v>243.89176757688313</v>
      </c>
      <c r="O14" s="669">
        <v>486.36958160157178</v>
      </c>
      <c r="P14" s="669">
        <v>24.339166876000004</v>
      </c>
      <c r="Q14" s="669">
        <v>109.19816719599996</v>
      </c>
      <c r="R14" s="618">
        <f t="shared" si="0"/>
        <v>-4.5474735088646412E-13</v>
      </c>
      <c r="S14" s="618">
        <f t="shared" si="1"/>
        <v>-6.8212102632969618E-13</v>
      </c>
    </row>
    <row r="15" spans="1:19" s="666" customFormat="1" ht="18" customHeight="1">
      <c r="A15" s="664">
        <v>2018</v>
      </c>
      <c r="B15" s="665"/>
      <c r="C15" s="668">
        <v>14462.797287870835</v>
      </c>
      <c r="D15" s="668">
        <v>2586.6432679346249</v>
      </c>
      <c r="E15" s="668">
        <v>13769.88138537962</v>
      </c>
      <c r="F15" s="668">
        <v>571.28541417253462</v>
      </c>
      <c r="G15" s="668">
        <v>815.73195869102346</v>
      </c>
      <c r="H15" s="668">
        <v>15.388048864315319</v>
      </c>
      <c r="I15" s="668">
        <v>347.30963501831781</v>
      </c>
      <c r="J15" s="671">
        <v>32569.016388166277</v>
      </c>
      <c r="K15" s="677">
        <v>13951.974525542304</v>
      </c>
      <c r="L15" s="668">
        <v>2532.602719672233</v>
      </c>
      <c r="M15" s="668">
        <v>14701.103629624118</v>
      </c>
      <c r="N15" s="668">
        <v>347.74045659573926</v>
      </c>
      <c r="O15" s="668">
        <v>886.48241709768354</v>
      </c>
      <c r="P15" s="668">
        <v>13.485524372999999</v>
      </c>
      <c r="Q15" s="669">
        <v>135.56336443500007</v>
      </c>
      <c r="R15" s="618">
        <f t="shared" si="0"/>
        <v>7.3896444519050419E-13</v>
      </c>
      <c r="S15" s="618">
        <f t="shared" si="1"/>
        <v>-7.673861546209082E-13</v>
      </c>
    </row>
    <row r="16" spans="1:19" s="666" customFormat="1" ht="18" customHeight="1">
      <c r="A16" s="664">
        <v>2019</v>
      </c>
      <c r="B16" s="665"/>
      <c r="C16" s="668">
        <v>15324.558939506498</v>
      </c>
      <c r="D16" s="668">
        <v>2658.0382645028026</v>
      </c>
      <c r="E16" s="668">
        <v>15520.493560314675</v>
      </c>
      <c r="F16" s="668">
        <v>546.41696574771413</v>
      </c>
      <c r="G16" s="668">
        <v>907.92306462330896</v>
      </c>
      <c r="H16" s="668">
        <v>34.235041916440018</v>
      </c>
      <c r="I16" s="668">
        <v>378.16713127278348</v>
      </c>
      <c r="J16" s="671">
        <v>35369.833967884224</v>
      </c>
      <c r="K16" s="677">
        <v>14947.892765251161</v>
      </c>
      <c r="L16" s="668">
        <v>3168.3382739973372</v>
      </c>
      <c r="M16" s="668">
        <v>15458.671910102514</v>
      </c>
      <c r="N16" s="668">
        <v>443.74445464110158</v>
      </c>
      <c r="O16" s="668">
        <v>1220.1151924091785</v>
      </c>
      <c r="P16" s="668">
        <v>33.529388792999995</v>
      </c>
      <c r="Q16" s="669">
        <v>97.601158596871983</v>
      </c>
      <c r="R16" s="618">
        <v>4.3200998334214091E-12</v>
      </c>
      <c r="S16" s="618">
        <v>1.5063505998114124E-12</v>
      </c>
    </row>
    <row r="17" spans="1:21" s="666" customFormat="1" ht="18" customHeight="1">
      <c r="A17" s="664">
        <v>2020</v>
      </c>
      <c r="B17" s="665"/>
      <c r="C17" s="668">
        <v>15896.513872158943</v>
      </c>
      <c r="D17" s="668">
        <v>2320.9844596053845</v>
      </c>
      <c r="E17" s="668">
        <v>15243.588888115544</v>
      </c>
      <c r="F17" s="668">
        <v>594.22075759881227</v>
      </c>
      <c r="G17" s="668">
        <v>1049.9900123503633</v>
      </c>
      <c r="H17" s="668">
        <v>17.969776463737517</v>
      </c>
      <c r="I17" s="668">
        <v>324.04670405163228</v>
      </c>
      <c r="J17" s="671">
        <v>35447.314470344412</v>
      </c>
      <c r="K17" s="677">
        <v>16272.309352863536</v>
      </c>
      <c r="L17" s="668">
        <v>2600.4448920150439</v>
      </c>
      <c r="M17" s="668">
        <v>14958.470577552891</v>
      </c>
      <c r="N17" s="668">
        <v>499.0095573562204</v>
      </c>
      <c r="O17" s="668">
        <v>1006.4740581444566</v>
      </c>
      <c r="P17" s="668">
        <v>21.264856650647395</v>
      </c>
      <c r="Q17" s="669">
        <v>89.306979346224196</v>
      </c>
      <c r="R17" s="618">
        <v>2.5011104298755527E-12</v>
      </c>
      <c r="S17" s="618">
        <v>2.1884716261411086E-12</v>
      </c>
    </row>
    <row r="18" spans="1:21" s="666" customFormat="1" ht="18" customHeight="1">
      <c r="A18" s="664">
        <v>2021</v>
      </c>
      <c r="B18" s="665"/>
      <c r="C18" s="668">
        <v>16779.133268977133</v>
      </c>
      <c r="D18" s="668">
        <v>2282.1972764481743</v>
      </c>
      <c r="E18" s="668">
        <v>16484.874264458889</v>
      </c>
      <c r="F18" s="668">
        <v>597.86710019031864</v>
      </c>
      <c r="G18" s="668">
        <v>806.79121212652831</v>
      </c>
      <c r="H18" s="668">
        <v>5.6137079902668816</v>
      </c>
      <c r="I18" s="668">
        <v>417.46319103086574</v>
      </c>
      <c r="J18" s="671">
        <v>37373.952699287176</v>
      </c>
      <c r="K18" s="677">
        <v>17288.630812578012</v>
      </c>
      <c r="L18" s="668">
        <v>2621.9720775585256</v>
      </c>
      <c r="M18" s="668">
        <v>16083.66411008286</v>
      </c>
      <c r="N18" s="668">
        <v>537.50150597253901</v>
      </c>
      <c r="O18" s="668">
        <v>799.19708879123107</v>
      </c>
      <c r="P18" s="668">
        <v>5.5780842786122786</v>
      </c>
      <c r="Q18" s="669">
        <v>37.437702376435382</v>
      </c>
      <c r="R18" s="618">
        <v>-7.9580786405131221E-13</v>
      </c>
      <c r="S18" s="618">
        <v>6.8212102632969618E-13</v>
      </c>
    </row>
    <row r="19" spans="1:21" s="2199" customFormat="1" ht="18" customHeight="1">
      <c r="A19" s="1983">
        <v>2022</v>
      </c>
      <c r="B19" s="1984"/>
      <c r="C19" s="674">
        <v>18506.457155046908</v>
      </c>
      <c r="D19" s="675">
        <v>2216.1085650700788</v>
      </c>
      <c r="E19" s="674">
        <v>16089.040512472631</v>
      </c>
      <c r="F19" s="674">
        <v>426.02954481117285</v>
      </c>
      <c r="G19" s="674">
        <v>804.00103932739023</v>
      </c>
      <c r="H19" s="674">
        <v>5.8184737994105493</v>
      </c>
      <c r="I19" s="674">
        <v>200.00434684554256</v>
      </c>
      <c r="J19" s="1461">
        <v>38247.439637373129</v>
      </c>
      <c r="K19" s="1496">
        <v>18304.145722667265</v>
      </c>
      <c r="L19" s="674">
        <v>2800.9989651581118</v>
      </c>
      <c r="M19" s="674">
        <v>15396.76478851281</v>
      </c>
      <c r="N19" s="674">
        <v>487.27343186731008</v>
      </c>
      <c r="O19" s="674">
        <v>1167.0821682529854</v>
      </c>
      <c r="P19" s="674">
        <v>57.211248504696918</v>
      </c>
      <c r="Q19" s="675">
        <v>33.903585004878636</v>
      </c>
      <c r="R19" s="618">
        <v>2.8990143619012088E-12</v>
      </c>
      <c r="S19" s="618">
        <v>3.772981926886132E-12</v>
      </c>
    </row>
    <row r="20" spans="1:21" s="2199" customFormat="1" ht="18" customHeight="1">
      <c r="A20" s="1983">
        <v>2023</v>
      </c>
      <c r="B20" s="1984"/>
      <c r="C20" s="674">
        <v>19337.15675525241</v>
      </c>
      <c r="D20" s="674">
        <v>2347.6561269723657</v>
      </c>
      <c r="E20" s="674">
        <v>17075.921001832998</v>
      </c>
      <c r="F20" s="674">
        <v>440.12185662291955</v>
      </c>
      <c r="G20" s="674">
        <v>760.43876505872129</v>
      </c>
      <c r="H20" s="674">
        <v>45.074261329599494</v>
      </c>
      <c r="I20" s="674">
        <v>254.31340911333706</v>
      </c>
      <c r="J20" s="1461">
        <v>40260.652176182353</v>
      </c>
      <c r="K20" s="1496">
        <v>19390.863245950488</v>
      </c>
      <c r="L20" s="674">
        <v>2940.5696878663184</v>
      </c>
      <c r="M20" s="674">
        <v>16151.578705033531</v>
      </c>
      <c r="N20" s="674">
        <v>463.45607349649947</v>
      </c>
      <c r="O20" s="674">
        <v>1097.0287476978474</v>
      </c>
      <c r="P20" s="674">
        <v>68.488432743785836</v>
      </c>
      <c r="Q20" s="675">
        <v>148.59976064464686</v>
      </c>
      <c r="R20" s="618">
        <v>-5.7127635955112055E-12</v>
      </c>
      <c r="S20" s="618">
        <v>-3.2684965844964609E-12</v>
      </c>
    </row>
    <row r="21" spans="1:21" s="2199" customFormat="1" ht="18" customHeight="1">
      <c r="A21" s="1983">
        <v>2024</v>
      </c>
      <c r="B21" s="1984"/>
      <c r="C21" s="674">
        <v>19402.315594920288</v>
      </c>
      <c r="D21" s="674">
        <v>1701.8688531829457</v>
      </c>
      <c r="E21" s="674">
        <v>18827.597080303363</v>
      </c>
      <c r="F21" s="674">
        <v>485.53954273937404</v>
      </c>
      <c r="G21" s="674">
        <v>965.11162111833437</v>
      </c>
      <c r="H21" s="674">
        <v>34.684937384176251</v>
      </c>
      <c r="I21" s="674">
        <v>292.43754660404358</v>
      </c>
      <c r="J21" s="1461">
        <v>41709.535176252524</v>
      </c>
      <c r="K21" s="1496">
        <v>20064.013236298444</v>
      </c>
      <c r="L21" s="674">
        <v>2322.6338594975591</v>
      </c>
      <c r="M21" s="674">
        <v>17133.257296149313</v>
      </c>
      <c r="N21" s="674">
        <v>614.98349325481763</v>
      </c>
      <c r="O21" s="674">
        <v>1243.9076923169562</v>
      </c>
      <c r="P21" s="674">
        <v>16.859113488510296</v>
      </c>
      <c r="Q21" s="675">
        <v>313.82475300055404</v>
      </c>
      <c r="R21" s="618">
        <v>7.3896444519050419E-13</v>
      </c>
      <c r="S21" s="618">
        <v>2.1032064978498966E-12</v>
      </c>
    </row>
    <row r="22" spans="1:21" s="2199" customFormat="1" ht="18" customHeight="1">
      <c r="A22" s="2194">
        <v>2025</v>
      </c>
      <c r="B22" s="2195"/>
      <c r="C22" s="2196">
        <f t="shared" ref="C22:Q22" si="2">C29</f>
        <v>20432.944837353854</v>
      </c>
      <c r="D22" s="2196">
        <f t="shared" si="2"/>
        <v>1592.7662800456319</v>
      </c>
      <c r="E22" s="2196">
        <f t="shared" si="2"/>
        <v>20905.365173935614</v>
      </c>
      <c r="F22" s="2196">
        <f t="shared" si="2"/>
        <v>541.83258292798087</v>
      </c>
      <c r="G22" s="2196">
        <f t="shared" si="2"/>
        <v>1211.8625476648053</v>
      </c>
      <c r="H22" s="2196">
        <f t="shared" si="2"/>
        <v>117.53629425706279</v>
      </c>
      <c r="I22" s="2196">
        <f t="shared" si="2"/>
        <v>198.80989149797864</v>
      </c>
      <c r="J22" s="2198">
        <f t="shared" si="2"/>
        <v>45001.117607682929</v>
      </c>
      <c r="K22" s="2235">
        <f t="shared" si="2"/>
        <v>20171.529661389217</v>
      </c>
      <c r="L22" s="2196">
        <f t="shared" si="2"/>
        <v>2255.3651362869873</v>
      </c>
      <c r="M22" s="2196">
        <f t="shared" si="2"/>
        <v>19801.781514685128</v>
      </c>
      <c r="N22" s="2196">
        <f t="shared" si="2"/>
        <v>680.43962192958588</v>
      </c>
      <c r="O22" s="2196">
        <f t="shared" si="2"/>
        <v>1825.1890386284358</v>
      </c>
      <c r="P22" s="2196">
        <f t="shared" si="2"/>
        <v>42.370335928436397</v>
      </c>
      <c r="Q22" s="2197">
        <f t="shared" si="2"/>
        <v>224.43661862282963</v>
      </c>
      <c r="R22" s="618">
        <f t="shared" ref="R22" si="3">ROUND(J22,1)-ROUND(C22,1)-ROUND(D22,1)-ROUND(E22,1)-ROUND(F22,1)-ROUND(G22,1)-ROUND(H22,1)-ROUND(I22,1)</f>
        <v>-3.694822225952521E-12</v>
      </c>
      <c r="S22" s="618">
        <f t="shared" ref="S22" si="4">ROUND(J22,1)-ROUND(K22,1)-ROUND(L22,1)-ROUND(M22,1)-ROUND(N22,1)-ROUND(O22,1)-ROUND(P22,1)-ROUND(Q22,1)</f>
        <v>-2.3305801732931286E-12</v>
      </c>
    </row>
    <row r="23" spans="1:21" s="666" customFormat="1" ht="21" customHeight="1">
      <c r="A23" s="664">
        <v>2024</v>
      </c>
      <c r="B23" s="665" t="s">
        <v>243</v>
      </c>
      <c r="C23" s="668">
        <v>19563.916088429432</v>
      </c>
      <c r="D23" s="668">
        <v>2100.3576049418189</v>
      </c>
      <c r="E23" s="668">
        <v>17732.356663074581</v>
      </c>
      <c r="F23" s="668">
        <v>424.40397219042279</v>
      </c>
      <c r="G23" s="668">
        <v>1123.6518747248056</v>
      </c>
      <c r="H23" s="668">
        <v>75.782592147761889</v>
      </c>
      <c r="I23" s="668">
        <v>177.25744572829262</v>
      </c>
      <c r="J23" s="671">
        <v>41197.876241237114</v>
      </c>
      <c r="K23" s="677">
        <v>19680.013829505133</v>
      </c>
      <c r="L23" s="668">
        <v>2605.9520159994618</v>
      </c>
      <c r="M23" s="668">
        <v>17258.857405241335</v>
      </c>
      <c r="N23" s="668">
        <v>453.88686165435479</v>
      </c>
      <c r="O23" s="668">
        <v>994.1328069413687</v>
      </c>
      <c r="P23" s="668">
        <v>46.905510052771191</v>
      </c>
      <c r="Q23" s="669">
        <v>158.06517254171095</v>
      </c>
      <c r="R23" s="618">
        <v>-3.0695446184836328E-12</v>
      </c>
      <c r="S23" s="618">
        <v>0</v>
      </c>
    </row>
    <row r="24" spans="1:21" s="666" customFormat="1" ht="15" customHeight="1">
      <c r="A24" s="664"/>
      <c r="B24" s="665" t="s">
        <v>240</v>
      </c>
      <c r="C24" s="668">
        <v>19892.258661065989</v>
      </c>
      <c r="D24" s="668">
        <v>1974.0281266856864</v>
      </c>
      <c r="E24" s="668">
        <v>18015.776503887781</v>
      </c>
      <c r="F24" s="668">
        <v>417.2567488534973</v>
      </c>
      <c r="G24" s="668">
        <v>1070.0085722507285</v>
      </c>
      <c r="H24" s="668">
        <v>40.129756868990427</v>
      </c>
      <c r="I24" s="668">
        <v>122.53209353661849</v>
      </c>
      <c r="J24" s="671">
        <v>41531.960463149298</v>
      </c>
      <c r="K24" s="677">
        <v>20222.15690215526</v>
      </c>
      <c r="L24" s="668">
        <v>2663.4771588292638</v>
      </c>
      <c r="M24" s="668">
        <v>16495.985760307238</v>
      </c>
      <c r="N24" s="668">
        <v>690.52777331837865</v>
      </c>
      <c r="O24" s="668">
        <v>1287.0126609905922</v>
      </c>
      <c r="P24" s="668">
        <v>40.210108127386533</v>
      </c>
      <c r="Q24" s="669">
        <v>132.60901975121041</v>
      </c>
      <c r="R24" s="618">
        <v>1.5063505998114124E-12</v>
      </c>
      <c r="S24" s="618">
        <v>-7.1054273576010019E-13</v>
      </c>
    </row>
    <row r="25" spans="1:21" s="666" customFormat="1" ht="15" customHeight="1">
      <c r="A25" s="664"/>
      <c r="B25" s="665" t="s">
        <v>241</v>
      </c>
      <c r="C25" s="668">
        <v>19402.315594920288</v>
      </c>
      <c r="D25" s="668">
        <v>1701.8688531829457</v>
      </c>
      <c r="E25" s="668">
        <v>18827.597080303363</v>
      </c>
      <c r="F25" s="668">
        <v>485.53954273937404</v>
      </c>
      <c r="G25" s="668">
        <v>965.11162111833437</v>
      </c>
      <c r="H25" s="668">
        <v>34.684937384176251</v>
      </c>
      <c r="I25" s="668">
        <v>292.43754660404358</v>
      </c>
      <c r="J25" s="671">
        <v>41709.535176252524</v>
      </c>
      <c r="K25" s="677">
        <v>20064.013236298444</v>
      </c>
      <c r="L25" s="668">
        <v>2322.6338594975591</v>
      </c>
      <c r="M25" s="668">
        <v>17133.257296149313</v>
      </c>
      <c r="N25" s="668">
        <v>614.98349325481763</v>
      </c>
      <c r="O25" s="668">
        <v>1243.9076923169562</v>
      </c>
      <c r="P25" s="668">
        <v>16.859113488510296</v>
      </c>
      <c r="Q25" s="669">
        <v>313.82475300055404</v>
      </c>
      <c r="R25" s="618">
        <v>7.3896444519050419E-13</v>
      </c>
      <c r="S25" s="618">
        <v>2.1032064978498966E-12</v>
      </c>
    </row>
    <row r="26" spans="1:21" s="666" customFormat="1" ht="21" customHeight="1">
      <c r="A26" s="664">
        <v>2025</v>
      </c>
      <c r="B26" s="665" t="s">
        <v>242</v>
      </c>
      <c r="C26" s="668">
        <v>20009.077315058312</v>
      </c>
      <c r="D26" s="668">
        <v>2291.6617496489362</v>
      </c>
      <c r="E26" s="668">
        <v>18272.832578941889</v>
      </c>
      <c r="F26" s="668">
        <v>564.76126745240151</v>
      </c>
      <c r="G26" s="668">
        <v>927.70719641275241</v>
      </c>
      <c r="H26" s="668">
        <v>78.892049191771775</v>
      </c>
      <c r="I26" s="668">
        <v>298.13128128051835</v>
      </c>
      <c r="J26" s="671">
        <v>42443.063437986581</v>
      </c>
      <c r="K26" s="677">
        <v>20110.762254236161</v>
      </c>
      <c r="L26" s="668">
        <v>2337.4892369082495</v>
      </c>
      <c r="M26" s="668">
        <v>17297.537639608814</v>
      </c>
      <c r="N26" s="668">
        <v>933.61619778202328</v>
      </c>
      <c r="O26" s="668">
        <v>1343.0888411204262</v>
      </c>
      <c r="P26" s="668">
        <v>53.843873451862763</v>
      </c>
      <c r="Q26" s="669">
        <v>366.79456519590116</v>
      </c>
      <c r="R26" s="618">
        <v>0</v>
      </c>
      <c r="S26" s="618">
        <v>-5.6843418860808015E-13</v>
      </c>
    </row>
    <row r="27" spans="1:21" s="666" customFormat="1" ht="15" customHeight="1">
      <c r="A27" s="664"/>
      <c r="B27" s="665" t="s">
        <v>243</v>
      </c>
      <c r="C27" s="668">
        <v>20194.890406196628</v>
      </c>
      <c r="D27" s="668">
        <v>2295.6140393198752</v>
      </c>
      <c r="E27" s="668">
        <v>19093.04505046393</v>
      </c>
      <c r="F27" s="668">
        <v>494.21463742429188</v>
      </c>
      <c r="G27" s="668">
        <v>1144.0034868196858</v>
      </c>
      <c r="H27" s="668">
        <v>73.912834872692201</v>
      </c>
      <c r="I27" s="668">
        <v>257.35797675270288</v>
      </c>
      <c r="J27" s="671">
        <v>43552.958431849809</v>
      </c>
      <c r="K27" s="677">
        <v>20551.409431749071</v>
      </c>
      <c r="L27" s="668">
        <v>2266.8576800985938</v>
      </c>
      <c r="M27" s="668">
        <v>18603.691866007353</v>
      </c>
      <c r="N27" s="668">
        <v>691.59567959991637</v>
      </c>
      <c r="O27" s="668">
        <v>1086.5539501301723</v>
      </c>
      <c r="P27" s="668">
        <v>24.969129230779743</v>
      </c>
      <c r="Q27" s="669">
        <v>327.78153052609355</v>
      </c>
      <c r="R27" s="618">
        <v>0</v>
      </c>
      <c r="S27" s="618">
        <v>-3.4674485505092889E-12</v>
      </c>
    </row>
    <row r="28" spans="1:21" s="666" customFormat="1" ht="15" customHeight="1">
      <c r="A28" s="664"/>
      <c r="B28" s="665" t="s">
        <v>240</v>
      </c>
      <c r="C28" s="668">
        <f t="shared" ref="C28:Q28" si="5">C35</f>
        <v>19676.261761436246</v>
      </c>
      <c r="D28" s="668">
        <f t="shared" si="5"/>
        <v>2391.2363321001535</v>
      </c>
      <c r="E28" s="668">
        <f t="shared" si="5"/>
        <v>20127.640526423031</v>
      </c>
      <c r="F28" s="668">
        <f t="shared" si="5"/>
        <v>472.92361293983265</v>
      </c>
      <c r="G28" s="668">
        <f t="shared" si="5"/>
        <v>1129.8011555914672</v>
      </c>
      <c r="H28" s="668">
        <f t="shared" si="5"/>
        <v>62.07240699010238</v>
      </c>
      <c r="I28" s="668">
        <f t="shared" si="5"/>
        <v>200.84286978560502</v>
      </c>
      <c r="J28" s="671">
        <f t="shared" si="5"/>
        <v>44060.708665266437</v>
      </c>
      <c r="K28" s="677">
        <f t="shared" si="5"/>
        <v>19924.808753679004</v>
      </c>
      <c r="L28" s="668">
        <f t="shared" si="5"/>
        <v>2428.4446050994684</v>
      </c>
      <c r="M28" s="668">
        <f t="shared" si="5"/>
        <v>19429.037186917063</v>
      </c>
      <c r="N28" s="668">
        <f t="shared" si="5"/>
        <v>467.13560303210988</v>
      </c>
      <c r="O28" s="668">
        <f t="shared" si="5"/>
        <v>1482.1207044115488</v>
      </c>
      <c r="P28" s="668">
        <f t="shared" si="5"/>
        <v>31.505442930239429</v>
      </c>
      <c r="Q28" s="669">
        <f t="shared" si="5"/>
        <v>297.84218364187183</v>
      </c>
      <c r="R28" s="618">
        <f t="shared" ref="R28" si="6">ROUND(J28,1)-ROUND(C28,1)-ROUND(D28,1)-ROUND(E28,1)-ROUND(F28,1)-ROUND(G28,1)-ROUND(H28,1)-ROUND(I28,1)</f>
        <v>-1.5063505998114124E-12</v>
      </c>
      <c r="S28" s="618">
        <f t="shared" ref="S28" si="7">ROUND(J28,1)-ROUND(K28,1)-ROUND(L28,1)-ROUND(M28,1)-ROUND(N28,1)-ROUND(O28,1)-ROUND(P28,1)-ROUND(Q28,1)</f>
        <v>-3.4674485505092889E-12</v>
      </c>
    </row>
    <row r="29" spans="1:21" s="666" customFormat="1" ht="15" customHeight="1">
      <c r="A29" s="664"/>
      <c r="B29" s="665" t="s">
        <v>241</v>
      </c>
      <c r="C29" s="668">
        <f t="shared" ref="C29:Q29" si="8">C38</f>
        <v>20432.944837353854</v>
      </c>
      <c r="D29" s="668">
        <f t="shared" si="8"/>
        <v>1592.7662800456319</v>
      </c>
      <c r="E29" s="668">
        <f t="shared" si="8"/>
        <v>20905.365173935614</v>
      </c>
      <c r="F29" s="668">
        <f t="shared" si="8"/>
        <v>541.83258292798087</v>
      </c>
      <c r="G29" s="668">
        <f t="shared" si="8"/>
        <v>1211.8625476648053</v>
      </c>
      <c r="H29" s="668">
        <f t="shared" si="8"/>
        <v>117.53629425706279</v>
      </c>
      <c r="I29" s="668">
        <f t="shared" si="8"/>
        <v>198.80989149797864</v>
      </c>
      <c r="J29" s="671">
        <f t="shared" si="8"/>
        <v>45001.117607682929</v>
      </c>
      <c r="K29" s="677">
        <f t="shared" si="8"/>
        <v>20171.529661389217</v>
      </c>
      <c r="L29" s="668">
        <f t="shared" si="8"/>
        <v>2255.3651362869873</v>
      </c>
      <c r="M29" s="668">
        <f t="shared" si="8"/>
        <v>19801.781514685128</v>
      </c>
      <c r="N29" s="668">
        <f t="shared" si="8"/>
        <v>680.43962192958588</v>
      </c>
      <c r="O29" s="668">
        <f t="shared" si="8"/>
        <v>1825.1890386284358</v>
      </c>
      <c r="P29" s="668">
        <f t="shared" si="8"/>
        <v>42.370335928436397</v>
      </c>
      <c r="Q29" s="669">
        <f t="shared" si="8"/>
        <v>224.43661862282963</v>
      </c>
      <c r="R29" s="618">
        <f t="shared" ref="R29" si="9">ROUND(J29,1)-ROUND(C29,1)-ROUND(D29,1)-ROUND(E29,1)-ROUND(F29,1)-ROUND(G29,1)-ROUND(H29,1)-ROUND(I29,1)</f>
        <v>-3.694822225952521E-12</v>
      </c>
      <c r="S29" s="618">
        <f t="shared" ref="S29" si="10">ROUND(J29,1)-ROUND(K29,1)-ROUND(L29,1)-ROUND(M29,1)-ROUND(N29,1)-ROUND(O29,1)-ROUND(P29,1)-ROUND(Q29,1)</f>
        <v>-2.3305801732931286E-12</v>
      </c>
    </row>
    <row r="30" spans="1:21" s="666" customFormat="1" ht="21" customHeight="1">
      <c r="A30" s="1757">
        <v>2026</v>
      </c>
      <c r="B30" s="1758" t="s">
        <v>242</v>
      </c>
      <c r="C30" s="1759">
        <f t="shared" ref="C30:Q30" si="11">C41</f>
        <v>21634.759029028071</v>
      </c>
      <c r="D30" s="1759">
        <f t="shared" si="11"/>
        <v>1801.6694337097713</v>
      </c>
      <c r="E30" s="1759">
        <f t="shared" si="11"/>
        <v>21290.077163081245</v>
      </c>
      <c r="F30" s="1759">
        <f t="shared" si="11"/>
        <v>530.31854389556747</v>
      </c>
      <c r="G30" s="1759">
        <f t="shared" si="11"/>
        <v>1271.6191000140557</v>
      </c>
      <c r="H30" s="1759">
        <f t="shared" si="11"/>
        <v>79.723135816388208</v>
      </c>
      <c r="I30" s="1759">
        <f t="shared" si="11"/>
        <v>229.14228689558868</v>
      </c>
      <c r="J30" s="1761">
        <f t="shared" si="11"/>
        <v>46837.268692440688</v>
      </c>
      <c r="K30" s="1762">
        <f t="shared" si="11"/>
        <v>21243.358884013149</v>
      </c>
      <c r="L30" s="1759">
        <f t="shared" si="11"/>
        <v>2610.4489242194049</v>
      </c>
      <c r="M30" s="1759">
        <f t="shared" si="11"/>
        <v>20580.5967051404</v>
      </c>
      <c r="N30" s="1759">
        <f t="shared" si="11"/>
        <v>657.66592440984095</v>
      </c>
      <c r="O30" s="1759">
        <f t="shared" si="11"/>
        <v>1492.9464011721932</v>
      </c>
      <c r="P30" s="1759">
        <f t="shared" si="11"/>
        <v>23.090628293503176</v>
      </c>
      <c r="Q30" s="1760">
        <f t="shared" si="11"/>
        <v>229.2140859867317</v>
      </c>
      <c r="R30" s="618">
        <f t="shared" ref="R30" si="12">ROUND(J30,1)-ROUND(C30,1)-ROUND(D30,1)-ROUND(E30,1)-ROUND(F30,1)-ROUND(G30,1)-ROUND(H30,1)-ROUND(I30,1)</f>
        <v>4.5190517994342372E-12</v>
      </c>
      <c r="S30" s="618">
        <f t="shared" ref="S30" si="13">ROUND(J30,1)-ROUND(K30,1)-ROUND(L30,1)-ROUND(M30,1)-ROUND(N30,1)-ROUND(O30,1)-ROUND(P30,1)-ROUND(Q30,1)</f>
        <v>1.3358203432289883E-12</v>
      </c>
    </row>
    <row r="31" spans="1:21" s="1322" customFormat="1" ht="21" customHeight="1">
      <c r="A31" s="1983">
        <v>2025</v>
      </c>
      <c r="B31" s="1984" t="s">
        <v>427</v>
      </c>
      <c r="C31" s="674">
        <v>20184.66494224421</v>
      </c>
      <c r="D31" s="674">
        <v>2359.6917389683699</v>
      </c>
      <c r="E31" s="675">
        <v>19073.846222734308</v>
      </c>
      <c r="F31" s="675">
        <v>485.33675479809756</v>
      </c>
      <c r="G31" s="675">
        <v>1070.6952122859116</v>
      </c>
      <c r="H31" s="675">
        <v>23.882087934363671</v>
      </c>
      <c r="I31" s="674">
        <v>256.71399446021508</v>
      </c>
      <c r="J31" s="1461">
        <v>43454.800953425474</v>
      </c>
      <c r="K31" s="1496">
        <v>20337.638416647555</v>
      </c>
      <c r="L31" s="674">
        <v>2394.0212502218274</v>
      </c>
      <c r="M31" s="675">
        <v>18398.179959811067</v>
      </c>
      <c r="N31" s="675">
        <v>604.28641593179213</v>
      </c>
      <c r="O31" s="675">
        <v>1364.1416882703445</v>
      </c>
      <c r="P31" s="675">
        <v>23.855975818864145</v>
      </c>
      <c r="Q31" s="675">
        <v>332.7496564818191</v>
      </c>
      <c r="R31" s="618">
        <v>2.2168933355715126E-12</v>
      </c>
      <c r="S31" s="618">
        <v>3.808509063674137E-12</v>
      </c>
      <c r="T31" s="185"/>
      <c r="U31" s="185"/>
    </row>
    <row r="32" spans="1:21" s="1322" customFormat="1" ht="17.25" customHeight="1">
      <c r="A32" s="1983"/>
      <c r="B32" s="1984" t="s">
        <v>428</v>
      </c>
      <c r="C32" s="672">
        <f>'[5]4'!$G$14+0.1</f>
        <v>20194.890406196628</v>
      </c>
      <c r="D32" s="674">
        <f>SUM('[5]4'!$G$21:$G$22)</f>
        <v>2295.6140393198752</v>
      </c>
      <c r="E32" s="675">
        <f>'[5]4'!$G$16</f>
        <v>19093.04505046393</v>
      </c>
      <c r="F32" s="675">
        <f>'[5]4'!$G$17</f>
        <v>494.21463742429188</v>
      </c>
      <c r="G32" s="675">
        <f>'[5]4'!$G$20</f>
        <v>1144.0034868196858</v>
      </c>
      <c r="H32" s="675">
        <f>'[5]4'!$G$18</f>
        <v>73.912834872692201</v>
      </c>
      <c r="I32" s="672">
        <f>'[5]4'!$G$19+'[5]4'!$G$23+0.01</f>
        <v>257.35797675270288</v>
      </c>
      <c r="J32" s="673">
        <f>'[5]4'!$G$24+0.03</f>
        <v>43552.958431849809</v>
      </c>
      <c r="K32" s="1496">
        <f>'[5]4'!$D$14</f>
        <v>20551.409431749071</v>
      </c>
      <c r="L32" s="672">
        <f>SUM('[5]4'!$D$21:$D$22)+0.01</f>
        <v>2266.8576800985938</v>
      </c>
      <c r="M32" s="675">
        <f>'[5]4'!$D$16</f>
        <v>18603.691866007353</v>
      </c>
      <c r="N32" s="675">
        <f>'[5]4'!$D$17</f>
        <v>691.59567959991637</v>
      </c>
      <c r="O32" s="670">
        <f>'[5]4'!$D$20+0.05</f>
        <v>1086.5539501301723</v>
      </c>
      <c r="P32" s="675">
        <f>'[5]4'!$D$18</f>
        <v>24.969129230779743</v>
      </c>
      <c r="Q32" s="675">
        <f>'[5]4'!$D$19+'[5]4'!$D$23</f>
        <v>327.78153052609355</v>
      </c>
      <c r="R32" s="618">
        <f t="shared" ref="R32" si="14">ROUND(J32,1)-ROUND(C32,1)-ROUND(D32,1)-ROUND(E32,1)-ROUND(F32,1)-ROUND(G32,1)-ROUND(H32,1)-ROUND(I32,1)</f>
        <v>0</v>
      </c>
      <c r="S32" s="618">
        <f t="shared" ref="S32" si="15">ROUND(J32,1)-ROUND(K32,1)-ROUND(L32,1)-ROUND(M32,1)-ROUND(N32,1)-ROUND(O32,1)-ROUND(P32,1)-ROUND(Q32,1)</f>
        <v>-3.4674485505092889E-12</v>
      </c>
      <c r="T32" s="185"/>
      <c r="U32" s="185"/>
    </row>
    <row r="33" spans="1:21" s="1322" customFormat="1" ht="17.25" customHeight="1">
      <c r="A33" s="1983"/>
      <c r="B33" s="1984" t="s">
        <v>429</v>
      </c>
      <c r="C33" s="674">
        <f>'[6]4'!$G$14</f>
        <v>19990.929086302487</v>
      </c>
      <c r="D33" s="674">
        <f>SUM('[6]4'!$G$21:$G$22)</f>
        <v>2413.2413643130858</v>
      </c>
      <c r="E33" s="675">
        <f>'[6]4'!$G$16</f>
        <v>19583.945576443439</v>
      </c>
      <c r="F33" s="675">
        <f>'[6]4'!$G$17</f>
        <v>473.39799599035416</v>
      </c>
      <c r="G33" s="675">
        <f>'[6]4'!$G$20</f>
        <v>1099.8655136424982</v>
      </c>
      <c r="H33" s="675">
        <f>'[6]4'!$G$18</f>
        <v>20.332098177668058</v>
      </c>
      <c r="I33" s="674">
        <f>'[6]4'!$G$19+'[6]4'!$G$23</f>
        <v>217.97330568501957</v>
      </c>
      <c r="J33" s="673">
        <f>'[6]4'!$G$24-0.05</f>
        <v>43799.634940554548</v>
      </c>
      <c r="K33" s="1496">
        <f>'[6]4'!$D$14</f>
        <v>20313.814263107884</v>
      </c>
      <c r="L33" s="674">
        <f>SUM('[6]4'!$D$21:$D$22)</f>
        <v>2400.2825431714627</v>
      </c>
      <c r="M33" s="675">
        <f>'[6]4'!$D$16</f>
        <v>18931.442285118377</v>
      </c>
      <c r="N33" s="675">
        <f>'[6]4'!$D$17</f>
        <v>534.10688141238302</v>
      </c>
      <c r="O33" s="675">
        <f>'[6]4'!$D$20</f>
        <v>1300.0363761208146</v>
      </c>
      <c r="P33" s="670">
        <f>'[6]4'!$D$18+0.01</f>
        <v>28.154762467790125</v>
      </c>
      <c r="Q33" s="670">
        <f>'[6]4'!$D$19+'[6]4'!$D$23+0.02</f>
        <v>291.75577481720143</v>
      </c>
      <c r="R33" s="618">
        <f t="shared" ref="R33" si="16">ROUND(J33,1)-ROUND(C33,1)-ROUND(D33,1)-ROUND(E33,1)-ROUND(F33,1)-ROUND(G33,1)-ROUND(H33,1)-ROUND(I33,1)</f>
        <v>-5.2864379540551454E-12</v>
      </c>
      <c r="S33" s="618">
        <f t="shared" ref="S33" si="17">ROUND(J33,1)-ROUND(K33,1)-ROUND(L33,1)-ROUND(M33,1)-ROUND(N33,1)-ROUND(O33,1)-ROUND(P33,1)-ROUND(Q33,1)</f>
        <v>-1.3642420526593924E-12</v>
      </c>
      <c r="T33" s="185"/>
      <c r="U33" s="185"/>
    </row>
    <row r="34" spans="1:21" s="1322" customFormat="1" ht="17.25" customHeight="1">
      <c r="A34" s="1983"/>
      <c r="B34" s="1984" t="s">
        <v>430</v>
      </c>
      <c r="C34" s="674">
        <f>'[7]4'!$G$14</f>
        <v>19924.627828488905</v>
      </c>
      <c r="D34" s="674">
        <f>SUM('[7]4'!$G$21:$G$22)</f>
        <v>2427.2030613227271</v>
      </c>
      <c r="E34" s="675">
        <f>'[7]4'!$G$16</f>
        <v>19770.735880700464</v>
      </c>
      <c r="F34" s="675">
        <f>'[7]4'!$G$17</f>
        <v>508.60723906809443</v>
      </c>
      <c r="G34" s="675">
        <f>'[7]4'!$G$20</f>
        <v>1303.9549201712741</v>
      </c>
      <c r="H34" s="670">
        <f>'[7]4'!$G$18+0.01</f>
        <v>51.85908347765784</v>
      </c>
      <c r="I34" s="674">
        <f>'[7]4'!$G$19+'[7]4'!$G$23</f>
        <v>259.95852943707831</v>
      </c>
      <c r="J34" s="673">
        <f>'[7]4'!$G$24+0.02</f>
        <v>44246.956542666194</v>
      </c>
      <c r="K34" s="1496">
        <f>'[7]4'!$D$14</f>
        <v>20177.263066490043</v>
      </c>
      <c r="L34" s="674">
        <f>SUM('[7]4'!$D$21:$D$22)</f>
        <v>2440.7777192794219</v>
      </c>
      <c r="M34" s="675">
        <f>'[7]4'!$D$16</f>
        <v>19343.236958878893</v>
      </c>
      <c r="N34" s="675">
        <f>'[7]4'!$D$17</f>
        <v>477.56575491294541</v>
      </c>
      <c r="O34" s="670">
        <f>'[7]4'!$D$20-0.01</f>
        <v>1454.0430992071474</v>
      </c>
      <c r="P34" s="675">
        <f>'[7]4'!$D$18</f>
        <v>29.413327984015297</v>
      </c>
      <c r="Q34" s="675">
        <f>'[7]4'!$D$19+'[7]4'!$D$23</f>
        <v>324.67580566243277</v>
      </c>
      <c r="R34" s="618">
        <f t="shared" ref="R34" si="18">ROUND(J34,1)-ROUND(C34,1)-ROUND(D34,1)-ROUND(E34,1)-ROUND(F34,1)-ROUND(G34,1)-ROUND(H34,1)-ROUND(I34,1)</f>
        <v>0</v>
      </c>
      <c r="S34" s="618">
        <f t="shared" ref="S34" si="19">ROUND(J34,1)-ROUND(K34,1)-ROUND(L34,1)-ROUND(M34,1)-ROUND(N34,1)-ROUND(O34,1)-ROUND(P34,1)-ROUND(Q34,1)</f>
        <v>8.5265128291212022E-13</v>
      </c>
      <c r="T34" s="185"/>
      <c r="U34" s="185"/>
    </row>
    <row r="35" spans="1:21" s="1322" customFormat="1" ht="17.25" customHeight="1">
      <c r="A35" s="1983"/>
      <c r="B35" s="1984" t="s">
        <v>431</v>
      </c>
      <c r="C35" s="674">
        <f>'[8]4'!$G$14</f>
        <v>19676.261761436246</v>
      </c>
      <c r="D35" s="672">
        <f>SUM('[8]4'!$G$21:$G$22)-0.03</f>
        <v>2391.2363321001535</v>
      </c>
      <c r="E35" s="675">
        <f>'[8]4'!$G$16</f>
        <v>20127.640526423031</v>
      </c>
      <c r="F35" s="675">
        <f>'[8]4'!$G$17</f>
        <v>472.92361293983265</v>
      </c>
      <c r="G35" s="675">
        <f>'[8]4'!$G$20</f>
        <v>1129.8011555914672</v>
      </c>
      <c r="H35" s="675">
        <f>'[8]4'!$G$18</f>
        <v>62.07240699010238</v>
      </c>
      <c r="I35" s="674">
        <f>'[8]4'!$G$19+'[8]4'!$G$23</f>
        <v>200.84286978560502</v>
      </c>
      <c r="J35" s="673">
        <f>'[8]4'!$G$24-0.1</f>
        <v>44060.708665266437</v>
      </c>
      <c r="K35" s="1496">
        <f>'[8]4'!$D$14</f>
        <v>19924.808753679004</v>
      </c>
      <c r="L35" s="674">
        <f>SUM('[8]4'!$D$21:$D$22)</f>
        <v>2428.4446050994684</v>
      </c>
      <c r="M35" s="675">
        <f>'[8]4'!$D$16</f>
        <v>19429.037186917063</v>
      </c>
      <c r="N35" s="675">
        <f>'[8]4'!$D$17</f>
        <v>467.13560303210988</v>
      </c>
      <c r="O35" s="675">
        <f>'[8]4'!$D$20</f>
        <v>1482.1207044115488</v>
      </c>
      <c r="P35" s="675">
        <f>'[8]4'!$D$18</f>
        <v>31.505442930239429</v>
      </c>
      <c r="Q35" s="670">
        <f>'[8]4'!$D$19+'[8]4'!$D$23-0.01</f>
        <v>297.84218364187183</v>
      </c>
      <c r="R35" s="618">
        <f t="shared" ref="R35" si="20">ROUND(J35,1)-ROUND(C35,1)-ROUND(D35,1)-ROUND(E35,1)-ROUND(F35,1)-ROUND(G35,1)-ROUND(H35,1)-ROUND(I35,1)</f>
        <v>-1.5063505998114124E-12</v>
      </c>
      <c r="S35" s="618">
        <f t="shared" ref="S35" si="21">ROUND(J35,1)-ROUND(K35,1)-ROUND(L35,1)-ROUND(M35,1)-ROUND(N35,1)-ROUND(O35,1)-ROUND(P35,1)-ROUND(Q35,1)</f>
        <v>-3.4674485505092889E-12</v>
      </c>
      <c r="T35" s="185"/>
      <c r="U35" s="185"/>
    </row>
    <row r="36" spans="1:21" s="1322" customFormat="1" ht="17.25" customHeight="1">
      <c r="A36" s="1983"/>
      <c r="B36" s="1984" t="s">
        <v>420</v>
      </c>
      <c r="C36" s="674">
        <f>'[9]4'!$G$14</f>
        <v>20102.623677525062</v>
      </c>
      <c r="D36" s="674">
        <f>SUM('[9]4'!$G$21:$G$22)</f>
        <v>1631.2132229923673</v>
      </c>
      <c r="E36" s="675">
        <f>'[9]4'!$G$16</f>
        <v>20494.385256727201</v>
      </c>
      <c r="F36" s="675">
        <f>'[9]4'!$G$17</f>
        <v>483.61273715605336</v>
      </c>
      <c r="G36" s="675">
        <f>'[9]4'!$G$20</f>
        <v>1168.2788164102337</v>
      </c>
      <c r="H36" s="670">
        <f>'[9]4'!$G$18+0.02</f>
        <v>101.460789396748</v>
      </c>
      <c r="I36" s="674">
        <f>'[9]4'!$G$19+'[9]4'!$G$23</f>
        <v>206.79985939075866</v>
      </c>
      <c r="J36" s="1461">
        <f>'[9]4'!$G$24</f>
        <v>44188.354359598423</v>
      </c>
      <c r="K36" s="1436">
        <f>'[9]4'!$D$14+0.1</f>
        <v>19893.559943808468</v>
      </c>
      <c r="L36" s="672">
        <f>SUM('[9]4'!$D$21:$D$22)-0.05</f>
        <v>2223.1356563767777</v>
      </c>
      <c r="M36" s="675">
        <f>'[9]4'!$D$16</f>
        <v>19720.979573005177</v>
      </c>
      <c r="N36" s="675">
        <f>'[9]4'!$D$17</f>
        <v>571.78508533051377</v>
      </c>
      <c r="O36" s="675">
        <f>'[9]4'!$D$20</f>
        <v>1472.9888905255302</v>
      </c>
      <c r="P36" s="675">
        <f>'[9]4'!$D$18</f>
        <v>21.546014943055528</v>
      </c>
      <c r="Q36" s="675">
        <f>'[9]4'!$D$19+'[9]4'!$D$23</f>
        <v>284.44478498412496</v>
      </c>
      <c r="R36" s="618">
        <f t="shared" ref="R36" si="22">ROUND(J36,1)-ROUND(C36,1)-ROUND(D36,1)-ROUND(E36,1)-ROUND(F36,1)-ROUND(G36,1)-ROUND(H36,1)-ROUND(I36,1)</f>
        <v>8.5265128291212022E-13</v>
      </c>
      <c r="S36" s="618">
        <f t="shared" ref="S36" si="23">ROUND(J36,1)-ROUND(K36,1)-ROUND(L36,1)-ROUND(M36,1)-ROUND(N36,1)-ROUND(O36,1)-ROUND(P36,1)-ROUND(Q36,1)</f>
        <v>4.4337866711430252E-12</v>
      </c>
      <c r="T36" s="185"/>
      <c r="U36" s="185"/>
    </row>
    <row r="37" spans="1:21" s="1322" customFormat="1" ht="17.25" customHeight="1">
      <c r="A37" s="1983"/>
      <c r="B37" s="1984" t="s">
        <v>421</v>
      </c>
      <c r="C37" s="674">
        <f>'[10]4'!$G$14</f>
        <v>20266.908969556436</v>
      </c>
      <c r="D37" s="674">
        <f>SUM('[10]4'!$G$21:$G$22)</f>
        <v>1606.3763715639755</v>
      </c>
      <c r="E37" s="675">
        <f>'[10]4'!$G$16</f>
        <v>20619.887646564537</v>
      </c>
      <c r="F37" s="675">
        <f>'[10]4'!$G$17</f>
        <v>518.18884536106975</v>
      </c>
      <c r="G37" s="675">
        <f>'[10]4'!$G$20</f>
        <v>1190.7367201222191</v>
      </c>
      <c r="H37" s="675">
        <f>'[10]4'!$G$18</f>
        <v>92.717319329343923</v>
      </c>
      <c r="I37" s="672">
        <f>'[10]4'!$G$19+'[10]4'!$G$23-0.02</f>
        <v>233.03671772834284</v>
      </c>
      <c r="J37" s="673">
        <f>'[10]4'!$G$24-0.03</f>
        <v>44527.842590225933</v>
      </c>
      <c r="K37" s="1436">
        <f>'[10]4'!$D$14-0.1</f>
        <v>20038.209058582856</v>
      </c>
      <c r="L37" s="674">
        <f>SUM('[10]4'!$D$21:$D$22)</f>
        <v>2210.1729351914446</v>
      </c>
      <c r="M37" s="675">
        <f>'[10]4'!$D$16</f>
        <v>19684.017195291071</v>
      </c>
      <c r="N37" s="675">
        <f>'[10]4'!$D$17</f>
        <v>593.42981635010153</v>
      </c>
      <c r="O37" s="675">
        <f>'[10]4'!$D$20</f>
        <v>1701.2507760713488</v>
      </c>
      <c r="P37" s="675">
        <f>'[10]4'!$D$18</f>
        <v>33.975661397975266</v>
      </c>
      <c r="Q37" s="675">
        <f>'[10]4'!$D$19+'[10]4'!$D$23</f>
        <v>266.71667398985403</v>
      </c>
      <c r="R37" s="618">
        <f t="shared" ref="R37" si="24">ROUND(J37,1)-ROUND(C37,1)-ROUND(D37,1)-ROUND(E37,1)-ROUND(F37,1)-ROUND(G37,1)-ROUND(H37,1)-ROUND(I37,1)</f>
        <v>-1.5347723092418164E-12</v>
      </c>
      <c r="S37" s="618">
        <f t="shared" ref="S37" si="25">ROUND(J37,1)-ROUND(K37,1)-ROUND(L37,1)-ROUND(M37,1)-ROUND(N37,1)-ROUND(O37,1)-ROUND(P37,1)-ROUND(Q37,1)</f>
        <v>1.4210854715202004E-12</v>
      </c>
      <c r="T37" s="185"/>
      <c r="U37" s="185"/>
    </row>
    <row r="38" spans="1:21" s="1322" customFormat="1" ht="17.25" customHeight="1">
      <c r="A38" s="1983"/>
      <c r="B38" s="1984" t="s">
        <v>422</v>
      </c>
      <c r="C38" s="674">
        <f>'[11]4'!$G$14</f>
        <v>20432.944837353854</v>
      </c>
      <c r="D38" s="674">
        <f>SUM('[11]4'!$G$21:$G$22)</f>
        <v>1592.7662800456319</v>
      </c>
      <c r="E38" s="675">
        <f>'[11]4'!$G$16</f>
        <v>20905.365173935614</v>
      </c>
      <c r="F38" s="675">
        <f>'[11]4'!$G$17</f>
        <v>541.83258292798087</v>
      </c>
      <c r="G38" s="675">
        <f>'[11]4'!$G$20</f>
        <v>1211.8625476648053</v>
      </c>
      <c r="H38" s="675">
        <f>'[11]4'!$G$18</f>
        <v>117.53629425706279</v>
      </c>
      <c r="I38" s="674">
        <f>'[11]4'!$G$19+'[11]4'!$G$23</f>
        <v>198.80989149797864</v>
      </c>
      <c r="J38" s="1461">
        <f>'[11]4'!$G$24</f>
        <v>45001.117607682929</v>
      </c>
      <c r="K38" s="1496">
        <f>'[11]4'!$D$14-0.05</f>
        <v>20171.529661389217</v>
      </c>
      <c r="L38" s="674">
        <f>SUM('[11]4'!$D$21:$D$22)</f>
        <v>2255.3651362869873</v>
      </c>
      <c r="M38" s="675">
        <f>'[11]4'!$D$16</f>
        <v>19801.781514685128</v>
      </c>
      <c r="N38" s="675">
        <f>'[11]4'!$D$17</f>
        <v>680.43962192958588</v>
      </c>
      <c r="O38" s="675">
        <f>'[11]4'!$D$20</f>
        <v>1825.1890386284358</v>
      </c>
      <c r="P38" s="675">
        <f>'[11]4'!$D$18</f>
        <v>42.370335928436397</v>
      </c>
      <c r="Q38" s="675">
        <f>'[11]4'!$D$19+'[11]4'!$D$23</f>
        <v>224.43661862282963</v>
      </c>
      <c r="R38" s="618">
        <f t="shared" ref="R38" si="26">ROUND(J38,1)-ROUND(C38,1)-ROUND(D38,1)-ROUND(E38,1)-ROUND(F38,1)-ROUND(G38,1)-ROUND(H38,1)-ROUND(I38,1)</f>
        <v>-3.694822225952521E-12</v>
      </c>
      <c r="S38" s="618">
        <f t="shared" ref="S38" si="27">ROUND(J38,1)-ROUND(K38,1)-ROUND(L38,1)-ROUND(M38,1)-ROUND(N38,1)-ROUND(O38,1)-ROUND(P38,1)-ROUND(Q38,1)</f>
        <v>-2.3305801732931286E-12</v>
      </c>
      <c r="T38" s="185"/>
      <c r="U38" s="185"/>
    </row>
    <row r="39" spans="1:21" s="1322" customFormat="1" ht="21" customHeight="1">
      <c r="A39" s="1983">
        <v>2026</v>
      </c>
      <c r="B39" s="1984" t="s">
        <v>423</v>
      </c>
      <c r="C39" s="674">
        <f>'[12]4'!$G$14</f>
        <v>20646.741840773004</v>
      </c>
      <c r="D39" s="674">
        <f>SUM('[12]4'!$G$21:$G$22)</f>
        <v>1617.479574572224</v>
      </c>
      <c r="E39" s="675">
        <f>'[12]4'!$G$16</f>
        <v>20855.466173521847</v>
      </c>
      <c r="F39" s="675">
        <f>'[12]4'!$G$17</f>
        <v>549.85056992539046</v>
      </c>
      <c r="G39" s="675">
        <f>'[12]4'!$G$20</f>
        <v>1292.4244649172376</v>
      </c>
      <c r="H39" s="675">
        <f>'[12]4'!$G$18</f>
        <v>62.051319124907721</v>
      </c>
      <c r="I39" s="674">
        <f>'[12]4'!$G$19+'[12]4'!$G$23</f>
        <v>247.23637298080601</v>
      </c>
      <c r="J39" s="1461">
        <f>'[12]4'!$G$24</f>
        <v>45271.250315815414</v>
      </c>
      <c r="K39" s="1496">
        <f>'[12]4'!$D$14-0.05</f>
        <v>20377.467692727772</v>
      </c>
      <c r="L39" s="674">
        <f>SUM('[12]4'!$D$21:$D$22)</f>
        <v>2361.7925784758982</v>
      </c>
      <c r="M39" s="675">
        <f>'[12]4'!$D$16</f>
        <v>19811.431815189688</v>
      </c>
      <c r="N39" s="675">
        <f>'[12]4'!$D$17</f>
        <v>701.44499616407995</v>
      </c>
      <c r="O39" s="675">
        <f>'[12]4'!$D$20</f>
        <v>1725.8825251162168</v>
      </c>
      <c r="P39" s="675">
        <f>'[12]4'!$D$18</f>
        <v>35.005933589135161</v>
      </c>
      <c r="Q39" s="675">
        <f>'[12]4'!$D$19+'[12]4'!$D$23</f>
        <v>258.31171031550139</v>
      </c>
      <c r="R39" s="618">
        <f t="shared" ref="R39" si="28">ROUND(J39,1)-ROUND(C39,1)-ROUND(D39,1)-ROUND(E39,1)-ROUND(F39,1)-ROUND(G39,1)-ROUND(H39,1)-ROUND(I39,1)</f>
        <v>2.0179413695586845E-12</v>
      </c>
      <c r="S39" s="618">
        <f t="shared" ref="S39" si="29">ROUND(J39,1)-ROUND(K39,1)-ROUND(L39,1)-ROUND(M39,1)-ROUND(N39,1)-ROUND(O39,1)-ROUND(P39,1)-ROUND(Q39,1)</f>
        <v>1.9895196601282805E-12</v>
      </c>
      <c r="T39" s="185"/>
      <c r="U39" s="185"/>
    </row>
    <row r="40" spans="1:21" s="1322" customFormat="1" ht="17.25" customHeight="1">
      <c r="A40" s="1983"/>
      <c r="B40" s="1984" t="s">
        <v>424</v>
      </c>
      <c r="C40" s="672">
        <f>'[13]4'!$G$14+0.1</f>
        <v>20824.377673948005</v>
      </c>
      <c r="D40" s="672">
        <f>SUM('[13]4'!$G$21:$G$22)-0.03</f>
        <v>1755.6399664189523</v>
      </c>
      <c r="E40" s="675">
        <f>'[13]4'!$G$16</f>
        <v>21236.75655071756</v>
      </c>
      <c r="F40" s="675">
        <f>'[13]4'!$G$17</f>
        <v>509.2138046507593</v>
      </c>
      <c r="G40" s="675">
        <f>'[13]4'!$G$20</f>
        <v>1325.6858230153885</v>
      </c>
      <c r="H40" s="675">
        <f>'[13]4'!$G$18</f>
        <v>92.005062208950392</v>
      </c>
      <c r="I40" s="674">
        <f>'[13]4'!$G$19+'[13]4'!$G$23</f>
        <v>266.7877820908077</v>
      </c>
      <c r="J40" s="673">
        <f>'[13]4'!$G$24+0.06</f>
        <v>46010.45666305042</v>
      </c>
      <c r="K40" s="1496">
        <f>'[13]4'!$D$14-0.05</f>
        <v>20406.58482921631</v>
      </c>
      <c r="L40" s="674">
        <f>SUM('[13]4'!$D$21:$D$22)</f>
        <v>2500.7354246961304</v>
      </c>
      <c r="M40" s="675">
        <f>'[13]4'!$D$16</f>
        <v>20323.806028297418</v>
      </c>
      <c r="N40" s="675">
        <f>'[13]4'!$D$17</f>
        <v>567.5571324903807</v>
      </c>
      <c r="O40" s="675">
        <f>'[13]4'!$D$20</f>
        <v>1901.576050988383</v>
      </c>
      <c r="P40" s="675">
        <f>'[13]4'!$D$18</f>
        <v>27.638895165081824</v>
      </c>
      <c r="Q40" s="675">
        <f>'[13]4'!$D$19+'[13]4'!$D$23</f>
        <v>282.5993530874868</v>
      </c>
      <c r="R40" s="618">
        <f t="shared" ref="R40" si="30">ROUND(J40,1)-ROUND(C40,1)-ROUND(D40,1)-ROUND(E40,1)-ROUND(F40,1)-ROUND(G40,1)-ROUND(H40,1)-ROUND(I40,1)</f>
        <v>6.2527760746888816E-13</v>
      </c>
      <c r="S40" s="618">
        <f t="shared" ref="S40" si="31">ROUND(J40,1)-ROUND(K40,1)-ROUND(L40,1)-ROUND(M40,1)-ROUND(N40,1)-ROUND(O40,1)-ROUND(P40,1)-ROUND(Q40,1)</f>
        <v>1.5916157281026244E-12</v>
      </c>
      <c r="T40" s="185"/>
      <c r="U40" s="185"/>
    </row>
    <row r="41" spans="1:21" s="1322" customFormat="1" ht="17.25" customHeight="1">
      <c r="A41" s="1983"/>
      <c r="B41" s="1984" t="s">
        <v>425</v>
      </c>
      <c r="C41" s="672">
        <f>'[14]4'!$G$14+0.05</f>
        <v>21634.759029028071</v>
      </c>
      <c r="D41" s="674">
        <f>SUM('[14]4'!$G$21:$G$22)</f>
        <v>1801.6694337097713</v>
      </c>
      <c r="E41" s="675">
        <f>'[14]4'!$G$16</f>
        <v>21290.077163081245</v>
      </c>
      <c r="F41" s="675">
        <f>'[14]4'!$G$17</f>
        <v>530.31854389556747</v>
      </c>
      <c r="G41" s="675">
        <f>'[14]4'!$G$20</f>
        <v>1271.6191000140557</v>
      </c>
      <c r="H41" s="675">
        <f>'[14]4'!$G$18</f>
        <v>79.723135816388208</v>
      </c>
      <c r="I41" s="672">
        <f>'[14]4'!$G$19+'[14]4'!$G$23-0.01</f>
        <v>229.14228689558868</v>
      </c>
      <c r="J41" s="1461">
        <f>'[14]4'!$G$24</f>
        <v>46837.268692440688</v>
      </c>
      <c r="K41" s="1496">
        <f>'[14]4'!$D$14</f>
        <v>21243.358884013149</v>
      </c>
      <c r="L41" s="674">
        <f>SUM('[14]4'!$D$21:$D$22)</f>
        <v>2610.4489242194049</v>
      </c>
      <c r="M41" s="675">
        <f>'[14]4'!$D$16</f>
        <v>20580.5967051404</v>
      </c>
      <c r="N41" s="675">
        <f>'[14]4'!$D$17</f>
        <v>657.66592440984095</v>
      </c>
      <c r="O41" s="675">
        <f>'[14]4'!$D$20</f>
        <v>1492.9464011721932</v>
      </c>
      <c r="P41" s="675">
        <f>'[14]4'!$D$18</f>
        <v>23.090628293503176</v>
      </c>
      <c r="Q41" s="675">
        <f>'[14]4'!$D$19+'[14]4'!$D$23</f>
        <v>229.2140859867317</v>
      </c>
      <c r="R41" s="618">
        <f t="shared" ref="R41" si="32">ROUND(J41,1)-ROUND(C41,1)-ROUND(D41,1)-ROUND(E41,1)-ROUND(F41,1)-ROUND(G41,1)-ROUND(H41,1)-ROUND(I41,1)</f>
        <v>4.5190517994342372E-12</v>
      </c>
      <c r="S41" s="618">
        <f t="shared" ref="S41" si="33">ROUND(J41,1)-ROUND(K41,1)-ROUND(L41,1)-ROUND(M41,1)-ROUND(N41,1)-ROUND(O41,1)-ROUND(P41,1)-ROUND(Q41,1)</f>
        <v>1.3358203432289883E-12</v>
      </c>
      <c r="T41" s="185"/>
      <c r="U41" s="185"/>
    </row>
    <row r="42" spans="1:21" s="1322" customFormat="1" ht="17.25" customHeight="1">
      <c r="A42" s="1983"/>
      <c r="B42" s="1984" t="s">
        <v>426</v>
      </c>
      <c r="C42" s="672">
        <f>'[15]4'!$G$14+0.02</f>
        <v>21188.054898253195</v>
      </c>
      <c r="D42" s="672">
        <f>SUM('[15]4'!$G$21:$G$22)-0.01</f>
        <v>1792.7460907177963</v>
      </c>
      <c r="E42" s="675">
        <f>'[15]4'!$G$16</f>
        <v>22046.26946437166</v>
      </c>
      <c r="F42" s="675">
        <f>'[15]4'!$G$17</f>
        <v>499.27442279197606</v>
      </c>
      <c r="G42" s="670">
        <f>'[15]4'!$G$20-0.04</f>
        <v>1268.2478778963293</v>
      </c>
      <c r="H42" s="675">
        <f>'[15]4'!$G$18</f>
        <v>96.103169083114764</v>
      </c>
      <c r="I42" s="672">
        <f>'[15]4'!$G$19+'[15]4'!$G$23-0.09</f>
        <v>246.15420733148403</v>
      </c>
      <c r="J42" s="673">
        <f>'[15]4'!$G$24-0.03</f>
        <v>47136.940130445553</v>
      </c>
      <c r="K42" s="1436">
        <f>'[15]4'!$D$14-0.06</f>
        <v>21302.841760413306</v>
      </c>
      <c r="L42" s="674">
        <f>SUM('[15]4'!$D$21:$D$22)</f>
        <v>2564.6376298772352</v>
      </c>
      <c r="M42" s="675">
        <f>'[15]4'!$D$16</f>
        <v>20957.900872812614</v>
      </c>
      <c r="N42" s="675">
        <f>'[15]4'!$D$17</f>
        <v>589.20369428614288</v>
      </c>
      <c r="O42" s="675">
        <f>'[15]4'!$D$20</f>
        <v>1401.1127110825992</v>
      </c>
      <c r="P42" s="675">
        <f>'[15]4'!$D$18</f>
        <v>53.802406559576738</v>
      </c>
      <c r="Q42" s="670">
        <f>'[15]4'!$D$19+'[15]4'!$D$23+0.01</f>
        <v>267.45861446450976</v>
      </c>
      <c r="R42" s="618">
        <f t="shared" ref="R42" si="34">ROUND(J42,1)-ROUND(C42,1)-ROUND(D42,1)-ROUND(E42,1)-ROUND(F42,1)-ROUND(G42,1)-ROUND(H42,1)-ROUND(I42,1)</f>
        <v>2.9274360713316128E-12</v>
      </c>
      <c r="S42" s="618">
        <f t="shared" ref="S42" si="35">ROUND(J42,1)-ROUND(K42,1)-ROUND(L42,1)-ROUND(M42,1)-ROUND(N42,1)-ROUND(O42,1)-ROUND(P42,1)-ROUND(Q42,1)</f>
        <v>2.2168933355715126E-12</v>
      </c>
      <c r="T42" s="185"/>
      <c r="U42" s="185"/>
    </row>
    <row r="43" spans="1:21" s="1322" customFormat="1" ht="17.25" customHeight="1">
      <c r="A43" s="1983"/>
      <c r="B43" s="1984" t="s">
        <v>427</v>
      </c>
      <c r="C43" s="674">
        <f>'[16]4'!$G$14</f>
        <v>21241.788852795875</v>
      </c>
      <c r="D43" s="674">
        <f>SUM('[16]4'!$G$21:$G$22)</f>
        <v>1791.9991696462357</v>
      </c>
      <c r="E43" s="675">
        <f>'[16]4'!$G$16</f>
        <v>21719.267682167927</v>
      </c>
      <c r="F43" s="675">
        <f>'[16]4'!$G$17</f>
        <v>573.05596599385285</v>
      </c>
      <c r="G43" s="675">
        <f>'[16]4'!$G$20</f>
        <v>1406.1152672768317</v>
      </c>
      <c r="H43" s="675">
        <f>'[16]4'!$G$18</f>
        <v>60.224262851007623</v>
      </c>
      <c r="I43" s="674">
        <f>'[16]4'!$G$19+'[16]4'!$G$23</f>
        <v>254.39646656680412</v>
      </c>
      <c r="J43" s="673">
        <f>'[16]4'!$G$24+0.01</f>
        <v>47046.857667298544</v>
      </c>
      <c r="K43" s="1496">
        <f>'[16]4'!$D$14</f>
        <v>21199.168333778434</v>
      </c>
      <c r="L43" s="674">
        <f>SUM('[16]4'!$D$21:$D$22)</f>
        <v>2645.3727822718429</v>
      </c>
      <c r="M43" s="675">
        <f>'[16]4'!$D$16</f>
        <v>21121.737793217762</v>
      </c>
      <c r="N43" s="675">
        <f>'[16]4'!$D$17</f>
        <v>444.10738323707102</v>
      </c>
      <c r="O43" s="675">
        <f>'[16]4'!$D$20</f>
        <v>1311.9356288468841</v>
      </c>
      <c r="P43" s="675">
        <f>'[16]4'!$D$18</f>
        <v>56.867303193711599</v>
      </c>
      <c r="Q43" s="675">
        <f>'[16]4'!$D$19+'[16]4'!$D$23</f>
        <v>267.67355600618146</v>
      </c>
      <c r="R43" s="618">
        <f t="shared" ref="R43" si="36">ROUND(J43,1)-ROUND(C43,1)-ROUND(D43,1)-ROUND(E43,1)-ROUND(F43,1)-ROUND(G43,1)-ROUND(H43,1)-ROUND(I43,1)</f>
        <v>3.0979663279140368E-12</v>
      </c>
      <c r="S43" s="618">
        <f t="shared" ref="S43" si="37">ROUND(J43,1)-ROUND(K43,1)-ROUND(L43,1)-ROUND(M43,1)-ROUND(N43,1)-ROUND(O43,1)-ROUND(P43,1)-ROUND(Q43,1)</f>
        <v>-1.4210854715202004E-12</v>
      </c>
      <c r="T43" s="185"/>
      <c r="U43" s="185"/>
    </row>
    <row r="44" spans="1:21" ht="20.25" customHeight="1">
      <c r="A44" s="292" t="s">
        <v>979</v>
      </c>
      <c r="B44" s="232"/>
      <c r="C44" s="232"/>
      <c r="D44" s="232"/>
      <c r="E44" s="232"/>
      <c r="F44" s="232"/>
      <c r="G44" s="232"/>
      <c r="H44" s="232"/>
      <c r="I44" s="232"/>
      <c r="J44" s="232"/>
      <c r="K44" s="232"/>
      <c r="L44" s="232"/>
      <c r="M44" s="232"/>
      <c r="N44" s="232"/>
      <c r="O44" s="232"/>
      <c r="P44" s="232"/>
      <c r="Q44" s="291" t="s">
        <v>980</v>
      </c>
    </row>
    <row r="45" spans="1:21" ht="14">
      <c r="A45" s="372"/>
      <c r="C45" s="1251"/>
      <c r="D45" s="1251"/>
      <c r="E45" s="1251"/>
      <c r="F45" s="1251"/>
      <c r="G45" s="1251"/>
      <c r="H45" s="1251"/>
      <c r="I45" s="1251"/>
      <c r="J45" s="1251"/>
      <c r="K45" s="1251"/>
      <c r="L45" s="1251"/>
      <c r="M45" s="1251"/>
      <c r="N45" s="1251"/>
      <c r="O45" s="1251"/>
      <c r="P45" s="1251"/>
      <c r="Q45" s="1468"/>
    </row>
    <row r="46" spans="1:21" s="635" customFormat="1" ht="15.5">
      <c r="A46" s="317" t="s">
        <v>1009</v>
      </c>
      <c r="B46" s="317"/>
      <c r="C46" s="317"/>
      <c r="D46" s="317"/>
      <c r="E46" s="317"/>
      <c r="F46" s="317"/>
      <c r="G46" s="317"/>
      <c r="H46" s="317"/>
      <c r="I46" s="317"/>
      <c r="J46" s="317"/>
      <c r="K46" s="317"/>
      <c r="L46" s="317"/>
      <c r="M46" s="317"/>
      <c r="N46" s="317"/>
      <c r="O46" s="317"/>
      <c r="P46" s="317"/>
      <c r="Q46" s="317"/>
      <c r="R46" s="185"/>
      <c r="S46" s="185"/>
      <c r="T46" s="185"/>
      <c r="U46" s="185"/>
    </row>
    <row r="47" spans="1:21">
      <c r="C47" s="1473"/>
      <c r="D47" s="1473"/>
      <c r="E47" s="1473"/>
      <c r="F47" s="1473"/>
      <c r="G47" s="1473"/>
      <c r="H47" s="1473"/>
      <c r="I47" s="1473"/>
      <c r="J47" s="1473"/>
      <c r="K47" s="1473"/>
      <c r="L47" s="1473"/>
      <c r="M47" s="1473"/>
      <c r="N47" s="1473"/>
      <c r="O47" s="1473"/>
      <c r="P47" s="1473"/>
      <c r="Q47" s="1473"/>
    </row>
    <row r="48" spans="1:21">
      <c r="C48" s="1473"/>
      <c r="D48" s="1473"/>
      <c r="E48" s="1473"/>
      <c r="F48" s="1473"/>
      <c r="G48" s="1473"/>
      <c r="H48" s="1473"/>
      <c r="I48" s="1473"/>
      <c r="J48" s="1473"/>
      <c r="K48" s="1473"/>
      <c r="L48" s="1473"/>
      <c r="M48" s="1473"/>
      <c r="N48" s="1473"/>
      <c r="O48" s="1473"/>
      <c r="P48" s="1473"/>
      <c r="Q48" s="1473"/>
    </row>
  </sheetData>
  <phoneticPr fontId="51" type="noConversion"/>
  <printOptions horizontalCentered="1" verticalCentered="1"/>
  <pageMargins left="0" right="0" top="0" bottom="0" header="0.5" footer="0.5"/>
  <pageSetup paperSize="9" scale="68"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FF0000"/>
    <pageSetUpPr fitToPage="1"/>
  </sheetPr>
  <dimension ref="A1:M63"/>
  <sheetViews>
    <sheetView zoomScale="80" zoomScaleNormal="80" workbookViewId="0">
      <pane ySplit="12" topLeftCell="A40" activePane="bottomLeft" state="frozen"/>
      <selection activeCell="B44" sqref="B44"/>
      <selection pane="bottomLeft" activeCell="H43" sqref="H43"/>
    </sheetView>
  </sheetViews>
  <sheetFormatPr defaultColWidth="7.81640625" defaultRowHeight="15.5"/>
  <cols>
    <col min="1" max="1" width="9.26953125" style="18" customWidth="1"/>
    <col min="2" max="2" width="9" style="18" customWidth="1"/>
    <col min="3" max="3" width="17.7265625" style="185" customWidth="1"/>
    <col min="4" max="4" width="20.7265625" style="185" customWidth="1"/>
    <col min="5" max="5" width="17.7265625" style="185" customWidth="1"/>
    <col min="6" max="6" width="16.81640625" style="185" customWidth="1"/>
    <col min="7" max="7" width="17.7265625" style="185" customWidth="1"/>
    <col min="8" max="8" width="18.1796875" style="185" customWidth="1"/>
    <col min="9" max="9" width="17" style="185" customWidth="1"/>
    <col min="10" max="10" width="18.1796875" style="185" customWidth="1"/>
    <col min="11" max="11" width="21.7265625" style="185" customWidth="1"/>
    <col min="12" max="12" width="0" style="185" hidden="1" customWidth="1"/>
    <col min="13" max="16384" width="7.81640625" style="185"/>
  </cols>
  <sheetData>
    <row r="1" spans="1:12" s="667" customFormat="1" ht="18">
      <c r="A1" s="1091" t="s">
        <v>1010</v>
      </c>
      <c r="B1" s="1156"/>
      <c r="C1" s="1157"/>
      <c r="D1" s="1157"/>
      <c r="E1" s="1157"/>
      <c r="F1" s="1157"/>
      <c r="G1" s="1157"/>
      <c r="H1" s="1157"/>
      <c r="I1" s="1157"/>
      <c r="J1" s="1157"/>
      <c r="K1" s="1157"/>
    </row>
    <row r="2" spans="1:12" s="667" customFormat="1" ht="18">
      <c r="A2" s="1036" t="s">
        <v>804</v>
      </c>
      <c r="B2" s="1156"/>
      <c r="C2" s="1157"/>
      <c r="D2" s="1157"/>
      <c r="E2" s="1157"/>
      <c r="F2" s="1157"/>
      <c r="G2" s="1157"/>
      <c r="H2" s="1157"/>
      <c r="I2" s="1157"/>
      <c r="J2" s="1157"/>
      <c r="K2" s="1157"/>
    </row>
    <row r="3" spans="1:12" s="667" customFormat="1" ht="18">
      <c r="A3" s="1091" t="s">
        <v>805</v>
      </c>
      <c r="B3" s="1156"/>
      <c r="C3" s="1157"/>
      <c r="D3" s="1157"/>
      <c r="E3" s="1157"/>
      <c r="F3" s="1157"/>
      <c r="G3" s="1157"/>
      <c r="H3" s="1157"/>
      <c r="I3" s="1157"/>
      <c r="J3" s="1157"/>
      <c r="K3" s="1157"/>
    </row>
    <row r="4" spans="1:12" s="667" customFormat="1" ht="18">
      <c r="A4" s="1036" t="s">
        <v>57</v>
      </c>
      <c r="B4" s="1157"/>
      <c r="C4" s="1157"/>
      <c r="D4" s="1157"/>
      <c r="E4" s="1157"/>
      <c r="F4" s="1157"/>
      <c r="G4" s="1157"/>
      <c r="H4" s="1157"/>
      <c r="I4" s="1157"/>
      <c r="J4" s="1157"/>
      <c r="K4" s="1157"/>
    </row>
    <row r="5" spans="1:12" s="667" customFormat="1" ht="18" customHeight="1">
      <c r="A5" s="1091" t="s">
        <v>56</v>
      </c>
      <c r="B5" s="1157"/>
      <c r="C5" s="1157"/>
      <c r="D5" s="1157"/>
      <c r="E5" s="1157"/>
      <c r="F5" s="1157"/>
      <c r="G5" s="1157"/>
      <c r="H5" s="1157"/>
      <c r="I5" s="1157"/>
      <c r="J5" s="1157"/>
      <c r="K5" s="1157"/>
    </row>
    <row r="6" spans="1:12" ht="1.5" hidden="1" customHeight="1">
      <c r="A6" s="318"/>
      <c r="B6" s="316"/>
      <c r="C6" s="317"/>
      <c r="D6" s="317" t="s">
        <v>806</v>
      </c>
      <c r="E6" s="317"/>
      <c r="F6" s="317"/>
      <c r="G6" s="317"/>
      <c r="H6" s="317"/>
      <c r="I6" s="317"/>
      <c r="J6" s="317"/>
      <c r="K6" s="317"/>
    </row>
    <row r="7" spans="1:12" s="667" customFormat="1" ht="8.5" hidden="1" customHeight="1">
      <c r="A7" s="1091"/>
      <c r="B7" s="1156"/>
      <c r="C7" s="1157"/>
      <c r="D7" s="1157"/>
      <c r="E7" s="1157"/>
      <c r="F7" s="1157"/>
      <c r="G7" s="1157"/>
      <c r="H7" s="1157"/>
      <c r="I7" s="1157"/>
      <c r="J7" s="1157"/>
      <c r="K7" s="1157"/>
    </row>
    <row r="8" spans="1:12" ht="1.5" hidden="1" customHeight="1">
      <c r="A8" s="318"/>
      <c r="B8" s="316"/>
      <c r="C8" s="317"/>
      <c r="D8" s="317"/>
      <c r="E8" s="317"/>
      <c r="F8" s="317"/>
      <c r="G8" s="317"/>
      <c r="H8" s="317"/>
      <c r="I8" s="317"/>
      <c r="J8" s="317"/>
      <c r="K8" s="317"/>
    </row>
    <row r="9" spans="1:12" ht="0.65" customHeight="1">
      <c r="A9" s="318"/>
      <c r="B9" s="316"/>
      <c r="C9" s="317"/>
      <c r="D9" s="317"/>
      <c r="E9" s="317"/>
      <c r="F9" s="317"/>
      <c r="G9" s="317"/>
      <c r="H9" s="317"/>
      <c r="I9" s="317"/>
      <c r="J9" s="317"/>
      <c r="K9" s="317"/>
    </row>
    <row r="10" spans="1:12">
      <c r="A10" s="2645" t="s">
        <v>1011</v>
      </c>
      <c r="B10" s="2645"/>
      <c r="C10" s="319"/>
      <c r="D10" s="319"/>
      <c r="E10" s="319"/>
      <c r="F10" s="319"/>
      <c r="G10" s="319"/>
      <c r="H10" s="319"/>
      <c r="I10" s="319"/>
      <c r="J10" s="319"/>
      <c r="K10" s="270" t="s">
        <v>1012</v>
      </c>
    </row>
    <row r="11" spans="1:12" s="331" customFormat="1" ht="53.5" customHeight="1">
      <c r="A11" s="332" t="s">
        <v>387</v>
      </c>
      <c r="B11" s="333"/>
      <c r="C11" s="334" t="s">
        <v>1013</v>
      </c>
      <c r="D11" s="334" t="s">
        <v>1014</v>
      </c>
      <c r="E11" s="334" t="s">
        <v>1015</v>
      </c>
      <c r="F11" s="1998" t="s">
        <v>1016</v>
      </c>
      <c r="G11" s="1998" t="s">
        <v>1017</v>
      </c>
      <c r="H11" s="1998" t="s">
        <v>1018</v>
      </c>
      <c r="I11" s="334" t="s">
        <v>1019</v>
      </c>
      <c r="J11" s="1998" t="s">
        <v>1020</v>
      </c>
      <c r="K11" s="1998" t="s">
        <v>1021</v>
      </c>
    </row>
    <row r="12" spans="1:12" s="166" customFormat="1" ht="53.5" customHeight="1">
      <c r="A12" s="183" t="s">
        <v>395</v>
      </c>
      <c r="B12" s="172"/>
      <c r="C12" s="173" t="s">
        <v>1022</v>
      </c>
      <c r="D12" s="173" t="s">
        <v>1023</v>
      </c>
      <c r="E12" s="173" t="s">
        <v>1024</v>
      </c>
      <c r="F12" s="174" t="s">
        <v>1025</v>
      </c>
      <c r="G12" s="174" t="s">
        <v>1026</v>
      </c>
      <c r="H12" s="173" t="s">
        <v>1027</v>
      </c>
      <c r="I12" s="174" t="s">
        <v>1028</v>
      </c>
      <c r="J12" s="174" t="s">
        <v>1029</v>
      </c>
      <c r="K12" s="174" t="s">
        <v>1030</v>
      </c>
    </row>
    <row r="13" spans="1:12" s="274" customFormat="1" ht="20.25" customHeight="1">
      <c r="A13" s="293">
        <v>2016</v>
      </c>
      <c r="B13" s="320"/>
      <c r="C13" s="330">
        <v>25.83081099929084</v>
      </c>
      <c r="D13" s="330">
        <v>24.890837291875794</v>
      </c>
      <c r="E13" s="330">
        <v>48.664323547122407</v>
      </c>
      <c r="F13" s="330">
        <v>44.418336607058009</v>
      </c>
      <c r="G13" s="330">
        <v>46.303040931277344</v>
      </c>
      <c r="H13" s="330">
        <v>53.079564486863717</v>
      </c>
      <c r="I13" s="330">
        <v>54.945917151097461</v>
      </c>
      <c r="J13" s="330">
        <f>SUM('19'!E13:J13)/'19'!Q13%</f>
        <v>56.724817184116709</v>
      </c>
      <c r="K13" s="330">
        <f>SUM('19'!E13:F13)/'19'!Q13%</f>
        <v>16.355441312510802</v>
      </c>
    </row>
    <row r="14" spans="1:12" s="276" customFormat="1" ht="14.25" customHeight="1">
      <c r="A14" s="265">
        <v>2017</v>
      </c>
      <c r="B14" s="321"/>
      <c r="C14" s="329">
        <v>27.714459608507212</v>
      </c>
      <c r="D14" s="329">
        <v>26.652959778508897</v>
      </c>
      <c r="E14" s="328">
        <v>51.221743402580231</v>
      </c>
      <c r="F14" s="328">
        <v>42.575579779019534</v>
      </c>
      <c r="G14" s="328">
        <v>45.511107063417427</v>
      </c>
      <c r="H14" s="328">
        <v>54.106826061510297</v>
      </c>
      <c r="I14" s="328">
        <v>54.917181607166846</v>
      </c>
      <c r="J14" s="328">
        <f>SUM('19'!E14:J14)/'19'!Q14%</f>
        <v>57.242297420364288</v>
      </c>
      <c r="K14" s="328">
        <f>SUM('19'!E14:F14)/'19'!Q14%</f>
        <v>16.255511105080096</v>
      </c>
    </row>
    <row r="15" spans="1:12" s="889" customFormat="1" ht="14.25" customHeight="1">
      <c r="A15" s="884">
        <v>2018</v>
      </c>
      <c r="B15" s="916"/>
      <c r="C15" s="908">
        <v>29.229392260732599</v>
      </c>
      <c r="D15" s="908">
        <v>28.42771628914825</v>
      </c>
      <c r="E15" s="908">
        <v>53.320863242578049</v>
      </c>
      <c r="F15" s="908">
        <v>41.848683130138589</v>
      </c>
      <c r="G15" s="908">
        <v>45.247495653375253</v>
      </c>
      <c r="H15" s="908">
        <v>54.817927698875273</v>
      </c>
      <c r="I15" s="908">
        <v>51.524442796780598</v>
      </c>
      <c r="J15" s="908">
        <f>SUM('19'!E15:J15)/'19'!Q15%</f>
        <v>55.699644480338591</v>
      </c>
      <c r="K15" s="908">
        <f>SUM('19'!E15:F15)/'19'!Q15%</f>
        <v>15.552315903456631</v>
      </c>
      <c r="L15" s="1303"/>
    </row>
    <row r="16" spans="1:12" s="889" customFormat="1" ht="14.25" customHeight="1">
      <c r="A16" s="884">
        <v>2019</v>
      </c>
      <c r="B16" s="916"/>
      <c r="C16" s="908">
        <v>27.527261202876627</v>
      </c>
      <c r="D16" s="908">
        <v>26.674734929943028</v>
      </c>
      <c r="E16" s="908">
        <v>54.197952287785419</v>
      </c>
      <c r="F16" s="908">
        <v>43.605652949504154</v>
      </c>
      <c r="G16" s="908">
        <v>46.373348297024215</v>
      </c>
      <c r="H16" s="908">
        <v>50.790223690942724</v>
      </c>
      <c r="I16" s="908">
        <v>55.166618264562779</v>
      </c>
      <c r="J16" s="908">
        <f>SUM('19'!E16:J16)/'19'!Q16%</f>
        <v>61.539506147154967</v>
      </c>
      <c r="K16" s="908">
        <f>SUM('19'!E16:F16)/'19'!Q16%</f>
        <v>15.430452660180679</v>
      </c>
      <c r="L16" s="1303"/>
    </row>
    <row r="17" spans="1:13" s="889" customFormat="1" ht="14.25" customHeight="1">
      <c r="A17" s="884">
        <v>2020</v>
      </c>
      <c r="B17" s="916"/>
      <c r="C17" s="908">
        <v>29.378122748423216</v>
      </c>
      <c r="D17" s="908">
        <v>28.335437657325564</v>
      </c>
      <c r="E17" s="908">
        <v>61.5897894354367</v>
      </c>
      <c r="F17" s="908">
        <v>40.927153092374873</v>
      </c>
      <c r="G17" s="908">
        <v>44.676691700403978</v>
      </c>
      <c r="H17" s="908">
        <v>47.699664210119913</v>
      </c>
      <c r="I17" s="908">
        <v>63.741488751748541</v>
      </c>
      <c r="J17" s="908">
        <f>SUM('19'!E17:J17)/'19'!Q17%</f>
        <v>69.977366000317971</v>
      </c>
      <c r="K17" s="908">
        <f>SUM('19'!E17:F17)/'19'!Q17%</f>
        <v>18.2504722861961</v>
      </c>
      <c r="L17" s="1303"/>
    </row>
    <row r="18" spans="1:13" s="889" customFormat="1" ht="14.25" customHeight="1">
      <c r="A18" s="884">
        <v>2021</v>
      </c>
      <c r="B18" s="916"/>
      <c r="C18" s="908">
        <v>29.180559956903668</v>
      </c>
      <c r="D18" s="908">
        <v>27.964623828649064</v>
      </c>
      <c r="E18" s="908">
        <v>58.307473080887959</v>
      </c>
      <c r="F18" s="908">
        <v>40.797910435676641</v>
      </c>
      <c r="G18" s="908">
        <v>44.795256172967335</v>
      </c>
      <c r="H18" s="908">
        <v>50.046003393805933</v>
      </c>
      <c r="I18" s="908">
        <v>59.926762243468872</v>
      </c>
      <c r="J18" s="908">
        <f>SUM('19'!E18:J18)/'19'!Q18%</f>
        <v>66.705099711184559</v>
      </c>
      <c r="K18" s="908">
        <f>SUM('19'!E18:F18)/'19'!Q18%</f>
        <v>19.838872730968284</v>
      </c>
      <c r="L18" s="1303"/>
    </row>
    <row r="19" spans="1:13" s="483" customFormat="1" ht="14.25" customHeight="1">
      <c r="A19" s="1782">
        <v>2022</v>
      </c>
      <c r="B19" s="2051"/>
      <c r="C19" s="2356">
        <v>29.539105133520689</v>
      </c>
      <c r="D19" s="2356">
        <v>27.892344776224846</v>
      </c>
      <c r="E19" s="2356">
        <v>59.45128691571044</v>
      </c>
      <c r="F19" s="2356">
        <v>37.558094264688883</v>
      </c>
      <c r="G19" s="2356">
        <v>44.354560333403619</v>
      </c>
      <c r="H19" s="2356">
        <v>49.686233328138037</v>
      </c>
      <c r="I19" s="2356">
        <v>59.756835717692155</v>
      </c>
      <c r="J19" s="2356">
        <f>SUM('19'!E19:J19)/'19'!Q19%</f>
        <v>67.467891819709479</v>
      </c>
      <c r="K19" s="2356">
        <f>SUM('19'!E19:F19)/'19'!Q19%</f>
        <v>16.281955603278895</v>
      </c>
      <c r="L19" s="1837"/>
    </row>
    <row r="20" spans="1:13" s="483" customFormat="1" ht="14.25" customHeight="1">
      <c r="A20" s="1782">
        <v>2023</v>
      </c>
      <c r="B20" s="2051"/>
      <c r="C20" s="2356">
        <v>29.257353825207353</v>
      </c>
      <c r="D20" s="2356">
        <v>26.958960363044746</v>
      </c>
      <c r="E20" s="2356">
        <v>58.299721461128115</v>
      </c>
      <c r="F20" s="2356">
        <v>36.284430075000962</v>
      </c>
      <c r="G20" s="2356">
        <v>43.98780616246912</v>
      </c>
      <c r="H20" s="2356">
        <v>50.184380117004451</v>
      </c>
      <c r="I20" s="2356">
        <v>58.99536881174506</v>
      </c>
      <c r="J20" s="2356">
        <f>SUM('19'!E20:J20)/'19'!Q20%</f>
        <v>66.480378644626583</v>
      </c>
      <c r="K20" s="2356">
        <f>SUM('19'!E20:F20)/'19'!Q20%</f>
        <v>14.259863874941809</v>
      </c>
      <c r="L20" s="1837"/>
    </row>
    <row r="21" spans="1:13" s="483" customFormat="1" ht="14.25" customHeight="1">
      <c r="A21" s="1782">
        <v>2024</v>
      </c>
      <c r="B21" s="2051"/>
      <c r="C21" s="2356">
        <v>29.542244688659853</v>
      </c>
      <c r="D21" s="2356">
        <v>26.760997674010671</v>
      </c>
      <c r="E21" s="2356">
        <v>59.901457663319732</v>
      </c>
      <c r="F21" s="2356">
        <v>35.594979793004747</v>
      </c>
      <c r="G21" s="2356">
        <v>45.721551780163075</v>
      </c>
      <c r="H21" s="2356">
        <v>49.318073117192029</v>
      </c>
      <c r="I21" s="2356">
        <v>60.640290504070997</v>
      </c>
      <c r="J21" s="2356">
        <v>65.005043770072845</v>
      </c>
      <c r="K21" s="2356">
        <v>13.846911755635505</v>
      </c>
      <c r="L21" s="1837"/>
    </row>
    <row r="22" spans="1:13" s="483" customFormat="1" ht="14.25" customHeight="1">
      <c r="A22" s="2058">
        <v>2025</v>
      </c>
      <c r="B22" s="2059"/>
      <c r="C22" s="2177">
        <f t="shared" ref="C22:I22" si="0">C29</f>
        <v>28.830411003801551</v>
      </c>
      <c r="D22" s="2177">
        <f t="shared" si="0"/>
        <v>25.480147791687898</v>
      </c>
      <c r="E22" s="2177">
        <f t="shared" si="0"/>
        <v>59.431132315672023</v>
      </c>
      <c r="F22" s="2177">
        <f t="shared" si="0"/>
        <v>35.136746681540806</v>
      </c>
      <c r="G22" s="2177">
        <f t="shared" si="0"/>
        <v>48.184238702115799</v>
      </c>
      <c r="H22" s="2177">
        <f t="shared" si="0"/>
        <v>48.510620411314214</v>
      </c>
      <c r="I22" s="2177">
        <f t="shared" si="0"/>
        <v>59.241907553902607</v>
      </c>
      <c r="J22" s="2177">
        <f>SUM('19'!E22:J22)/'19'!Q22%</f>
        <v>63.827654417461751</v>
      </c>
      <c r="K22" s="2177">
        <f>SUM('19'!E22:F22)/'19'!Q22%</f>
        <v>13.555340848176474</v>
      </c>
      <c r="L22" s="1837"/>
    </row>
    <row r="23" spans="1:13" s="889" customFormat="1" ht="21" customHeight="1">
      <c r="A23" s="884">
        <v>2024</v>
      </c>
      <c r="B23" s="916" t="s">
        <v>243</v>
      </c>
      <c r="C23" s="908">
        <v>29.683344237701188</v>
      </c>
      <c r="D23" s="908">
        <v>27.225694083446093</v>
      </c>
      <c r="E23" s="908">
        <v>60.339307092907951</v>
      </c>
      <c r="F23" s="908">
        <v>35.572315228179185</v>
      </c>
      <c r="G23" s="908">
        <v>45.783171192033102</v>
      </c>
      <c r="H23" s="908">
        <v>49.194042271642282</v>
      </c>
      <c r="I23" s="908">
        <v>59.813862259587047</v>
      </c>
      <c r="J23" s="908">
        <f>SUM('19'!E23:J23)/'19'!Q23%</f>
        <v>66.255552192392059</v>
      </c>
      <c r="K23" s="908">
        <f>SUM('19'!E23:F23)/'19'!Q23%</f>
        <v>14.405199712813225</v>
      </c>
      <c r="L23" s="1303"/>
    </row>
    <row r="24" spans="1:13" s="889" customFormat="1" ht="15" customHeight="1">
      <c r="A24" s="884"/>
      <c r="B24" s="916" t="s">
        <v>240</v>
      </c>
      <c r="C24" s="908">
        <v>29.289918254313822</v>
      </c>
      <c r="D24" s="908">
        <v>26.739916836258477</v>
      </c>
      <c r="E24" s="908">
        <v>57.586009571615975</v>
      </c>
      <c r="F24" s="908">
        <v>34.374947304350371</v>
      </c>
      <c r="G24" s="908">
        <v>44.220970274918656</v>
      </c>
      <c r="H24" s="908">
        <v>50.862906584780553</v>
      </c>
      <c r="I24" s="908">
        <v>59.003153047288784</v>
      </c>
      <c r="J24" s="908">
        <f>SUM('19'!E24:J24)/'19'!Q24%</f>
        <v>64.835777066978238</v>
      </c>
      <c r="K24" s="908">
        <f>SUM('19'!E24:F24)/'19'!Q24%</f>
        <v>13.853912777748437</v>
      </c>
      <c r="L24" s="1303"/>
    </row>
    <row r="25" spans="1:13" s="889" customFormat="1" ht="15" customHeight="1">
      <c r="A25" s="884"/>
      <c r="B25" s="916" t="s">
        <v>241</v>
      </c>
      <c r="C25" s="908">
        <v>29.542244688659853</v>
      </c>
      <c r="D25" s="908">
        <v>26.760997674010671</v>
      </c>
      <c r="E25" s="908">
        <v>59.901457663319732</v>
      </c>
      <c r="F25" s="908">
        <v>35.594979793004747</v>
      </c>
      <c r="G25" s="908">
        <v>45.721551780163075</v>
      </c>
      <c r="H25" s="908">
        <v>49.318073117192029</v>
      </c>
      <c r="I25" s="908">
        <v>60.640290504070997</v>
      </c>
      <c r="J25" s="908">
        <f>SUM('19'!E25:J25)/'19'!Q25%</f>
        <v>65.005043770072845</v>
      </c>
      <c r="K25" s="908">
        <f>SUM('19'!E25:F25)/'19'!Q25%</f>
        <v>13.846911755635505</v>
      </c>
      <c r="L25" s="1303"/>
    </row>
    <row r="26" spans="1:13" s="889" customFormat="1" ht="21" customHeight="1">
      <c r="A26" s="884">
        <v>2025</v>
      </c>
      <c r="B26" s="916" t="s">
        <v>242</v>
      </c>
      <c r="C26" s="908">
        <v>29.704000583967233</v>
      </c>
      <c r="D26" s="908">
        <v>26.950244199414769</v>
      </c>
      <c r="E26" s="908">
        <v>60.238676560208262</v>
      </c>
      <c r="F26" s="908">
        <v>34.439612922715035</v>
      </c>
      <c r="G26" s="908">
        <v>45.213109193803568</v>
      </c>
      <c r="H26" s="908">
        <v>49.310513245220832</v>
      </c>
      <c r="I26" s="908">
        <v>59.967176080892585</v>
      </c>
      <c r="J26" s="908">
        <v>64.352765286706671</v>
      </c>
      <c r="K26" s="908">
        <v>14.338515443912973</v>
      </c>
      <c r="L26" s="1303"/>
    </row>
    <row r="27" spans="1:13" s="889" customFormat="1" ht="15" customHeight="1">
      <c r="A27" s="884"/>
      <c r="B27" s="916" t="s">
        <v>243</v>
      </c>
      <c r="C27" s="908">
        <v>28.648880667398775</v>
      </c>
      <c r="D27" s="908">
        <v>26.328130802823122</v>
      </c>
      <c r="E27" s="908">
        <v>62.918691519830219</v>
      </c>
      <c r="F27" s="908">
        <v>35.214294241022657</v>
      </c>
      <c r="G27" s="908">
        <v>47.117345276339883</v>
      </c>
      <c r="H27" s="908">
        <v>45.533179370663561</v>
      </c>
      <c r="I27" s="908">
        <v>64.775606999624344</v>
      </c>
      <c r="J27" s="908">
        <v>68.096676182778324</v>
      </c>
      <c r="K27" s="908">
        <v>14.498499987139416</v>
      </c>
      <c r="L27" s="1303"/>
    </row>
    <row r="28" spans="1:13" s="889" customFormat="1" ht="15" customHeight="1">
      <c r="A28" s="884"/>
      <c r="B28" s="916" t="s">
        <v>240</v>
      </c>
      <c r="C28" s="908">
        <f t="shared" ref="C28:K28" si="1">C35</f>
        <v>28.930162508545294</v>
      </c>
      <c r="D28" s="908">
        <f t="shared" si="1"/>
        <v>25.690780395724303</v>
      </c>
      <c r="E28" s="908">
        <f t="shared" si="1"/>
        <v>61.993846723255913</v>
      </c>
      <c r="F28" s="908">
        <f t="shared" si="1"/>
        <v>36.221552238762982</v>
      </c>
      <c r="G28" s="908">
        <f t="shared" si="1"/>
        <v>47.83220791896764</v>
      </c>
      <c r="H28" s="908">
        <f t="shared" si="1"/>
        <v>46.666183883847694</v>
      </c>
      <c r="I28" s="908">
        <f t="shared" si="1"/>
        <v>61.853669075875821</v>
      </c>
      <c r="J28" s="908">
        <f t="shared" si="1"/>
        <v>66.038465113582561</v>
      </c>
      <c r="K28" s="908">
        <f t="shared" si="1"/>
        <v>13.958249143201142</v>
      </c>
      <c r="L28" s="1303"/>
      <c r="M28" s="1804"/>
    </row>
    <row r="29" spans="1:13" s="889" customFormat="1" ht="15" customHeight="1">
      <c r="A29" s="884"/>
      <c r="B29" s="916" t="s">
        <v>241</v>
      </c>
      <c r="C29" s="908">
        <f t="shared" ref="C29:K29" si="2">C38</f>
        <v>28.830411003801551</v>
      </c>
      <c r="D29" s="908">
        <f t="shared" si="2"/>
        <v>25.480147791687898</v>
      </c>
      <c r="E29" s="908">
        <f t="shared" si="2"/>
        <v>59.431132315672023</v>
      </c>
      <c r="F29" s="908">
        <f t="shared" si="2"/>
        <v>35.136746681540806</v>
      </c>
      <c r="G29" s="908">
        <f t="shared" si="2"/>
        <v>48.184238702115799</v>
      </c>
      <c r="H29" s="908">
        <f t="shared" si="2"/>
        <v>48.510620411314214</v>
      </c>
      <c r="I29" s="908">
        <f t="shared" si="2"/>
        <v>59.241907553902607</v>
      </c>
      <c r="J29" s="908">
        <f t="shared" si="2"/>
        <v>63.827654417461751</v>
      </c>
      <c r="K29" s="908">
        <f t="shared" si="2"/>
        <v>13.555340848176474</v>
      </c>
      <c r="L29" s="1303"/>
      <c r="M29" s="1804"/>
    </row>
    <row r="30" spans="1:13" s="889" customFormat="1" ht="21" customHeight="1">
      <c r="A30" s="1681">
        <v>2026</v>
      </c>
      <c r="B30" s="1691" t="s">
        <v>242</v>
      </c>
      <c r="C30" s="1685">
        <f t="shared" ref="C30:K30" si="3">C41</f>
        <v>28.258091482546138</v>
      </c>
      <c r="D30" s="1685">
        <f t="shared" si="3"/>
        <v>24.6968225036237</v>
      </c>
      <c r="E30" s="1685">
        <f t="shared" si="3"/>
        <v>59.228856027456807</v>
      </c>
      <c r="F30" s="1685">
        <f t="shared" si="3"/>
        <v>34.876535612876403</v>
      </c>
      <c r="G30" s="1685">
        <f t="shared" si="3"/>
        <v>48.764870893718488</v>
      </c>
      <c r="H30" s="1685">
        <f t="shared" si="3"/>
        <v>47.710007212441333</v>
      </c>
      <c r="I30" s="1685">
        <f t="shared" si="3"/>
        <v>58.429956444004908</v>
      </c>
      <c r="J30" s="1685">
        <f t="shared" si="3"/>
        <v>62.913580362580099</v>
      </c>
      <c r="K30" s="1685">
        <f t="shared" si="3"/>
        <v>14.703071179992333</v>
      </c>
      <c r="L30" s="2515"/>
      <c r="M30" s="1804"/>
    </row>
    <row r="31" spans="1:13" s="483" customFormat="1" ht="21" customHeight="1">
      <c r="A31" s="1782">
        <v>2025</v>
      </c>
      <c r="B31" s="2051" t="s">
        <v>427</v>
      </c>
      <c r="C31" s="2356">
        <v>28.636579944254649</v>
      </c>
      <c r="D31" s="2356">
        <v>26.378265663328236</v>
      </c>
      <c r="E31" s="2356">
        <v>60.209678473785367</v>
      </c>
      <c r="F31" s="2356">
        <v>35.136891617185391</v>
      </c>
      <c r="G31" s="2356">
        <v>47.004896513370909</v>
      </c>
      <c r="H31" s="2356">
        <v>47.561423130207714</v>
      </c>
      <c r="I31" s="2356">
        <v>62.078634222499716</v>
      </c>
      <c r="J31" s="2356">
        <v>65.551826001539411</v>
      </c>
      <c r="K31" s="2356">
        <v>14.247075926201978</v>
      </c>
      <c r="L31" s="1837"/>
      <c r="M31" s="2057"/>
    </row>
    <row r="32" spans="1:13" s="483" customFormat="1" ht="17.25" customHeight="1">
      <c r="A32" s="1782"/>
      <c r="B32" s="2051" t="s">
        <v>428</v>
      </c>
      <c r="C32" s="2356">
        <f>SUM('[5]1'!$C$76:$D$76)/'[5]1'!$Q$98%</f>
        <v>28.648880667398775</v>
      </c>
      <c r="D32" s="2356">
        <f>SUM('[5]1'!$C$79:$D$83)/'[5]1'!$Q$98%</f>
        <v>26.328130802823122</v>
      </c>
      <c r="E32" s="2356">
        <f>SUM('[5]1'!$C$76:$D$76)/('[5]2'!$I$15+'[5]2'!$I$23+'[5]2'!$K$15+'[5]2'!$K$23)%</f>
        <v>62.918691519830219</v>
      </c>
      <c r="F32" s="2356">
        <f>SUM('[5]1'!$E$98:$P$98)/'[5]1'!$Q$98%</f>
        <v>35.214294241022657</v>
      </c>
      <c r="G32" s="2356">
        <f>SUM('[5]1'!$E$38:$P$38)/'[5]1'!$Q$38%</f>
        <v>47.117345276339883</v>
      </c>
      <c r="H32" s="2356">
        <f>('[5]2'!$I$15+'[5]2'!$I$23+'[5]2'!$K$15+'[5]2'!$K$23)/'[5]1'!$Q$98%</f>
        <v>45.533179370663561</v>
      </c>
      <c r="I32" s="2356">
        <f>('[5]2'!$I$15+'[5]2'!$K$15)/('[5]2'!$I$15+'[5]2'!$I$23+'[5]2'!$K$15+'[5]2'!$K$23)%</f>
        <v>64.775606999624344</v>
      </c>
      <c r="J32" s="2356">
        <f>SUM('19'!E32:J32)/'19'!Q32%</f>
        <v>68.096676182778324</v>
      </c>
      <c r="K32" s="2356">
        <f>SUM('19'!E32:F32)/'19'!Q32%</f>
        <v>14.498499987139416</v>
      </c>
      <c r="L32" s="1837"/>
    </row>
    <row r="33" spans="1:12" s="483" customFormat="1" ht="17.25" customHeight="1">
      <c r="A33" s="1782"/>
      <c r="B33" s="2051" t="s">
        <v>429</v>
      </c>
      <c r="C33" s="2356">
        <f>SUM('[6]1'!$C$76:$D$76)/'[6]1'!$Q$98%</f>
        <v>28.596028748666559</v>
      </c>
      <c r="D33" s="2356">
        <f>SUM('[6]1'!$C$79:$D$83)/'[6]1'!$Q$98%</f>
        <v>26.055654199421276</v>
      </c>
      <c r="E33" s="2356">
        <f>SUM('[6]1'!$C$76:$D$76)/('[6]2'!$I$15+'[6]2'!$I$23+'[6]2'!$K$15+'[6]2'!$K$23)%</f>
        <v>62.050805936320742</v>
      </c>
      <c r="F33" s="2356">
        <f>SUM('[6]1'!$E$98:$P$98)/'[6]1'!$Q$98%</f>
        <v>35.590752644825152</v>
      </c>
      <c r="G33" s="2356">
        <f>SUM('[6]1'!$E$38:$P$38)/'[6]1'!$Q$38%</f>
        <v>47.58476435410185</v>
      </c>
      <c r="H33" s="2356">
        <f>('[6]2'!$I$15+'[6]2'!$I$23+'[6]2'!$K$15+'[6]2'!$K$23)/'[6]1'!$Q$98%</f>
        <v>46.084862746203584</v>
      </c>
      <c r="I33" s="2356">
        <f>('[6]2'!$I$15+'[6]2'!$K$15)/('[6]2'!$I$15+'[6]2'!$I$23+'[6]2'!$K$15+'[6]2'!$K$23)%</f>
        <v>63.352302632097661</v>
      </c>
      <c r="J33" s="2356">
        <f>SUM('19'!E33:J33)/'19'!Q33%</f>
        <v>66.286416040260576</v>
      </c>
      <c r="K33" s="2356">
        <f>SUM('19'!E33:F33)/'19'!Q33%</f>
        <v>14.222007290647705</v>
      </c>
      <c r="L33" s="1837"/>
    </row>
    <row r="34" spans="1:12" s="483" customFormat="1" ht="17.25" customHeight="1">
      <c r="A34" s="1782"/>
      <c r="B34" s="2051" t="s">
        <v>430</v>
      </c>
      <c r="C34" s="2356">
        <f>SUM('[7]1'!$C$76:$D$76)/'[7]1'!$Q$98%</f>
        <v>28.582027674371869</v>
      </c>
      <c r="D34" s="2356">
        <f>SUM('[7]1'!$C$79:$D$83)/'[7]1'!$Q$98%</f>
        <v>25.640194863921963</v>
      </c>
      <c r="E34" s="2356">
        <f>SUM('[7]1'!$C$76:$D$76)/('[7]2'!$I$15+'[7]2'!$I$23+'[7]2'!$K$15+'[7]2'!$K$23)%</f>
        <v>61.590757287072968</v>
      </c>
      <c r="F34" s="2356">
        <f>SUM('[7]1'!$E$98:$P$98)/'[7]1'!$Q$98%</f>
        <v>36.635452385132062</v>
      </c>
      <c r="G34" s="2356">
        <f>SUM('[7]1'!$E$38:$P$38)/'[7]1'!$Q$38%</f>
        <v>48.055150056826349</v>
      </c>
      <c r="H34" s="2356">
        <f>('[7]2'!$I$15+'[7]2'!$I$23+'[7]2'!$K$15+'[7]2'!$K$23)/'[7]1'!$Q$98%</f>
        <v>46.406358572848447</v>
      </c>
      <c r="I34" s="2356">
        <f>('[7]2'!$I$15+'[7]2'!$K$15)/('[7]2'!$I$15+'[7]2'!$I$23+'[7]2'!$K$15+'[7]2'!$K$23)%</f>
        <v>62.451072006100354</v>
      </c>
      <c r="J34" s="2356">
        <f>SUM('19'!E34:J34)/'19'!Q34%</f>
        <v>65.844014344406474</v>
      </c>
      <c r="K34" s="2356">
        <f>SUM('19'!E34:F34)/'19'!Q34%</f>
        <v>14.358559664507249</v>
      </c>
      <c r="L34" s="1837"/>
    </row>
    <row r="35" spans="1:12" s="483" customFormat="1" ht="17.25" customHeight="1">
      <c r="A35" s="1782"/>
      <c r="B35" s="2051" t="s">
        <v>431</v>
      </c>
      <c r="C35" s="2356">
        <f>SUM('[8]1'!$C$76:$D$76)/'[8]1'!$Q$98%</f>
        <v>28.930162508545294</v>
      </c>
      <c r="D35" s="2356">
        <f>SUM('[8]1'!$C$79:$D$83)/'[8]1'!$Q$98%</f>
        <v>25.690780395724303</v>
      </c>
      <c r="E35" s="2356">
        <f>SUM('[8]1'!$C$76:$D$76)/('[8]2'!$I$15+'[8]2'!$I$23+'[8]2'!$K$15+'[8]2'!$K$23)%</f>
        <v>61.993846723255913</v>
      </c>
      <c r="F35" s="2356">
        <f>SUM('[8]1'!$E$98:$P$98)/'[8]1'!$Q$98%</f>
        <v>36.221552238762982</v>
      </c>
      <c r="G35" s="2356">
        <f>SUM('[8]1'!$E$38:$P$38)/'[8]1'!$Q$38%</f>
        <v>47.83220791896764</v>
      </c>
      <c r="H35" s="2356">
        <f>('[8]2'!$I$15+'[8]2'!$I$23+'[8]2'!$K$15+'[8]2'!$K$23)/'[8]1'!$Q$98%</f>
        <v>46.666183883847694</v>
      </c>
      <c r="I35" s="2356">
        <f>('[8]2'!$I$15+'[8]2'!$K$15)/('[8]2'!$I$15+'[8]2'!$I$23+'[8]2'!$K$15+'[8]2'!$K$23)%</f>
        <v>61.853669075875821</v>
      </c>
      <c r="J35" s="2356">
        <f>SUM('19'!E35:J35)/'19'!Q35%</f>
        <v>66.038465113582561</v>
      </c>
      <c r="K35" s="2356">
        <f>SUM('19'!E35:F35)/'19'!Q35%</f>
        <v>13.958249143201142</v>
      </c>
      <c r="L35" s="1837"/>
    </row>
    <row r="36" spans="1:12" s="483" customFormat="1" ht="17.25" customHeight="1">
      <c r="A36" s="1782"/>
      <c r="B36" s="2051" t="s">
        <v>420</v>
      </c>
      <c r="C36" s="2356">
        <f>SUM('[9]1'!$C$76:$D$76)/'[9]1'!$Q$98%</f>
        <v>28.91697378571784</v>
      </c>
      <c r="D36" s="2356">
        <f>SUM('[9]1'!$C$79:$D$83)/'[9]1'!$Q$98%</f>
        <v>25.663944594597986</v>
      </c>
      <c r="E36" s="2356">
        <f>SUM('[9]1'!$C$76:$D$76)/('[9]2'!$I$15+'[9]2'!$I$23+'[9]2'!$K$15+'[9]2'!$K$23)%</f>
        <v>60.736905801469931</v>
      </c>
      <c r="F36" s="2356">
        <f>SUM('[9]1'!$E$98:$P$98)/'[9]1'!$Q$98%</f>
        <v>35.478303839554627</v>
      </c>
      <c r="G36" s="2356">
        <f>SUM('[9]1'!$E$38:$P$38)/'[9]1'!$Q$38%</f>
        <v>48.659789688765393</v>
      </c>
      <c r="H36" s="2356">
        <f>('[9]2'!$I$15+'[9]2'!$I$23+'[9]2'!$K$15+'[9]2'!$K$23)/'[9]1'!$Q$98%</f>
        <v>47.610218867978624</v>
      </c>
      <c r="I36" s="2356">
        <f>('[9]2'!$I$15+'[9]2'!$K$15)/('[9]2'!$I$15+'[9]2'!$I$23+'[9]2'!$K$15+'[9]2'!$K$23)%</f>
        <v>59.948068811620082</v>
      </c>
      <c r="J36" s="2356">
        <f>SUM('19'!E36:J36)/'19'!Q36%</f>
        <v>64.697199262722805</v>
      </c>
      <c r="K36" s="2356">
        <f>SUM('19'!E36:F36)/'19'!Q36%</f>
        <v>13.847475947235088</v>
      </c>
      <c r="L36" s="1837"/>
    </row>
    <row r="37" spans="1:12" s="483" customFormat="1" ht="17.25" customHeight="1">
      <c r="A37" s="1782"/>
      <c r="B37" s="2051" t="s">
        <v>421</v>
      </c>
      <c r="C37" s="2356">
        <f>SUM('[10]1'!$C$76:$D$76)/'[10]1'!$Q$98%</f>
        <v>28.764326095753535</v>
      </c>
      <c r="D37" s="2356">
        <f>SUM('[10]1'!$C$79:$D$83)/'[10]1'!$Q$98%</f>
        <v>25.433102060454008</v>
      </c>
      <c r="E37" s="2356">
        <f>SUM('[10]1'!$C$76:$D$76)/('[10]2'!$I$15+'[10]2'!$I$23+'[10]2'!$K$15+'[10]2'!$K$23)%</f>
        <v>59.922739148787478</v>
      </c>
      <c r="F37" s="2356">
        <f>SUM('[10]1'!$E$98:$P$98)/'[10]1'!$Q$98%</f>
        <v>35.295350605813987</v>
      </c>
      <c r="G37" s="2356">
        <f>SUM('[10]1'!$E$38:$P$38)/'[10]1'!$Q$38%</f>
        <v>48.14324153346881</v>
      </c>
      <c r="H37" s="2356">
        <f>('[10]2'!$I$15+'[10]2'!$I$23+'[10]2'!$K$15+'[10]2'!$K$23)/'[10]1'!$Q$98%</f>
        <v>48.002355206647081</v>
      </c>
      <c r="I37" s="2356">
        <f>('[10]2'!$I$15+'[10]2'!$K$15)/('[10]2'!$I$15+'[10]2'!$I$23+'[10]2'!$K$15+'[10]2'!$K$23)%</f>
        <v>59.358798409785877</v>
      </c>
      <c r="J37" s="2356">
        <f>SUM('19'!E37:J37)/'19'!Q37%</f>
        <v>64.433466579539385</v>
      </c>
      <c r="K37" s="2356">
        <f>SUM('19'!E37:F37)/'19'!Q37%</f>
        <v>13.98949994500081</v>
      </c>
      <c r="L37" s="1837"/>
    </row>
    <row r="38" spans="1:12" s="483" customFormat="1" ht="17.25" customHeight="1">
      <c r="A38" s="1782"/>
      <c r="B38" s="2051" t="s">
        <v>422</v>
      </c>
      <c r="C38" s="2356">
        <f>SUM('[11]1'!$C$76:$D$76)/'[11]1'!$Q$98%</f>
        <v>28.830411003801551</v>
      </c>
      <c r="D38" s="2356">
        <f>SUM('[11]1'!$C$79:$D$83)/'[11]1'!$Q$98%</f>
        <v>25.480147791687898</v>
      </c>
      <c r="E38" s="2356">
        <f>SUM('[11]1'!$C$76:$D$76)/('[11]2'!$I$15+'[11]2'!$I$23+'[11]2'!$K$15+'[11]2'!$K$23)%</f>
        <v>59.431132315672023</v>
      </c>
      <c r="F38" s="2356">
        <f>SUM('[11]1'!$E$98:$P$98)/'[11]1'!$Q$98%</f>
        <v>35.136746681540806</v>
      </c>
      <c r="G38" s="2356">
        <f>SUM('[11]1'!$E$38:$P$38)/'[11]1'!$Q$38%</f>
        <v>48.184238702115799</v>
      </c>
      <c r="H38" s="2356">
        <f>('[11]2'!$I$15+'[11]2'!$I$23+'[11]2'!$K$15+'[11]2'!$K$23)/'[11]1'!$Q$98%</f>
        <v>48.510620411314214</v>
      </c>
      <c r="I38" s="2356">
        <f>('[11]2'!$I$15+'[11]2'!$K$15)/('[11]2'!$I$15+'[11]2'!$I$23+'[11]2'!$K$15+'[11]2'!$K$23)%</f>
        <v>59.241907553902607</v>
      </c>
      <c r="J38" s="2356">
        <f>SUM('19'!E38:J38)/'19'!Q38%</f>
        <v>63.827654417461751</v>
      </c>
      <c r="K38" s="2356">
        <f>SUM('19'!E38:F38)/'19'!Q38%</f>
        <v>13.555340848176474</v>
      </c>
      <c r="L38" s="1837"/>
    </row>
    <row r="39" spans="1:12" s="483" customFormat="1" ht="21" customHeight="1">
      <c r="A39" s="1782">
        <v>2026</v>
      </c>
      <c r="B39" s="2051" t="s">
        <v>423</v>
      </c>
      <c r="C39" s="2356">
        <f>SUM('[12]1'!$C$76:$D$76)/'[12]1'!$Q$98%</f>
        <v>28.419390188706039</v>
      </c>
      <c r="D39" s="2356">
        <f>SUM('[12]1'!$C$79:$D$83)/'[12]1'!$Q$98%</f>
        <v>25.046031195328052</v>
      </c>
      <c r="E39" s="2356">
        <f>SUM('[12]1'!$C$76:$D$76)/('[12]2'!$I$15+'[12]2'!$I$23+'[12]2'!$K$15+'[12]2'!$K$23)%</f>
        <v>58.037423549916674</v>
      </c>
      <c r="F39" s="2356">
        <f>SUM('[12]1'!$E$98:$P$98)/'[12]1'!$Q$98%</f>
        <v>35.397436876723042</v>
      </c>
      <c r="G39" s="2356">
        <f>SUM('[12]1'!$E$38:$P$38)/'[12]1'!$Q$38%</f>
        <v>47.970198153059975</v>
      </c>
      <c r="H39" s="2356">
        <f>('[12]2'!$I$15+'[12]2'!$I$23+'[12]2'!$K$15+'[12]2'!$K$23)/'[12]1'!$Q$98%</f>
        <v>48.967353218674781</v>
      </c>
      <c r="I39" s="2356">
        <f>('[12]2'!$I$15+'[12]2'!$K$15)/('[12]2'!$I$15+'[12]2'!$I$23+'[12]2'!$K$15+'[12]2'!$K$23)%</f>
        <v>58.338119647132942</v>
      </c>
      <c r="J39" s="2356">
        <f>SUM('19'!E39:J39)/'19'!Q39%</f>
        <v>63.452767522056291</v>
      </c>
      <c r="K39" s="2356">
        <f>SUM('19'!E39:F39)/'19'!Q39%</f>
        <v>14.124120105521659</v>
      </c>
      <c r="L39" s="1837"/>
    </row>
    <row r="40" spans="1:12" s="483" customFormat="1" ht="17.25" customHeight="1">
      <c r="A40" s="1782"/>
      <c r="B40" s="2051" t="s">
        <v>424</v>
      </c>
      <c r="C40" s="2356">
        <f>SUM('[13]1'!$C$76:$D$76)/'[13]1'!$Q$98%</f>
        <v>28.059901373349327</v>
      </c>
      <c r="D40" s="2356">
        <f>SUM('[13]1'!$C$79:$D$83)/'[13]1'!$Q$98%</f>
        <v>24.58771517027796</v>
      </c>
      <c r="E40" s="2356">
        <f>SUM('[13]1'!$C$76:$D$76)/('[13]2'!$I$15+'[13]2'!$I$23+'[13]2'!$K$15+'[13]2'!$K$23)%</f>
        <v>57.53014566554257</v>
      </c>
      <c r="F40" s="2356">
        <f>SUM('[13]1'!$E$98:$P$98)/'[13]1'!$Q$98%</f>
        <v>36.257143817651631</v>
      </c>
      <c r="G40" s="2356">
        <f>SUM('[13]1'!$E$38:$P$38)/'[13]1'!$Q$38%</f>
        <v>48.398005896477798</v>
      </c>
      <c r="H40" s="2356">
        <f>('[13]2'!$I$15+'[13]2'!$I$23+'[13]2'!$K$15+'[13]2'!$K$23)/'[13]1'!$Q$98%</f>
        <v>48.774257476208135</v>
      </c>
      <c r="I40" s="2356">
        <f>('[13]2'!$I$15+'[13]2'!$K$15)/('[13]2'!$I$15+'[13]2'!$I$23+'[13]2'!$K$15+'[13]2'!$K$23)%</f>
        <v>57.48603010617758</v>
      </c>
      <c r="J40" s="2356">
        <f>SUM('19'!E40:J40)/'19'!Q40%</f>
        <v>63.445779512236868</v>
      </c>
      <c r="K40" s="2356">
        <f>SUM('19'!E40:F40)/'19'!Q40%</f>
        <v>13.86704559361432</v>
      </c>
      <c r="L40" s="1837"/>
    </row>
    <row r="41" spans="1:12" s="483" customFormat="1" ht="17.25" customHeight="1">
      <c r="A41" s="1782"/>
      <c r="B41" s="2051" t="s">
        <v>425</v>
      </c>
      <c r="C41" s="2356">
        <f>SUM('[14]1'!$C$76:$D$76)/'[14]1'!$Q$98%</f>
        <v>28.258091482546138</v>
      </c>
      <c r="D41" s="2356">
        <f>SUM('[14]1'!$C$79:$D$83)/'[14]1'!$Q$98%</f>
        <v>24.6968225036237</v>
      </c>
      <c r="E41" s="2356">
        <f>SUM('[14]1'!$C$76:$D$76)/('[14]2'!$I$15+'[14]2'!$I$23+'[14]2'!$K$15+'[14]2'!$K$23)%</f>
        <v>59.228856027456807</v>
      </c>
      <c r="F41" s="2356">
        <f>SUM('[14]1'!$E$98:$P$98)/'[14]1'!$Q$98%</f>
        <v>34.876535612876403</v>
      </c>
      <c r="G41" s="2356">
        <f>SUM('[14]1'!$E$38:$P$38)/'[14]1'!$Q$38%</f>
        <v>48.764870893718488</v>
      </c>
      <c r="H41" s="2356">
        <f>('[14]2'!$I$15+'[14]2'!$I$23+'[14]2'!$K$15+'[14]2'!$K$23)/'[14]1'!$Q$98%</f>
        <v>47.710007212441333</v>
      </c>
      <c r="I41" s="2356">
        <f>('[14]2'!$I$15+'[14]2'!$K$15)/('[14]2'!$I$15+'[14]2'!$I$23+'[14]2'!$K$15+'[14]2'!$K$23)%</f>
        <v>58.429956444004908</v>
      </c>
      <c r="J41" s="2356">
        <f>SUM('19'!E41:J41)/'19'!Q41%</f>
        <v>62.913580362580099</v>
      </c>
      <c r="K41" s="2356">
        <f>SUM('19'!E41:F41)/'19'!Q41%</f>
        <v>14.703071179992333</v>
      </c>
      <c r="L41" s="1837"/>
    </row>
    <row r="42" spans="1:12" s="483" customFormat="1" ht="17.25" customHeight="1">
      <c r="A42" s="1782"/>
      <c r="B42" s="2051" t="s">
        <v>426</v>
      </c>
      <c r="C42" s="2356">
        <f>SUM('[15]1'!$C$76:$D$76)/'[15]1'!$Q$98%</f>
        <v>28.480726432464252</v>
      </c>
      <c r="D42" s="2356">
        <f>SUM('[15]1'!$C$79:$D$83)/'[15]1'!$Q$98%</f>
        <v>24.912957899942789</v>
      </c>
      <c r="E42" s="2356">
        <f>SUM('[15]1'!$C$76:$D$76)/('[15]2'!$I$15+'[15]2'!$I$23+'[15]2'!$K$15+'[15]2'!$K$23)%</f>
        <v>58.813269037010762</v>
      </c>
      <c r="F42" s="2356">
        <f>SUM('[15]1'!$E$98:$P$98)/'[15]1'!$Q$98%</f>
        <v>35.88994128112396</v>
      </c>
      <c r="G42" s="2356">
        <f>SUM('[15]1'!$E$38:$P$38)/'[15]1'!$Q$38%</f>
        <v>47.709235957146127</v>
      </c>
      <c r="H42" s="2356">
        <f>('[15]2'!$I$15+'[15]2'!$I$23+'[15]2'!$K$15+'[15]2'!$K$23)/'[15]1'!$Q$98%</f>
        <v>48.425681651093967</v>
      </c>
      <c r="I42" s="2356">
        <f>('[15]2'!$I$15+'[15]2'!$K$15)/('[15]2'!$I$15+'[15]2'!$I$23+'[15]2'!$K$15+'[15]2'!$K$23)%</f>
        <v>58.548067708539534</v>
      </c>
      <c r="J42" s="2356">
        <f>SUM('19'!E42:J42)/'19'!Q42%</f>
        <v>64.576260790729407</v>
      </c>
      <c r="K42" s="2356">
        <f>SUM('19'!E42:F42)/'19'!Q42%</f>
        <v>16.067085863970068</v>
      </c>
      <c r="L42" s="1837"/>
    </row>
    <row r="43" spans="1:12" s="483" customFormat="1" ht="17.25" customHeight="1">
      <c r="A43" s="1782"/>
      <c r="B43" s="2051" t="s">
        <v>427</v>
      </c>
      <c r="C43" s="2356">
        <f>SUM('[16]1'!$C$76:$D$76)/'[16]1'!$Q$98%</f>
        <v>28.515734859130291</v>
      </c>
      <c r="D43" s="2356">
        <f>SUM('[16]1'!$C$79:$D$83)/'[16]1'!$Q$98%</f>
        <v>24.920585879865442</v>
      </c>
      <c r="E43" s="2356">
        <f>SUM('[16]1'!$C$76:$D$76)/('[16]2'!$I$15+'[16]2'!$I$23+'[16]2'!$K$15+'[16]2'!$K$23)%</f>
        <v>58.668777805650706</v>
      </c>
      <c r="F43" s="2356">
        <f>SUM('[16]1'!$E$98:$P$98)/'[16]1'!$Q$98%</f>
        <v>35.938544342023221</v>
      </c>
      <c r="G43" s="2356">
        <f>SUM('[16]1'!$E$38:$P$38)/'[16]1'!$Q$38%</f>
        <v>47.194363296485072</v>
      </c>
      <c r="H43" s="2356">
        <f>('[16]2'!$I$15+'[16]2'!$I$23+'[16]2'!$K$15+'[16]2'!$K$23)/'[16]1'!$Q$98%</f>
        <v>48.604617184276485</v>
      </c>
      <c r="I43" s="2356">
        <f>('[16]2'!$I$15+'[16]2'!$K$15)/('[16]2'!$I$15+'[16]2'!$I$23+'[16]2'!$K$15+'[16]2'!$K$23)%</f>
        <v>58.375236994190935</v>
      </c>
      <c r="J43" s="2356">
        <f>SUM('19'!E43:J43)/'19'!Q43%</f>
        <v>64.23984346331369</v>
      </c>
      <c r="K43" s="2356">
        <f>SUM('19'!E43:F43)/'19'!Q43%</f>
        <v>15.928113073253323</v>
      </c>
      <c r="L43" s="1837"/>
    </row>
    <row r="44" spans="1:12" ht="20.25" customHeight="1">
      <c r="A44" s="322"/>
      <c r="B44" s="323"/>
      <c r="C44" s="323"/>
      <c r="D44" s="323"/>
      <c r="E44" s="323"/>
      <c r="F44" s="323"/>
      <c r="G44" s="323"/>
      <c r="H44" s="323"/>
      <c r="I44" s="323"/>
      <c r="J44" s="323"/>
      <c r="K44" s="323"/>
    </row>
    <row r="45" spans="1:12">
      <c r="C45" s="614"/>
      <c r="D45" s="614"/>
      <c r="E45" s="614"/>
      <c r="F45" s="614"/>
      <c r="G45" s="614"/>
      <c r="H45" s="614"/>
      <c r="I45" s="614"/>
      <c r="J45" s="614"/>
      <c r="K45" s="614"/>
    </row>
    <row r="46" spans="1:12" ht="12.75" customHeight="1">
      <c r="A46" s="153"/>
      <c r="B46" s="324"/>
      <c r="C46" s="1474"/>
      <c r="D46" s="1474"/>
      <c r="E46" s="1251"/>
      <c r="F46" s="1474"/>
      <c r="G46" s="1474"/>
      <c r="H46" s="1474"/>
      <c r="I46" s="1474"/>
      <c r="J46" s="1474"/>
      <c r="K46" s="1474"/>
    </row>
    <row r="47" spans="1:12" ht="12.75" customHeight="1">
      <c r="A47" s="477" t="s">
        <v>1031</v>
      </c>
      <c r="B47" s="478"/>
      <c r="C47" s="478"/>
      <c r="D47" s="478"/>
      <c r="E47" s="478"/>
      <c r="F47" s="478"/>
      <c r="G47" s="478"/>
      <c r="H47" s="478"/>
      <c r="I47" s="478"/>
      <c r="J47" s="325"/>
      <c r="K47" s="325"/>
    </row>
    <row r="48" spans="1:12" ht="16.5">
      <c r="B48" s="326"/>
      <c r="C48" s="317"/>
      <c r="E48" s="336"/>
      <c r="F48" s="335"/>
      <c r="I48" s="614"/>
    </row>
    <row r="49" spans="1:9" ht="16.5">
      <c r="A49" s="325"/>
      <c r="B49" s="326"/>
      <c r="C49" s="317"/>
      <c r="E49" s="336"/>
      <c r="F49" s="335"/>
      <c r="I49" s="614"/>
    </row>
    <row r="50" spans="1:9" ht="16.5">
      <c r="A50" s="271"/>
      <c r="B50" s="327"/>
      <c r="E50" s="336"/>
      <c r="F50" s="335"/>
      <c r="I50" s="614"/>
    </row>
    <row r="51" spans="1:9" ht="16.5">
      <c r="E51" s="336"/>
      <c r="F51" s="335"/>
      <c r="I51" s="614"/>
    </row>
    <row r="52" spans="1:9" ht="16.5">
      <c r="E52" s="336"/>
      <c r="F52" s="335"/>
      <c r="I52" s="614"/>
    </row>
    <row r="53" spans="1:9" ht="16.5">
      <c r="E53" s="336"/>
      <c r="F53" s="335"/>
      <c r="I53" s="614"/>
    </row>
    <row r="54" spans="1:9" ht="16.5">
      <c r="E54" s="336"/>
      <c r="F54" s="335"/>
      <c r="I54" s="614"/>
    </row>
    <row r="55" spans="1:9" ht="16.5">
      <c r="E55" s="618"/>
      <c r="F55" s="335"/>
      <c r="I55" s="614"/>
    </row>
    <row r="56" spans="1:9">
      <c r="E56" s="618"/>
      <c r="F56" s="619"/>
      <c r="I56" s="614"/>
    </row>
    <row r="57" spans="1:9">
      <c r="E57" s="618"/>
      <c r="F57" s="619"/>
    </row>
    <row r="58" spans="1:9">
      <c r="E58" s="618"/>
      <c r="F58" s="619"/>
    </row>
    <row r="59" spans="1:9">
      <c r="E59" s="618"/>
      <c r="F59" s="619"/>
    </row>
    <row r="60" spans="1:9">
      <c r="E60" s="618"/>
      <c r="F60" s="619"/>
    </row>
    <row r="61" spans="1:9">
      <c r="E61" s="618"/>
      <c r="F61" s="619"/>
    </row>
    <row r="62" spans="1:9">
      <c r="E62" s="618"/>
      <c r="F62" s="619"/>
    </row>
    <row r="63" spans="1:9">
      <c r="E63" s="618"/>
      <c r="F63" s="619"/>
    </row>
  </sheetData>
  <mergeCells count="1">
    <mergeCell ref="A10:B10"/>
  </mergeCells>
  <phoneticPr fontId="0" type="noConversion"/>
  <printOptions horizontalCentered="1" verticalCentered="1"/>
  <pageMargins left="0" right="0" top="0" bottom="0" header="0.51181102362204722" footer="0.51181102362204722"/>
  <pageSetup paperSize="9" scale="73"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tabColor rgb="FFFF0000"/>
    <pageSetUpPr fitToPage="1"/>
  </sheetPr>
  <dimension ref="A1:S49"/>
  <sheetViews>
    <sheetView zoomScale="75" zoomScaleNormal="75" workbookViewId="0">
      <pane ySplit="12" topLeftCell="A39" activePane="bottomLeft" state="frozen"/>
      <selection activeCell="B44" sqref="B44"/>
      <selection pane="bottomLeft" activeCell="E43" sqref="E43"/>
    </sheetView>
  </sheetViews>
  <sheetFormatPr defaultColWidth="8.81640625" defaultRowHeight="12.5"/>
  <cols>
    <col min="1" max="2" width="9.7265625" customWidth="1"/>
    <col min="3" max="3" width="9.453125" customWidth="1"/>
    <col min="4" max="4" width="12.7265625" customWidth="1"/>
    <col min="5" max="5" width="14.7265625" customWidth="1"/>
    <col min="6" max="6" width="12" customWidth="1"/>
    <col min="7" max="7" width="10.1796875" customWidth="1"/>
    <col min="8" max="8" width="10.7265625" customWidth="1"/>
    <col min="9" max="9" width="12.7265625" customWidth="1"/>
    <col min="10" max="10" width="14.7265625" customWidth="1"/>
    <col min="11" max="11" width="11.7265625" customWidth="1"/>
    <col min="12" max="12" width="13.453125" customWidth="1"/>
    <col min="13" max="13" width="11" customWidth="1"/>
    <col min="14" max="14" width="11.26953125" customWidth="1"/>
    <col min="15" max="15" width="11.81640625" customWidth="1"/>
    <col min="16" max="16" width="10.7265625" customWidth="1"/>
  </cols>
  <sheetData>
    <row r="1" spans="1:19" s="1104" customFormat="1" ht="18" customHeight="1">
      <c r="A1" s="1103" t="s">
        <v>1032</v>
      </c>
      <c r="B1" s="1087"/>
      <c r="C1" s="1087"/>
      <c r="D1" s="1087"/>
      <c r="E1" s="1087"/>
      <c r="F1" s="1087"/>
      <c r="G1" s="1087"/>
      <c r="H1" s="1087"/>
      <c r="I1" s="1087"/>
      <c r="J1" s="1087"/>
      <c r="K1" s="1087"/>
      <c r="L1" s="1087"/>
      <c r="M1" s="1087"/>
      <c r="N1" s="1087"/>
      <c r="O1" s="1087"/>
      <c r="P1" s="1087"/>
    </row>
    <row r="2" spans="1:19" s="1104" customFormat="1" ht="18" customHeight="1">
      <c r="A2" s="1105" t="s">
        <v>1033</v>
      </c>
      <c r="B2" s="1087"/>
      <c r="C2" s="1087"/>
      <c r="D2" s="1087"/>
      <c r="E2" s="1087"/>
      <c r="F2" s="1087"/>
      <c r="G2" s="1087"/>
      <c r="H2" s="1087"/>
      <c r="I2" s="1087"/>
      <c r="J2" s="1087"/>
      <c r="K2" s="1087"/>
      <c r="L2" s="1087"/>
      <c r="M2" s="1087"/>
      <c r="N2" s="1087"/>
      <c r="O2" s="1087"/>
      <c r="P2" s="1087"/>
    </row>
    <row r="3" spans="1:19" s="1104" customFormat="1" ht="18" customHeight="1">
      <c r="A3" s="1103" t="s">
        <v>1034</v>
      </c>
      <c r="B3" s="1087"/>
      <c r="C3" s="1087"/>
      <c r="D3" s="1087"/>
      <c r="E3" s="1087"/>
      <c r="F3" s="1087"/>
      <c r="G3" s="1087"/>
      <c r="H3" s="1087"/>
      <c r="I3" s="1087"/>
      <c r="J3" s="1087"/>
      <c r="K3" s="1087"/>
      <c r="L3" s="1087"/>
      <c r="M3" s="1087"/>
      <c r="N3" s="1087"/>
      <c r="O3" s="1087"/>
      <c r="P3" s="1087"/>
    </row>
    <row r="4" spans="1:19" s="1104" customFormat="1" ht="18" customHeight="1">
      <c r="A4" s="1103" t="s">
        <v>1035</v>
      </c>
      <c r="B4" s="1087"/>
      <c r="C4" s="1087"/>
      <c r="D4" s="1087"/>
      <c r="E4" s="1087"/>
      <c r="F4" s="1087"/>
      <c r="G4" s="1087"/>
      <c r="H4" s="1087"/>
      <c r="I4" s="1087"/>
      <c r="J4" s="1087"/>
      <c r="K4" s="1087"/>
      <c r="L4" s="1087"/>
      <c r="M4" s="1087"/>
      <c r="N4" s="1087"/>
      <c r="O4" s="1087"/>
      <c r="P4" s="1087"/>
    </row>
    <row r="5" spans="1:19" s="1111" customFormat="1" ht="20.25" customHeight="1">
      <c r="A5" s="1073" t="s">
        <v>1036</v>
      </c>
      <c r="B5" s="1074"/>
      <c r="C5" s="1081"/>
      <c r="D5" s="1081"/>
      <c r="E5" s="1081"/>
      <c r="F5" s="1081"/>
      <c r="G5" s="1081"/>
      <c r="H5" s="1081"/>
      <c r="I5" s="1081"/>
      <c r="J5" s="1081"/>
      <c r="K5" s="1081"/>
      <c r="L5" s="1081"/>
      <c r="M5" s="1081"/>
      <c r="N5" s="1081"/>
      <c r="O5" s="1081"/>
      <c r="P5" s="1081"/>
    </row>
    <row r="6" spans="1:19" ht="13.5" customHeight="1">
      <c r="A6" s="9" t="s">
        <v>377</v>
      </c>
      <c r="O6" s="9"/>
      <c r="P6" s="9" t="s">
        <v>378</v>
      </c>
    </row>
    <row r="7" spans="1:19" s="1181" customFormat="1" ht="23.25" customHeight="1">
      <c r="A7" s="1172"/>
      <c r="B7" s="1173"/>
      <c r="C7" s="1182" t="s">
        <v>503</v>
      </c>
      <c r="D7" s="1175"/>
      <c r="E7" s="1176"/>
      <c r="F7" s="1176"/>
      <c r="G7" s="1183"/>
      <c r="H7" s="1184" t="s">
        <v>1037</v>
      </c>
      <c r="I7" s="1185" t="s">
        <v>1038</v>
      </c>
      <c r="J7" s="1175"/>
      <c r="K7" s="1176"/>
      <c r="L7" s="1176"/>
      <c r="M7" s="1183"/>
      <c r="N7" s="1186" t="s">
        <v>1039</v>
      </c>
      <c r="O7" s="1180"/>
      <c r="P7" s="1180"/>
    </row>
    <row r="8" spans="1:19" s="41" customFormat="1" ht="16.5" customHeight="1">
      <c r="A8" s="641" t="s">
        <v>387</v>
      </c>
      <c r="B8" s="83"/>
      <c r="D8" s="310" t="s">
        <v>1040</v>
      </c>
      <c r="E8" s="310" t="s">
        <v>1040</v>
      </c>
      <c r="F8" s="310" t="s">
        <v>1040</v>
      </c>
      <c r="H8" s="310"/>
      <c r="I8" s="310" t="s">
        <v>1040</v>
      </c>
      <c r="J8" s="310" t="s">
        <v>1040</v>
      </c>
      <c r="K8" s="642"/>
      <c r="L8" s="643" t="s">
        <v>1041</v>
      </c>
      <c r="N8" s="642"/>
      <c r="O8" s="310" t="s">
        <v>439</v>
      </c>
      <c r="P8" s="310" t="s">
        <v>1042</v>
      </c>
    </row>
    <row r="9" spans="1:19" s="41" customFormat="1" ht="16.5" customHeight="1">
      <c r="A9" s="64" t="s">
        <v>395</v>
      </c>
      <c r="B9" s="76"/>
      <c r="C9" s="310" t="s">
        <v>809</v>
      </c>
      <c r="D9" s="81" t="s">
        <v>441</v>
      </c>
      <c r="E9" s="311" t="s">
        <v>854</v>
      </c>
      <c r="F9" s="97" t="s">
        <v>398</v>
      </c>
      <c r="G9" s="310" t="s">
        <v>399</v>
      </c>
      <c r="H9" s="310" t="s">
        <v>390</v>
      </c>
      <c r="I9" s="81" t="s">
        <v>441</v>
      </c>
      <c r="J9" s="311" t="s">
        <v>854</v>
      </c>
      <c r="K9" s="310" t="s">
        <v>815</v>
      </c>
      <c r="L9" s="643" t="s">
        <v>1043</v>
      </c>
      <c r="M9" s="310" t="s">
        <v>399</v>
      </c>
      <c r="N9" s="644" t="s">
        <v>390</v>
      </c>
      <c r="O9" s="65" t="s">
        <v>380</v>
      </c>
      <c r="P9" s="65" t="s">
        <v>1044</v>
      </c>
    </row>
    <row r="10" spans="1:19" s="41" customFormat="1" ht="16.5" customHeight="1">
      <c r="A10" s="84"/>
      <c r="B10" s="76"/>
      <c r="C10" s="645" t="s">
        <v>812</v>
      </c>
      <c r="D10" s="109" t="s">
        <v>1045</v>
      </c>
      <c r="E10" s="109" t="s">
        <v>1045</v>
      </c>
      <c r="F10" s="109" t="s">
        <v>1045</v>
      </c>
      <c r="G10" s="241" t="s">
        <v>1046</v>
      </c>
      <c r="H10" s="645" t="s">
        <v>400</v>
      </c>
      <c r="I10" s="109" t="s">
        <v>1045</v>
      </c>
      <c r="J10" s="109" t="s">
        <v>1045</v>
      </c>
      <c r="K10" s="241" t="s">
        <v>822</v>
      </c>
      <c r="L10" s="646" t="s">
        <v>1047</v>
      </c>
      <c r="M10" s="241" t="s">
        <v>1046</v>
      </c>
      <c r="N10" s="647" t="s">
        <v>400</v>
      </c>
      <c r="O10" s="645" t="s">
        <v>400</v>
      </c>
      <c r="P10" s="645" t="s">
        <v>1048</v>
      </c>
    </row>
    <row r="11" spans="1:19" s="41" customFormat="1" ht="16.5" customHeight="1">
      <c r="A11" s="84"/>
      <c r="B11" s="76"/>
      <c r="C11" s="645"/>
      <c r="D11" s="109" t="s">
        <v>1049</v>
      </c>
      <c r="E11" s="109" t="s">
        <v>1050</v>
      </c>
      <c r="F11" s="109" t="s">
        <v>1051</v>
      </c>
      <c r="G11" s="241"/>
      <c r="H11" s="241"/>
      <c r="I11" s="109" t="s">
        <v>1049</v>
      </c>
      <c r="J11" s="109" t="s">
        <v>1050</v>
      </c>
      <c r="K11" s="77"/>
      <c r="L11" s="646" t="s">
        <v>1052</v>
      </c>
      <c r="M11" s="241"/>
      <c r="N11" s="648"/>
      <c r="O11" s="241" t="s">
        <v>379</v>
      </c>
      <c r="P11" s="241" t="s">
        <v>771</v>
      </c>
    </row>
    <row r="12" spans="1:19" s="41" customFormat="1" ht="16.5" customHeight="1">
      <c r="A12" s="89"/>
      <c r="B12" s="100"/>
      <c r="C12" s="649"/>
      <c r="D12" s="142" t="s">
        <v>820</v>
      </c>
      <c r="E12" s="650" t="s">
        <v>417</v>
      </c>
      <c r="F12" s="142"/>
      <c r="G12" s="141"/>
      <c r="H12" s="141"/>
      <c r="I12" s="142"/>
      <c r="J12" s="650" t="s">
        <v>417</v>
      </c>
      <c r="K12" s="132"/>
      <c r="L12" s="142"/>
      <c r="M12" s="141"/>
      <c r="N12" s="244"/>
      <c r="O12" s="141" t="s">
        <v>819</v>
      </c>
      <c r="P12" s="141" t="s">
        <v>1053</v>
      </c>
    </row>
    <row r="13" spans="1:19" s="41" customFormat="1" ht="21" customHeight="1">
      <c r="A13" s="263">
        <v>2016</v>
      </c>
      <c r="B13" s="62"/>
      <c r="C13" s="1652">
        <v>6.3999999999999995</v>
      </c>
      <c r="D13" s="1652">
        <v>197.20931514773042</v>
      </c>
      <c r="E13" s="1652">
        <v>755.69671795778845</v>
      </c>
      <c r="F13" s="1652">
        <v>80.622</v>
      </c>
      <c r="G13" s="1652">
        <v>22.357629524000004</v>
      </c>
      <c r="H13" s="1652">
        <v>1062.2756626295188</v>
      </c>
      <c r="I13" s="1652">
        <v>180.065</v>
      </c>
      <c r="J13" s="1652">
        <v>384.46875376100002</v>
      </c>
      <c r="K13" s="1652">
        <v>26.543474660969999</v>
      </c>
      <c r="L13" s="1652">
        <v>0</v>
      </c>
      <c r="M13" s="1652">
        <v>4.5</v>
      </c>
      <c r="N13" s="1652">
        <v>595.57722842197006</v>
      </c>
      <c r="O13" s="1652">
        <v>1657.852891051489</v>
      </c>
      <c r="P13" s="1654">
        <v>8.9</v>
      </c>
      <c r="Q13" s="355"/>
      <c r="R13" s="355"/>
      <c r="S13" s="355"/>
    </row>
    <row r="14" spans="1:19" s="41" customFormat="1" ht="14.25" customHeight="1">
      <c r="A14" s="263">
        <v>2017</v>
      </c>
      <c r="B14" s="62"/>
      <c r="C14" s="1652">
        <v>0.7</v>
      </c>
      <c r="D14" s="1652">
        <v>105.05272791200001</v>
      </c>
      <c r="E14" s="1652">
        <v>733.13499523712005</v>
      </c>
      <c r="F14" s="1652">
        <v>46.446999999999996</v>
      </c>
      <c r="G14" s="1652">
        <v>8.6514088931465647</v>
      </c>
      <c r="H14" s="1652">
        <v>893.98613204226672</v>
      </c>
      <c r="I14" s="1652">
        <v>88.11999999999999</v>
      </c>
      <c r="J14" s="1652">
        <v>421.15999999999997</v>
      </c>
      <c r="K14" s="1652">
        <v>10.07</v>
      </c>
      <c r="L14" s="1652">
        <v>0</v>
      </c>
      <c r="M14" s="1652">
        <v>3.5</v>
      </c>
      <c r="N14" s="1652">
        <v>522.85</v>
      </c>
      <c r="O14" s="1652">
        <v>1416.8561320422666</v>
      </c>
      <c r="P14" s="1654">
        <v>0</v>
      </c>
      <c r="Q14" s="355"/>
      <c r="R14" s="355"/>
      <c r="S14" s="355"/>
    </row>
    <row r="15" spans="1:19" s="871" customFormat="1" ht="14.25" customHeight="1">
      <c r="A15" s="263">
        <v>2018</v>
      </c>
      <c r="B15" s="1656"/>
      <c r="C15" s="1652">
        <v>0.8</v>
      </c>
      <c r="D15" s="1652">
        <v>98.873211310999977</v>
      </c>
      <c r="E15" s="1652">
        <v>720.34329391263725</v>
      </c>
      <c r="F15" s="1652">
        <v>62.382044116378168</v>
      </c>
      <c r="G15" s="1652">
        <v>4.0184891994038079</v>
      </c>
      <c r="H15" s="1652">
        <v>886.43703853941918</v>
      </c>
      <c r="I15" s="1652">
        <v>90.295329178711086</v>
      </c>
      <c r="J15" s="1652">
        <v>412.38831199569279</v>
      </c>
      <c r="K15" s="1652">
        <v>53.839999999999996</v>
      </c>
      <c r="L15" s="1652">
        <v>0</v>
      </c>
      <c r="M15" s="1652">
        <v>3.7646708212889157</v>
      </c>
      <c r="N15" s="1652">
        <v>560.28831199569277</v>
      </c>
      <c r="O15" s="1652">
        <v>1446.7253505351118</v>
      </c>
      <c r="P15" s="1654">
        <v>0</v>
      </c>
      <c r="Q15" s="355"/>
      <c r="R15" s="355"/>
      <c r="S15" s="355"/>
    </row>
    <row r="16" spans="1:19" s="871" customFormat="1" ht="14.25" customHeight="1">
      <c r="A16" s="263">
        <v>2019</v>
      </c>
      <c r="B16" s="1656"/>
      <c r="C16" s="1652">
        <v>0.9</v>
      </c>
      <c r="D16" s="1652">
        <v>106.15606847700001</v>
      </c>
      <c r="E16" s="1652">
        <v>767.07447262767494</v>
      </c>
      <c r="F16" s="1652">
        <v>54.099999999999994</v>
      </c>
      <c r="G16" s="1652">
        <v>7.1979842229950259</v>
      </c>
      <c r="H16" s="1652">
        <v>935.45852532766992</v>
      </c>
      <c r="I16" s="1652">
        <v>43.6</v>
      </c>
      <c r="J16" s="1652">
        <v>388.43530578772834</v>
      </c>
      <c r="K16" s="1652">
        <v>101.77</v>
      </c>
      <c r="L16" s="1652">
        <v>0</v>
      </c>
      <c r="M16" s="1652">
        <v>9.2000000000000011</v>
      </c>
      <c r="N16" s="1652">
        <v>543.03530578772836</v>
      </c>
      <c r="O16" s="1652">
        <v>1478.4637997781185</v>
      </c>
      <c r="P16" s="1654">
        <v>0</v>
      </c>
      <c r="Q16" s="355"/>
      <c r="R16" s="355"/>
      <c r="S16" s="355"/>
    </row>
    <row r="17" spans="1:19" s="871" customFormat="1" ht="14.25" customHeight="1">
      <c r="A17" s="263">
        <v>2020</v>
      </c>
      <c r="B17" s="1656"/>
      <c r="C17" s="1652">
        <v>0.9</v>
      </c>
      <c r="D17" s="1652">
        <v>90.710103341000007</v>
      </c>
      <c r="E17" s="1652">
        <v>935.90397370847359</v>
      </c>
      <c r="F17" s="1652">
        <v>90.072999999999993</v>
      </c>
      <c r="G17" s="1652">
        <v>9.2620316770000368</v>
      </c>
      <c r="H17" s="1652">
        <v>1126.8587494604456</v>
      </c>
      <c r="I17" s="1652">
        <v>25.5</v>
      </c>
      <c r="J17" s="1652">
        <v>232.94000000000003</v>
      </c>
      <c r="K17" s="1652">
        <v>165.5</v>
      </c>
      <c r="L17" s="1652">
        <v>0</v>
      </c>
      <c r="M17" s="1652">
        <v>22.400000000000002</v>
      </c>
      <c r="N17" s="1652">
        <v>446.34000000000003</v>
      </c>
      <c r="O17" s="1652">
        <v>1573.188727676702</v>
      </c>
      <c r="P17" s="1654">
        <v>0</v>
      </c>
      <c r="Q17" s="355"/>
      <c r="R17" s="355"/>
      <c r="S17" s="355"/>
    </row>
    <row r="18" spans="1:19" s="871" customFormat="1" ht="14.25" customHeight="1">
      <c r="A18" s="263">
        <v>2021</v>
      </c>
      <c r="B18" s="1656"/>
      <c r="C18" s="1652">
        <v>0.92575661499999973</v>
      </c>
      <c r="D18" s="1652">
        <v>65.133557546439988</v>
      </c>
      <c r="E18" s="1652">
        <v>968.10479340452503</v>
      </c>
      <c r="F18" s="1652">
        <v>102.57147591536001</v>
      </c>
      <c r="G18" s="1652">
        <v>15.35537643306132</v>
      </c>
      <c r="H18" s="1652">
        <v>1152.0704919291911</v>
      </c>
      <c r="I18" s="1652">
        <v>48.656519040197836</v>
      </c>
      <c r="J18" s="1652">
        <v>242.90953266424964</v>
      </c>
      <c r="K18" s="1652">
        <v>108.63470564829625</v>
      </c>
      <c r="L18" s="1652">
        <v>0</v>
      </c>
      <c r="M18" s="1652">
        <v>6.3908862586100064</v>
      </c>
      <c r="N18" s="1652">
        <v>406.59164361135373</v>
      </c>
      <c r="O18" s="1652">
        <v>1558.6621097761608</v>
      </c>
      <c r="P18" s="1654">
        <v>0</v>
      </c>
      <c r="Q18" s="355"/>
      <c r="R18" s="355"/>
      <c r="S18" s="355"/>
    </row>
    <row r="19" spans="1:19" s="2234" customFormat="1" ht="14.25" customHeight="1">
      <c r="A19" s="704">
        <v>2022</v>
      </c>
      <c r="B19" s="2364"/>
      <c r="C19" s="1652">
        <v>0.68198592500000033</v>
      </c>
      <c r="D19" s="1652">
        <v>521.40691048157396</v>
      </c>
      <c r="E19" s="1652">
        <v>1006.4889761459139</v>
      </c>
      <c r="F19" s="1652">
        <v>132.36958789631998</v>
      </c>
      <c r="G19" s="1652">
        <v>27.627767206378309</v>
      </c>
      <c r="H19" s="1652">
        <v>1688.5752276551862</v>
      </c>
      <c r="I19" s="1652">
        <v>51.096698772763752</v>
      </c>
      <c r="J19" s="1652">
        <v>215.07671747051347</v>
      </c>
      <c r="K19" s="1652">
        <v>142.7402259684838</v>
      </c>
      <c r="L19" s="1652">
        <v>0</v>
      </c>
      <c r="M19" s="1652">
        <v>0.45956955999600008</v>
      </c>
      <c r="N19" s="1652">
        <v>409.38321177175703</v>
      </c>
      <c r="O19" s="1652">
        <v>2097.9584394269432</v>
      </c>
      <c r="P19" s="1853">
        <v>0</v>
      </c>
      <c r="Q19" s="483"/>
      <c r="R19" s="483"/>
      <c r="S19" s="483"/>
    </row>
    <row r="20" spans="1:19" s="2234" customFormat="1" ht="14.25" customHeight="1">
      <c r="A20" s="704">
        <v>2023</v>
      </c>
      <c r="B20" s="2364"/>
      <c r="C20" s="1652">
        <v>13.545799190898997</v>
      </c>
      <c r="D20" s="1652">
        <v>554.87390134701627</v>
      </c>
      <c r="E20" s="1652">
        <v>2013.2661118929429</v>
      </c>
      <c r="F20" s="1652">
        <v>666.66359432526997</v>
      </c>
      <c r="G20" s="1652">
        <v>158.53581192627917</v>
      </c>
      <c r="H20" s="1652">
        <v>3406.885218682407</v>
      </c>
      <c r="I20" s="1652">
        <v>787.34084128010807</v>
      </c>
      <c r="J20" s="1652">
        <v>1325.5669674364399</v>
      </c>
      <c r="K20" s="1652">
        <v>2604.5023685434971</v>
      </c>
      <c r="L20" s="1652">
        <v>286.56707653629667</v>
      </c>
      <c r="M20" s="1652">
        <v>162.73571000570161</v>
      </c>
      <c r="N20" s="1652">
        <v>5166.7129638020433</v>
      </c>
      <c r="O20" s="1652">
        <v>8573.5981824844512</v>
      </c>
      <c r="P20" s="1853">
        <v>0</v>
      </c>
      <c r="Q20" s="483"/>
      <c r="R20" s="483"/>
      <c r="S20" s="483"/>
    </row>
    <row r="21" spans="1:19" s="2234" customFormat="1" ht="14.25" customHeight="1">
      <c r="A21" s="704">
        <v>2024</v>
      </c>
      <c r="B21" s="2364"/>
      <c r="C21" s="1652">
        <v>0</v>
      </c>
      <c r="D21" s="1652">
        <v>0</v>
      </c>
      <c r="E21" s="1652">
        <v>609.99869317155117</v>
      </c>
      <c r="F21" s="1652">
        <v>33.97</v>
      </c>
      <c r="G21" s="1652">
        <v>57.193427390225168</v>
      </c>
      <c r="H21" s="1652">
        <v>701.16212056177631</v>
      </c>
      <c r="I21" s="1652">
        <v>0</v>
      </c>
      <c r="J21" s="1652">
        <v>1.4784E-2</v>
      </c>
      <c r="K21" s="1652">
        <v>0</v>
      </c>
      <c r="L21" s="1652">
        <v>0</v>
      </c>
      <c r="M21" s="1652">
        <v>-5.6547999999999378E-5</v>
      </c>
      <c r="N21" s="1652">
        <v>1.4727452E-2</v>
      </c>
      <c r="O21" s="1652">
        <v>701.17684801377629</v>
      </c>
      <c r="P21" s="1853">
        <v>0</v>
      </c>
      <c r="Q21" s="1837">
        <v>0</v>
      </c>
      <c r="R21" s="1837">
        <v>0</v>
      </c>
      <c r="S21" s="1837">
        <v>0</v>
      </c>
    </row>
    <row r="22" spans="1:19" s="2234" customFormat="1" ht="14.25" customHeight="1">
      <c r="A22" s="1597">
        <v>2025</v>
      </c>
      <c r="B22" s="2218"/>
      <c r="C22" s="1763">
        <f t="shared" ref="C22:P22" si="0">C29</f>
        <v>0</v>
      </c>
      <c r="D22" s="1763">
        <f t="shared" si="0"/>
        <v>0</v>
      </c>
      <c r="E22" s="1763">
        <f t="shared" si="0"/>
        <v>627.20535209514389</v>
      </c>
      <c r="F22" s="1763">
        <f t="shared" si="0"/>
        <v>58.254999999999995</v>
      </c>
      <c r="G22" s="1763">
        <f t="shared" si="0"/>
        <v>9.2454986202366829</v>
      </c>
      <c r="H22" s="1763">
        <f t="shared" si="0"/>
        <v>694.70585071538051</v>
      </c>
      <c r="I22" s="1763">
        <f t="shared" si="0"/>
        <v>0</v>
      </c>
      <c r="J22" s="1763">
        <f t="shared" si="0"/>
        <v>28.118486369999999</v>
      </c>
      <c r="K22" s="1763">
        <f t="shared" si="0"/>
        <v>0</v>
      </c>
      <c r="L22" s="1763">
        <f t="shared" si="0"/>
        <v>0</v>
      </c>
      <c r="M22" s="1763">
        <f t="shared" si="0"/>
        <v>0</v>
      </c>
      <c r="N22" s="1763">
        <f t="shared" si="0"/>
        <v>28.118486369999999</v>
      </c>
      <c r="O22" s="1763">
        <f t="shared" si="0"/>
        <v>722.82433708538053</v>
      </c>
      <c r="P22" s="2229">
        <f t="shared" si="0"/>
        <v>0</v>
      </c>
      <c r="Q22" s="1837">
        <f t="shared" ref="Q22" si="1">ROUND(H22,1)-ROUND(C22,1)-ROUND(D22,1)-ROUND(E22,1)-ROUND(F22,1)-ROUND(G22,1)</f>
        <v>0</v>
      </c>
      <c r="R22" s="1837">
        <f t="shared" ref="R22" si="2">ROUND(N22,1)-ROUND(I22,1)-ROUND(J22,1)-ROUND(K22,1)-ROUND(L22,1)-ROUND(M22,1)</f>
        <v>0</v>
      </c>
      <c r="S22" s="1837">
        <f t="shared" ref="S22" si="3">ROUND(O22,1)-ROUND(H22,1)-ROUND(N22,1)</f>
        <v>-9.2370555648813024E-14</v>
      </c>
    </row>
    <row r="23" spans="1:19" s="871" customFormat="1" ht="21" customHeight="1">
      <c r="A23" s="263">
        <v>2024</v>
      </c>
      <c r="B23" s="885" t="s">
        <v>243</v>
      </c>
      <c r="C23" s="1874">
        <v>0</v>
      </c>
      <c r="D23" s="1874">
        <v>0</v>
      </c>
      <c r="E23" s="1874">
        <v>542.40628884277726</v>
      </c>
      <c r="F23" s="1874">
        <v>41.86</v>
      </c>
      <c r="G23" s="1874">
        <v>35.826026766687335</v>
      </c>
      <c r="H23" s="1874">
        <v>620.09231560946466</v>
      </c>
      <c r="I23" s="1874">
        <v>0</v>
      </c>
      <c r="J23" s="1874">
        <v>12.593</v>
      </c>
      <c r="K23" s="1874">
        <v>0</v>
      </c>
      <c r="L23" s="1874">
        <v>0</v>
      </c>
      <c r="M23" s="1874">
        <v>0</v>
      </c>
      <c r="N23" s="1653">
        <v>12.593</v>
      </c>
      <c r="O23" s="874">
        <v>632.68531560946462</v>
      </c>
      <c r="P23" s="1654">
        <v>0</v>
      </c>
      <c r="Q23" s="355"/>
      <c r="R23" s="355"/>
      <c r="S23" s="355"/>
    </row>
    <row r="24" spans="1:19" s="871" customFormat="1" ht="15" customHeight="1">
      <c r="A24" s="263"/>
      <c r="B24" s="885" t="s">
        <v>240</v>
      </c>
      <c r="C24" s="1874">
        <v>0</v>
      </c>
      <c r="D24" s="1874">
        <v>0</v>
      </c>
      <c r="E24" s="1874">
        <v>561.93579369947543</v>
      </c>
      <c r="F24" s="1874">
        <v>39.4</v>
      </c>
      <c r="G24" s="1874">
        <v>94.169193339999993</v>
      </c>
      <c r="H24" s="1874">
        <v>695.51051969400771</v>
      </c>
      <c r="I24" s="1874">
        <v>0</v>
      </c>
      <c r="J24" s="1874">
        <v>4.9394791250000001</v>
      </c>
      <c r="K24" s="1874">
        <v>0</v>
      </c>
      <c r="L24" s="1874">
        <v>0</v>
      </c>
      <c r="M24" s="1874">
        <v>0</v>
      </c>
      <c r="N24" s="1653">
        <v>4.9394584027599997</v>
      </c>
      <c r="O24" s="874">
        <v>700.44997809676761</v>
      </c>
      <c r="P24" s="1654">
        <v>0</v>
      </c>
      <c r="Q24" s="355"/>
      <c r="R24" s="355"/>
      <c r="S24" s="355"/>
    </row>
    <row r="25" spans="1:19" s="871" customFormat="1" ht="15" customHeight="1">
      <c r="A25" s="263"/>
      <c r="B25" s="885" t="s">
        <v>241</v>
      </c>
      <c r="C25" s="1874">
        <v>0</v>
      </c>
      <c r="D25" s="1874">
        <v>0</v>
      </c>
      <c r="E25" s="1874">
        <v>609.99869317155117</v>
      </c>
      <c r="F25" s="1874">
        <v>33.97</v>
      </c>
      <c r="G25" s="1874">
        <v>57.193427390225168</v>
      </c>
      <c r="H25" s="1874">
        <v>701.16212056177631</v>
      </c>
      <c r="I25" s="1874">
        <v>0</v>
      </c>
      <c r="J25" s="1874">
        <v>1.4784E-2</v>
      </c>
      <c r="K25" s="1874">
        <v>0</v>
      </c>
      <c r="L25" s="1874">
        <v>0</v>
      </c>
      <c r="M25" s="1874">
        <v>-5.6547999999999378E-5</v>
      </c>
      <c r="N25" s="1653">
        <v>1.4727452E-2</v>
      </c>
      <c r="O25" s="874">
        <v>701.17684801377629</v>
      </c>
      <c r="P25" s="1654">
        <v>0</v>
      </c>
      <c r="Q25" s="1837">
        <v>0</v>
      </c>
      <c r="R25" s="1837">
        <v>0</v>
      </c>
      <c r="S25" s="1837">
        <v>0</v>
      </c>
    </row>
    <row r="26" spans="1:19" s="871" customFormat="1" ht="21" customHeight="1">
      <c r="A26" s="263">
        <v>2025</v>
      </c>
      <c r="B26" s="885" t="s">
        <v>242</v>
      </c>
      <c r="C26" s="1874">
        <v>0</v>
      </c>
      <c r="D26" s="1874">
        <v>0</v>
      </c>
      <c r="E26" s="1874">
        <v>644.53654373370853</v>
      </c>
      <c r="F26" s="1874">
        <v>33.97</v>
      </c>
      <c r="G26" s="1874">
        <v>16.374064928716599</v>
      </c>
      <c r="H26" s="1874">
        <v>694.88060866242517</v>
      </c>
      <c r="I26" s="1874">
        <v>0</v>
      </c>
      <c r="J26" s="1874">
        <v>12.335087039999999</v>
      </c>
      <c r="K26" s="1874">
        <v>0</v>
      </c>
      <c r="L26" s="1874">
        <v>0</v>
      </c>
      <c r="M26" s="1874">
        <v>-2.0058800000001042E-5</v>
      </c>
      <c r="N26" s="1653">
        <v>12.335066981200001</v>
      </c>
      <c r="O26" s="874">
        <v>707.21567564362522</v>
      </c>
      <c r="P26" s="1654">
        <v>0</v>
      </c>
      <c r="Q26" s="1837">
        <v>0</v>
      </c>
      <c r="R26" s="1837">
        <v>0</v>
      </c>
      <c r="S26" s="1837">
        <v>6.7501559897209518E-14</v>
      </c>
    </row>
    <row r="27" spans="1:19" s="871" customFormat="1" ht="15" customHeight="1">
      <c r="A27" s="263"/>
      <c r="B27" s="885" t="s">
        <v>243</v>
      </c>
      <c r="C27" s="1874">
        <v>0</v>
      </c>
      <c r="D27" s="1874">
        <v>0</v>
      </c>
      <c r="E27" s="1874">
        <v>655.6459175638746</v>
      </c>
      <c r="F27" s="1874">
        <v>34.96</v>
      </c>
      <c r="G27" s="1874">
        <v>11.309029259781088</v>
      </c>
      <c r="H27" s="1874">
        <v>701.89094682365578</v>
      </c>
      <c r="I27" s="1874">
        <v>0</v>
      </c>
      <c r="J27" s="1874">
        <v>16.328052535999998</v>
      </c>
      <c r="K27" s="1874">
        <v>0</v>
      </c>
      <c r="L27" s="1874">
        <v>0</v>
      </c>
      <c r="M27" s="1874">
        <v>-6.7163039999996961E-5</v>
      </c>
      <c r="N27" s="1653">
        <v>16.327985372960001</v>
      </c>
      <c r="O27" s="874">
        <v>718.2189321966157</v>
      </c>
      <c r="P27" s="1654">
        <v>0</v>
      </c>
      <c r="Q27" s="1837">
        <v>-4.6185277824406512E-14</v>
      </c>
      <c r="R27" s="1837">
        <v>0</v>
      </c>
      <c r="S27" s="1837">
        <v>6.7501559897209518E-14</v>
      </c>
    </row>
    <row r="28" spans="1:19" s="871" customFormat="1" ht="15" customHeight="1">
      <c r="A28" s="263"/>
      <c r="B28" s="885" t="s">
        <v>240</v>
      </c>
      <c r="C28" s="1874">
        <f t="shared" ref="C28:P28" si="4">C35</f>
        <v>0</v>
      </c>
      <c r="D28" s="1874">
        <f t="shared" si="4"/>
        <v>0</v>
      </c>
      <c r="E28" s="1874">
        <f t="shared" si="4"/>
        <v>614.94625167952313</v>
      </c>
      <c r="F28" s="1874">
        <f t="shared" si="4"/>
        <v>35.46</v>
      </c>
      <c r="G28" s="1874">
        <f t="shared" si="4"/>
        <v>40.659289700999999</v>
      </c>
      <c r="H28" s="1874">
        <f t="shared" si="4"/>
        <v>691.05754138052305</v>
      </c>
      <c r="I28" s="1874">
        <f t="shared" si="4"/>
        <v>0</v>
      </c>
      <c r="J28" s="1874">
        <f t="shared" si="4"/>
        <v>17.238442399</v>
      </c>
      <c r="K28" s="1874">
        <f t="shared" si="4"/>
        <v>0</v>
      </c>
      <c r="L28" s="1874">
        <f t="shared" si="4"/>
        <v>0</v>
      </c>
      <c r="M28" s="1874">
        <f t="shared" si="4"/>
        <v>0</v>
      </c>
      <c r="N28" s="1653">
        <f t="shared" si="4"/>
        <v>17.238442399</v>
      </c>
      <c r="O28" s="874">
        <f t="shared" si="4"/>
        <v>708.26598377952303</v>
      </c>
      <c r="P28" s="1654">
        <f t="shared" si="4"/>
        <v>0</v>
      </c>
      <c r="Q28" s="1837">
        <f t="shared" ref="Q28" si="5">ROUND(H28,1)-ROUND(C28,1)-ROUND(D28,1)-ROUND(E28,1)-ROUND(F28,1)-ROUND(G28,1)</f>
        <v>0</v>
      </c>
      <c r="R28" s="1837">
        <f t="shared" ref="R28" si="6">ROUND(N28,1)-ROUND(I28,1)-ROUND(J28,1)-ROUND(K28,1)-ROUND(L28,1)-ROUND(M28,1)</f>
        <v>0</v>
      </c>
      <c r="S28" s="1837">
        <f t="shared" ref="S28" si="7">ROUND(O28,1)-ROUND(H28,1)-ROUND(N28,1)</f>
        <v>-6.7501559897209518E-14</v>
      </c>
    </row>
    <row r="29" spans="1:19" s="871" customFormat="1" ht="15" customHeight="1">
      <c r="A29" s="263"/>
      <c r="B29" s="885" t="s">
        <v>241</v>
      </c>
      <c r="C29" s="1874">
        <f t="shared" ref="C29:P29" si="8">C38</f>
        <v>0</v>
      </c>
      <c r="D29" s="1874">
        <f t="shared" si="8"/>
        <v>0</v>
      </c>
      <c r="E29" s="1874">
        <f t="shared" si="8"/>
        <v>627.20535209514389</v>
      </c>
      <c r="F29" s="1874">
        <f t="shared" si="8"/>
        <v>58.254999999999995</v>
      </c>
      <c r="G29" s="1874">
        <f t="shared" si="8"/>
        <v>9.2454986202366829</v>
      </c>
      <c r="H29" s="1874">
        <f t="shared" si="8"/>
        <v>694.70585071538051</v>
      </c>
      <c r="I29" s="1874">
        <f t="shared" si="8"/>
        <v>0</v>
      </c>
      <c r="J29" s="1874">
        <f t="shared" si="8"/>
        <v>28.118486369999999</v>
      </c>
      <c r="K29" s="1874">
        <f t="shared" si="8"/>
        <v>0</v>
      </c>
      <c r="L29" s="1874">
        <f t="shared" si="8"/>
        <v>0</v>
      </c>
      <c r="M29" s="1874">
        <f t="shared" si="8"/>
        <v>0</v>
      </c>
      <c r="N29" s="1653">
        <f t="shared" si="8"/>
        <v>28.118486369999999</v>
      </c>
      <c r="O29" s="874">
        <f t="shared" si="8"/>
        <v>722.82433708538053</v>
      </c>
      <c r="P29" s="1654">
        <f t="shared" si="8"/>
        <v>0</v>
      </c>
      <c r="Q29" s="1837">
        <f t="shared" ref="Q29" si="9">ROUND(H29,1)-ROUND(C29,1)-ROUND(D29,1)-ROUND(E29,1)-ROUND(F29,1)-ROUND(G29,1)</f>
        <v>0</v>
      </c>
      <c r="R29" s="1837">
        <f t="shared" ref="R29" si="10">ROUND(N29,1)-ROUND(I29,1)-ROUND(J29,1)-ROUND(K29,1)-ROUND(L29,1)-ROUND(M29,1)</f>
        <v>0</v>
      </c>
      <c r="S29" s="1837">
        <f t="shared" ref="S29" si="11">ROUND(O29,1)-ROUND(H29,1)-ROUND(N29,1)</f>
        <v>-9.2370555648813024E-14</v>
      </c>
    </row>
    <row r="30" spans="1:19" s="871" customFormat="1" ht="21" customHeight="1">
      <c r="A30" s="1801">
        <v>2026</v>
      </c>
      <c r="B30" s="1687" t="s">
        <v>242</v>
      </c>
      <c r="C30" s="2429">
        <f t="shared" ref="C30:P30" si="12">C41</f>
        <v>0</v>
      </c>
      <c r="D30" s="2429">
        <f t="shared" si="12"/>
        <v>2</v>
      </c>
      <c r="E30" s="2429">
        <f t="shared" si="12"/>
        <v>637.03075797615929</v>
      </c>
      <c r="F30" s="2429">
        <f t="shared" si="12"/>
        <v>30.41</v>
      </c>
      <c r="G30" s="2429">
        <f t="shared" si="12"/>
        <v>9.1587764472646747</v>
      </c>
      <c r="H30" s="2429">
        <f t="shared" si="12"/>
        <v>678.57953442342387</v>
      </c>
      <c r="I30" s="2429">
        <f t="shared" si="12"/>
        <v>0</v>
      </c>
      <c r="J30" s="2429">
        <f t="shared" si="12"/>
        <v>34.175626658999995</v>
      </c>
      <c r="K30" s="2429">
        <f t="shared" si="12"/>
        <v>0</v>
      </c>
      <c r="L30" s="2429">
        <f t="shared" si="12"/>
        <v>0</v>
      </c>
      <c r="M30" s="2429">
        <f t="shared" si="12"/>
        <v>3.1318399999999966E-4</v>
      </c>
      <c r="N30" s="2430">
        <f t="shared" si="12"/>
        <v>34.175939842999995</v>
      </c>
      <c r="O30" s="1707">
        <f t="shared" si="12"/>
        <v>712.7554742664239</v>
      </c>
      <c r="P30" s="2532">
        <f t="shared" si="12"/>
        <v>0</v>
      </c>
      <c r="Q30" s="1837">
        <f t="shared" ref="Q30" si="13">ROUND(H30,1)-ROUND(C30,1)-ROUND(D30,1)-ROUND(E30,1)-ROUND(F30,1)-ROUND(G30,1)</f>
        <v>2.4868995751603507E-14</v>
      </c>
      <c r="R30" s="1837">
        <f t="shared" ref="R30" si="14">ROUND(N30,1)-ROUND(I30,1)-ROUND(J30,1)-ROUND(K30,1)-ROUND(L30,1)-ROUND(M30,1)</f>
        <v>0</v>
      </c>
      <c r="S30" s="1837">
        <f t="shared" ref="S30" si="15">ROUND(O30,1)-ROUND(H30,1)-ROUND(N30,1)</f>
        <v>-7.1054273576010019E-14</v>
      </c>
    </row>
    <row r="31" spans="1:19" s="483" customFormat="1" ht="21" customHeight="1">
      <c r="A31" s="1782">
        <v>2025</v>
      </c>
      <c r="B31" s="1783" t="s">
        <v>427</v>
      </c>
      <c r="C31" s="1874">
        <v>0</v>
      </c>
      <c r="D31" s="1874">
        <v>0</v>
      </c>
      <c r="E31" s="1874">
        <v>648.66808112451326</v>
      </c>
      <c r="F31" s="1874">
        <v>34.46</v>
      </c>
      <c r="G31" s="1874">
        <v>18.390392090082425</v>
      </c>
      <c r="H31" s="1874">
        <v>701.56847321459577</v>
      </c>
      <c r="I31" s="1874">
        <v>0</v>
      </c>
      <c r="J31" s="1874">
        <v>14.939828532</v>
      </c>
      <c r="K31" s="1874">
        <v>0</v>
      </c>
      <c r="L31" s="1874">
        <v>0</v>
      </c>
      <c r="M31" s="1874">
        <v>-2.3375999999998954E-5</v>
      </c>
      <c r="N31" s="1874">
        <v>14.939805156</v>
      </c>
      <c r="O31" s="1874">
        <v>716.45827837059574</v>
      </c>
      <c r="P31" s="1853">
        <v>0</v>
      </c>
      <c r="Q31" s="1837">
        <v>0</v>
      </c>
      <c r="R31" s="1837">
        <v>0</v>
      </c>
      <c r="S31" s="1837">
        <v>-2.3092638912203256E-14</v>
      </c>
    </row>
    <row r="32" spans="1:19" s="483" customFormat="1" ht="17.25" customHeight="1">
      <c r="A32" s="1782"/>
      <c r="B32" s="1783" t="s">
        <v>428</v>
      </c>
      <c r="C32" s="1874">
        <f>SUM('[37]1'!$C$64:$D$64)</f>
        <v>0</v>
      </c>
      <c r="D32" s="1874">
        <f>SUM('[37]1'!$C$65:$D$65)+SUM('[37]1'!$C$68:$D$68)+SUM('[37]1'!$C$91:$D$91)</f>
        <v>0</v>
      </c>
      <c r="E32" s="1874">
        <f>SUM('[37]1'!$C$75:$D$79)+SUM('[37]1'!$C$85:$D$85)+SUM('[37]1'!$C$88:$D$88)</f>
        <v>655.6459175638746</v>
      </c>
      <c r="F32" s="1874">
        <f>SUM('[37]1'!$C$73:$D$74)+SUM('[37]1'!$C$82:$D$82)</f>
        <v>34.96</v>
      </c>
      <c r="G32" s="1874">
        <f>SUM('[37]1'!$C$89:$D$89)+SUM('[37]1'!$C$92:$D$93)</f>
        <v>11.309029259781088</v>
      </c>
      <c r="H32" s="1874">
        <f>SUM('[37]1'!$C$94:$D$94)</f>
        <v>701.89094682365578</v>
      </c>
      <c r="I32" s="1874">
        <f>SUM('[37]1'!$E$65:$H$65)+SUM('[37]1'!$E$68:$H$68)</f>
        <v>0</v>
      </c>
      <c r="J32" s="1874">
        <f>SUM('[37]1'!$E$72:$H$72)</f>
        <v>16.328052535999998</v>
      </c>
      <c r="K32" s="1874">
        <f>SUM('[37]1'!$E$80:$H$80)</f>
        <v>0</v>
      </c>
      <c r="L32" s="1874">
        <f>SUM('[37]1'!$E$91:$H$91)</f>
        <v>0</v>
      </c>
      <c r="M32" s="1874">
        <f>SUM('[37]1'!$E$89:$H$89)+SUM('[37]1'!$E$90:$H$90)+SUM('[37]1'!$E$93:$H$93)</f>
        <v>-6.7163039999996961E-5</v>
      </c>
      <c r="N32" s="1874">
        <f>SUM('[37]1'!$E$94:$H$94)</f>
        <v>16.327985372960001</v>
      </c>
      <c r="O32" s="1874">
        <f>'[37]1'!$I$94</f>
        <v>718.2189321966157</v>
      </c>
      <c r="P32" s="1853">
        <f>SUM('[37]1'!$I$96:$I$98)</f>
        <v>0</v>
      </c>
      <c r="Q32" s="1837">
        <f t="shared" ref="Q32" si="16">ROUND(H32,1)-ROUND(C32,1)-ROUND(D32,1)-ROUND(E32,1)-ROUND(F32,1)-ROUND(G32,1)</f>
        <v>-4.6185277824406512E-14</v>
      </c>
      <c r="R32" s="1837">
        <f t="shared" ref="R32" si="17">ROUND(N32,1)-ROUND(I32,1)-ROUND(J32,1)-ROUND(K32,1)-ROUND(L32,1)-ROUND(M32,1)</f>
        <v>0</v>
      </c>
      <c r="S32" s="1837">
        <f t="shared" ref="S32" si="18">ROUND(O32,1)-ROUND(H32,1)-ROUND(N32,1)</f>
        <v>6.7501559897209518E-14</v>
      </c>
    </row>
    <row r="33" spans="1:19" s="483" customFormat="1" ht="17.25" customHeight="1">
      <c r="A33" s="1782"/>
      <c r="B33" s="1783" t="s">
        <v>429</v>
      </c>
      <c r="C33" s="1874">
        <f>SUM('[38]1'!$C$64:$D$64)</f>
        <v>0</v>
      </c>
      <c r="D33" s="1874">
        <f>SUM('[38]1'!$C$65:$D$65)+SUM('[38]1'!$C$68:$D$68)+SUM('[38]1'!$C$91:$D$91)</f>
        <v>0</v>
      </c>
      <c r="E33" s="1874">
        <f>SUM('[38]1'!$C$75:$D$79)+SUM('[38]1'!$C$85:$D$85)+SUM('[38]1'!$C$88:$D$88)</f>
        <v>663.88069516920052</v>
      </c>
      <c r="F33" s="1874">
        <f>SUM('[38]1'!$C$73:$D$74)+SUM('[38]1'!$C$82:$D$82)</f>
        <v>34.96</v>
      </c>
      <c r="G33" s="1874">
        <f>SUM('[38]1'!$C$89:$D$89)+SUM('[38]1'!$C$92:$D$93)</f>
        <v>1.2162649540000001</v>
      </c>
      <c r="H33" s="1874">
        <f>SUM('[38]1'!$C$94:$D$94)</f>
        <v>700.0569601232005</v>
      </c>
      <c r="I33" s="1874">
        <f>SUM('[38]1'!$E$65:$H$65)+SUM('[38]1'!$E$68:$H$68)</f>
        <v>0</v>
      </c>
      <c r="J33" s="1874">
        <f>SUM('[38]1'!$E$72:$H$72)</f>
        <v>16.908231820000001</v>
      </c>
      <c r="K33" s="1874">
        <f>SUM('[38]1'!$E$80:$H$80)</f>
        <v>0</v>
      </c>
      <c r="L33" s="1874">
        <f>SUM('[38]1'!$E$91:$H$91)</f>
        <v>0</v>
      </c>
      <c r="M33" s="1874">
        <f>SUM('[38]1'!$E$89:$H$89)+SUM('[38]1'!$E$90:$H$90)+SUM('[38]1'!$E$93:$H$93)</f>
        <v>0</v>
      </c>
      <c r="N33" s="1874">
        <f>SUM('[38]1'!$E$94:$H$94)</f>
        <v>16.908231820000001</v>
      </c>
      <c r="O33" s="1874">
        <f>'[38]1'!$I$94</f>
        <v>716.96519194320047</v>
      </c>
      <c r="P33" s="1853">
        <f>SUM('[38]1'!$I$96:$I$98)</f>
        <v>0</v>
      </c>
      <c r="Q33" s="1837">
        <f t="shared" ref="Q33" si="19">ROUND(H33,1)-ROUND(C33,1)-ROUND(D33,1)-ROUND(E33,1)-ROUND(F33,1)-ROUND(G33,1)</f>
        <v>4.5519144009631418E-14</v>
      </c>
      <c r="R33" s="1837">
        <f t="shared" ref="R33" si="20">ROUND(N33,1)-ROUND(I33,1)-ROUND(J33,1)-ROUND(K33,1)-ROUND(L33,1)-ROUND(M33,1)</f>
        <v>0</v>
      </c>
      <c r="S33" s="1837">
        <f t="shared" ref="S33" si="21">ROUND(O33,1)-ROUND(H33,1)-ROUND(N33,1)</f>
        <v>0</v>
      </c>
    </row>
    <row r="34" spans="1:19" s="483" customFormat="1" ht="17.25" customHeight="1">
      <c r="A34" s="1782"/>
      <c r="B34" s="1783" t="s">
        <v>430</v>
      </c>
      <c r="C34" s="1874">
        <f>SUM('[39]1'!$C$64:$D$64)</f>
        <v>0</v>
      </c>
      <c r="D34" s="1874">
        <f>SUM('[39]1'!$C$65:$D$65)+SUM('[39]1'!$C$68:$D$68)+SUM('[39]1'!$C$91:$D$91)</f>
        <v>0</v>
      </c>
      <c r="E34" s="1874">
        <f>SUM('[39]1'!$C$75:$D$79)+SUM('[39]1'!$C$85:$D$85)+SUM('[39]1'!$C$88:$D$88)</f>
        <v>607.80476406136961</v>
      </c>
      <c r="F34" s="1874">
        <f>SUM('[39]1'!$C$73:$D$74)+SUM('[39]1'!$C$82:$D$82)</f>
        <v>34.96</v>
      </c>
      <c r="G34" s="2350">
        <f>SUM('[39]1'!$C$89:$D$89)+SUM('[39]1'!$C$92:$D$93)-0.05</f>
        <v>41.127007126400351</v>
      </c>
      <c r="H34" s="1874">
        <f>SUM('[39]1'!$C$94:$D$94)</f>
        <v>683.94177118776997</v>
      </c>
      <c r="I34" s="1874">
        <f>SUM('[39]1'!$E$65:$H$65)+SUM('[39]1'!$E$68:$H$68)</f>
        <v>0</v>
      </c>
      <c r="J34" s="1874">
        <f>SUM('[39]1'!$E$72:$H$72)</f>
        <v>17.160431850999998</v>
      </c>
      <c r="K34" s="1874">
        <f>SUM('[39]1'!$E$80:$H$80)</f>
        <v>0</v>
      </c>
      <c r="L34" s="1874">
        <f>SUM('[39]1'!$E$91:$H$91)</f>
        <v>0</v>
      </c>
      <c r="M34" s="1874">
        <f>SUM('[39]1'!$E$89:$H$89)+SUM('[39]1'!$E$90:$H$90)+SUM('[39]1'!$E$93:$H$93)</f>
        <v>0</v>
      </c>
      <c r="N34" s="1874">
        <f>SUM('[39]1'!$E$94:$H$94)</f>
        <v>17.160431850999998</v>
      </c>
      <c r="O34" s="1874">
        <f>'[39]1'!$I$94</f>
        <v>701.10220303876997</v>
      </c>
      <c r="P34" s="1853">
        <f>SUM('[39]1'!$I$96:$I$98)</f>
        <v>0</v>
      </c>
      <c r="Q34" s="1837">
        <f t="shared" ref="Q34" si="22">ROUND(H34,1)-ROUND(C34,1)-ROUND(D34,1)-ROUND(E34,1)-ROUND(F34,1)-ROUND(G34,1)</f>
        <v>0</v>
      </c>
      <c r="R34" s="1837">
        <f t="shared" ref="R34" si="23">ROUND(N34,1)-ROUND(I34,1)-ROUND(J34,1)-ROUND(K34,1)-ROUND(L34,1)-ROUND(M34,1)</f>
        <v>0</v>
      </c>
      <c r="S34" s="1837">
        <f t="shared" ref="S34" si="24">ROUND(O34,1)-ROUND(H34,1)-ROUND(N34,1)</f>
        <v>4.6185277824406512E-14</v>
      </c>
    </row>
    <row r="35" spans="1:19" s="483" customFormat="1" ht="17.25" customHeight="1">
      <c r="A35" s="1782"/>
      <c r="B35" s="1783" t="s">
        <v>431</v>
      </c>
      <c r="C35" s="1874">
        <f>SUM('[40]1'!$C$64:$D$64)</f>
        <v>0</v>
      </c>
      <c r="D35" s="1874">
        <f>SUM('[40]1'!$C$65:$D$65)+SUM('[40]1'!$C$68:$D$68)+SUM('[40]1'!$C$91:$D$91)</f>
        <v>0</v>
      </c>
      <c r="E35" s="1874">
        <f>SUM('[40]1'!$C$75:$D$79)+SUM('[40]1'!$C$85:$D$85)+SUM('[40]1'!$C$88:$D$88)</f>
        <v>614.94625167952313</v>
      </c>
      <c r="F35" s="1874">
        <f>SUM('[40]1'!$C$73:$D$74)+SUM('[40]1'!$C$82:$D$82)</f>
        <v>35.46</v>
      </c>
      <c r="G35" s="1874">
        <f>SUM('[40]1'!$C$89:$D$89)+SUM('[40]1'!$C$92:$D$93)</f>
        <v>40.659289700999999</v>
      </c>
      <c r="H35" s="2350">
        <f>SUM('[40]1'!$C$94:$D$94)+0.03</f>
        <v>691.05754138052305</v>
      </c>
      <c r="I35" s="1874">
        <f>SUM('[40]1'!$E$65:$H$65)+SUM('[40]1'!$E$68:$H$68)</f>
        <v>0</v>
      </c>
      <c r="J35" s="1874">
        <f>SUM('[40]1'!$E$72:$H$72)</f>
        <v>17.238442399</v>
      </c>
      <c r="K35" s="1874">
        <f>SUM('[40]1'!$E$80:$H$80)</f>
        <v>0</v>
      </c>
      <c r="L35" s="1874">
        <f>SUM('[40]1'!$E$91:$H$91)</f>
        <v>0</v>
      </c>
      <c r="M35" s="1874">
        <f>SUM('[40]1'!$E$89:$H$89)+SUM('[40]1'!$E$90:$H$90)+SUM('[40]1'!$E$93:$H$93)</f>
        <v>0</v>
      </c>
      <c r="N35" s="1874">
        <f>SUM('[40]1'!$E$94:$H$94)</f>
        <v>17.238442399</v>
      </c>
      <c r="O35" s="1874">
        <f>'[40]1'!$I$94</f>
        <v>708.26598377952303</v>
      </c>
      <c r="P35" s="1853">
        <f>SUM('[40]1'!$I$96:$I$98)</f>
        <v>0</v>
      </c>
      <c r="Q35" s="1837">
        <f t="shared" ref="Q35" si="25">ROUND(H35,1)-ROUND(C35,1)-ROUND(D35,1)-ROUND(E35,1)-ROUND(F35,1)-ROUND(G35,1)</f>
        <v>0</v>
      </c>
      <c r="R35" s="1837">
        <f t="shared" ref="R35" si="26">ROUND(N35,1)-ROUND(I35,1)-ROUND(J35,1)-ROUND(K35,1)-ROUND(L35,1)-ROUND(M35,1)</f>
        <v>0</v>
      </c>
      <c r="S35" s="1837">
        <f t="shared" ref="S35" si="27">ROUND(O35,1)-ROUND(H35,1)-ROUND(N35,1)</f>
        <v>-6.7501559897209518E-14</v>
      </c>
    </row>
    <row r="36" spans="1:19" s="483" customFormat="1" ht="17.25" customHeight="1">
      <c r="A36" s="1782"/>
      <c r="B36" s="1783" t="s">
        <v>420</v>
      </c>
      <c r="C36" s="1874">
        <f>SUM('[41]1'!$C$64:$D$64)</f>
        <v>0</v>
      </c>
      <c r="D36" s="1874">
        <f>SUM('[41]1'!$C$65:$D$65)+SUM('[41]1'!$C$68:$D$68)+SUM('[41]1'!$C$91:$D$91)</f>
        <v>1.2</v>
      </c>
      <c r="E36" s="1874">
        <f>SUM('[41]1'!$C$75:$D$79)+SUM('[41]1'!$C$85:$D$85)+SUM('[41]1'!$C$88:$D$88)</f>
        <v>624.23723256221831</v>
      </c>
      <c r="F36" s="1874">
        <f>SUM('[41]1'!$C$73:$D$74)+SUM('[41]1'!$C$82:$D$82)</f>
        <v>35.46</v>
      </c>
      <c r="G36" s="1874">
        <f>SUM('[41]1'!$C$89:$D$89)+SUM('[41]1'!$C$92:$D$93)</f>
        <v>33.923688595000002</v>
      </c>
      <c r="H36" s="1874">
        <f>SUM('[41]1'!$C$94:$D$94)</f>
        <v>694.82092115721821</v>
      </c>
      <c r="I36" s="1874">
        <f>SUM('[41]1'!$E$65:$H$65)+SUM('[41]1'!$E$68:$H$68)</f>
        <v>0</v>
      </c>
      <c r="J36" s="1874">
        <f>SUM('[41]1'!$E$72:$H$72)</f>
        <v>17.238442399</v>
      </c>
      <c r="K36" s="1874">
        <f>SUM('[41]1'!$E$80:$H$80)</f>
        <v>0</v>
      </c>
      <c r="L36" s="1874">
        <f>SUM('[41]1'!$E$91:$H$91)</f>
        <v>0</v>
      </c>
      <c r="M36" s="1874">
        <f>SUM('[41]1'!$E$89:$H$89)+SUM('[41]1'!$E$90:$H$90)+SUM('[41]1'!$E$93:$H$93)</f>
        <v>0</v>
      </c>
      <c r="N36" s="1874">
        <f>SUM('[41]1'!$E$94:$H$94)</f>
        <v>17.238442399</v>
      </c>
      <c r="O36" s="2350">
        <f>'[41]1'!$I$94-0.02</f>
        <v>712.03936355621806</v>
      </c>
      <c r="P36" s="1853">
        <f>SUM('[41]1'!$I$96:$I$98)</f>
        <v>0</v>
      </c>
      <c r="Q36" s="1837">
        <f t="shared" ref="Q36" si="28">ROUND(H36,1)-ROUND(C36,1)-ROUND(D36,1)-ROUND(E36,1)-ROUND(F36,1)-ROUND(G36,1)</f>
        <v>-1.3500311979441904E-13</v>
      </c>
      <c r="R36" s="1837">
        <f t="shared" ref="R36" si="29">ROUND(N36,1)-ROUND(I36,1)-ROUND(J36,1)-ROUND(K36,1)-ROUND(L36,1)-ROUND(M36,1)</f>
        <v>0</v>
      </c>
      <c r="S36" s="1837">
        <f t="shared" ref="S36" si="30">ROUND(O36,1)-ROUND(H36,1)-ROUND(N36,1)</f>
        <v>4.6185277824406512E-14</v>
      </c>
    </row>
    <row r="37" spans="1:19" s="483" customFormat="1" ht="17.25" customHeight="1">
      <c r="A37" s="1782"/>
      <c r="B37" s="1783" t="s">
        <v>421</v>
      </c>
      <c r="C37" s="1874">
        <f>SUM('[42]1'!$C$64:$D$64)</f>
        <v>0</v>
      </c>
      <c r="D37" s="1874">
        <f>SUM('[42]1'!$C$65:$D$65)+SUM('[42]1'!$C$68:$D$68)+SUM('[42]1'!$C$91:$D$91)</f>
        <v>1.5</v>
      </c>
      <c r="E37" s="1874">
        <f>SUM('[42]1'!$C$75:$D$79)+SUM('[42]1'!$C$85:$D$85)+SUM('[42]1'!$C$88:$D$88)</f>
        <v>618.0256362851062</v>
      </c>
      <c r="F37" s="2350">
        <f>SUM('[42]1'!$C$73:$D$74)+SUM('[42]1'!$C$82:$D$82)+0.02</f>
        <v>63.755000000000003</v>
      </c>
      <c r="G37" s="1874">
        <f>SUM('[42]1'!$C$89:$D$89)+SUM('[42]1'!$C$92:$D$93)</f>
        <v>13.813532641340947</v>
      </c>
      <c r="H37" s="1874">
        <f>SUM('[42]1'!$C$94:$D$94)</f>
        <v>697.07416892644699</v>
      </c>
      <c r="I37" s="1874">
        <f>SUM('[42]1'!$E$65:$H$65)+SUM('[42]1'!$E$68:$H$68)</f>
        <v>0</v>
      </c>
      <c r="J37" s="1874">
        <f>SUM('[42]1'!$E$72:$H$72)</f>
        <v>17.518451827999996</v>
      </c>
      <c r="K37" s="1874">
        <f>SUM('[42]1'!$E$80:$H$80)</f>
        <v>0</v>
      </c>
      <c r="L37" s="1874">
        <f>SUM('[42]1'!$E$91:$H$91)</f>
        <v>0</v>
      </c>
      <c r="M37" s="1874">
        <f>SUM('[42]1'!$E$89:$H$89)+SUM('[42]1'!$E$90:$H$90)+SUM('[42]1'!$E$93:$H$93)</f>
        <v>-2.0058800000001042E-5</v>
      </c>
      <c r="N37" s="1874">
        <f>SUM('[42]1'!$E$94:$H$94)</f>
        <v>17.518431769199996</v>
      </c>
      <c r="O37" s="1874">
        <f>'[42]1'!$I$94</f>
        <v>714.59260069564698</v>
      </c>
      <c r="P37" s="1853">
        <f>SUM('[42]1'!$I$96:$I$98)</f>
        <v>0</v>
      </c>
      <c r="Q37" s="1837">
        <f t="shared" ref="Q37" si="31">ROUND(H37,1)-ROUND(C37,1)-ROUND(D37,1)-ROUND(E37,1)-ROUND(F37,1)-ROUND(G37,1)</f>
        <v>2.4868995751603507E-14</v>
      </c>
      <c r="R37" s="1837">
        <f t="shared" ref="R37" si="32">ROUND(N37,1)-ROUND(I37,1)-ROUND(J37,1)-ROUND(K37,1)-ROUND(L37,1)-ROUND(M37,1)</f>
        <v>0</v>
      </c>
      <c r="S37" s="1837">
        <f t="shared" ref="S37" si="33">ROUND(O37,1)-ROUND(H37,1)-ROUND(N37,1)</f>
        <v>0</v>
      </c>
    </row>
    <row r="38" spans="1:19" s="483" customFormat="1" ht="17.25" customHeight="1">
      <c r="A38" s="1782"/>
      <c r="B38" s="1783" t="s">
        <v>422</v>
      </c>
      <c r="C38" s="1874">
        <f>SUM('[43]1'!$C$64:$D$64)</f>
        <v>0</v>
      </c>
      <c r="D38" s="1874">
        <f>SUM('[43]1'!$C$65:$D$65)+SUM('[43]1'!$C$68:$D$68)+SUM('[43]1'!$C$91:$D$91)</f>
        <v>0</v>
      </c>
      <c r="E38" s="1874">
        <f>SUM('[43]1'!$C$75:$D$79)+SUM('[43]1'!$C$85:$D$85)+SUM('[43]1'!$C$88:$D$88)</f>
        <v>627.20535209514389</v>
      </c>
      <c r="F38" s="1874">
        <f>SUM('[43]1'!$C$73:$D$74)+SUM('[43]1'!$C$82:$D$82)</f>
        <v>58.254999999999995</v>
      </c>
      <c r="G38" s="1874">
        <f>SUM('[43]1'!$C$89:$D$89)+SUM('[43]1'!$C$92:$D$93)</f>
        <v>9.2454986202366829</v>
      </c>
      <c r="H38" s="1874">
        <f>SUM('[43]1'!$C$94:$D$94)</f>
        <v>694.70585071538051</v>
      </c>
      <c r="I38" s="1874">
        <f>SUM('[43]1'!$E$65:$H$65)+SUM('[43]1'!$E$68:$H$68)</f>
        <v>0</v>
      </c>
      <c r="J38" s="1874">
        <f>SUM('[43]1'!$E$72:$H$72)</f>
        <v>28.118486369999999</v>
      </c>
      <c r="K38" s="1874">
        <f>SUM('[43]1'!$E$80:$H$80)</f>
        <v>0</v>
      </c>
      <c r="L38" s="1874">
        <f>SUM('[43]1'!$E$91:$H$91)</f>
        <v>0</v>
      </c>
      <c r="M38" s="1874">
        <f>SUM('[43]1'!$E$89:$H$89)+SUM('[43]1'!$E$90:$H$90)+SUM('[43]1'!$E$93:$H$93)</f>
        <v>0</v>
      </c>
      <c r="N38" s="1874">
        <f>SUM('[43]1'!$E$94:$H$94)</f>
        <v>28.118486369999999</v>
      </c>
      <c r="O38" s="1874">
        <f>'[43]1'!$I$94</f>
        <v>722.82433708538053</v>
      </c>
      <c r="P38" s="1853">
        <f>SUM('[43]1'!$I$96:$I$98)</f>
        <v>0</v>
      </c>
      <c r="Q38" s="1837">
        <f t="shared" ref="Q38" si="34">ROUND(H38,1)-ROUND(C38,1)-ROUND(D38,1)-ROUND(E38,1)-ROUND(F38,1)-ROUND(G38,1)</f>
        <v>0</v>
      </c>
      <c r="R38" s="1837">
        <f t="shared" ref="R38" si="35">ROUND(N38,1)-ROUND(I38,1)-ROUND(J38,1)-ROUND(K38,1)-ROUND(L38,1)-ROUND(M38,1)</f>
        <v>0</v>
      </c>
      <c r="S38" s="1837">
        <f t="shared" ref="S38" si="36">ROUND(O38,1)-ROUND(H38,1)-ROUND(N38,1)</f>
        <v>-9.2370555648813024E-14</v>
      </c>
    </row>
    <row r="39" spans="1:19" s="483" customFormat="1" ht="21" customHeight="1">
      <c r="A39" s="1782">
        <v>2026</v>
      </c>
      <c r="B39" s="1783" t="s">
        <v>423</v>
      </c>
      <c r="C39" s="1874">
        <f>SUM('[44]1'!$C$64:$D$64)</f>
        <v>0</v>
      </c>
      <c r="D39" s="1874">
        <f>SUM('[44]1'!$C$65:$D$65)+SUM('[44]1'!$C$68:$D$68)+SUM('[44]1'!$C$91:$D$91)</f>
        <v>2</v>
      </c>
      <c r="E39" s="1874">
        <f>SUM('[44]1'!$C$75:$D$79)+SUM('[44]1'!$C$85:$D$85)+SUM('[44]1'!$C$88:$D$88)</f>
        <v>633.87959636958658</v>
      </c>
      <c r="F39" s="2350">
        <f>SUM('[44]1'!$C$73:$D$74)+SUM('[44]1'!$C$82:$D$82)-0.01</f>
        <v>58.244999999999997</v>
      </c>
      <c r="G39" s="2350">
        <f>SUM('[44]1'!$C$89:$D$89)+SUM('[44]1'!$C$92:$D$93)-0.05</f>
        <v>0.76319654516400315</v>
      </c>
      <c r="H39" s="1874">
        <f>SUM('[44]1'!$C$94:$D$94)</f>
        <v>694.94779291475038</v>
      </c>
      <c r="I39" s="1874">
        <f>SUM('[44]1'!$E$65:$H$65)+SUM('[44]1'!$E$68:$H$68)</f>
        <v>0</v>
      </c>
      <c r="J39" s="1874">
        <f>SUM('[44]1'!$E$72:$H$72)</f>
        <v>29.427678879999998</v>
      </c>
      <c r="K39" s="1874">
        <f>SUM('[44]1'!$E$80:$H$80)</f>
        <v>0</v>
      </c>
      <c r="L39" s="1874">
        <f>SUM('[44]1'!$E$91:$H$91)</f>
        <v>0</v>
      </c>
      <c r="M39" s="1874">
        <f>SUM('[44]1'!$E$89:$H$89)+SUM('[44]1'!$E$90:$H$90)+SUM('[44]1'!$E$93:$H$93)</f>
        <v>-3.001040000000188E-5</v>
      </c>
      <c r="N39" s="1874">
        <f>SUM('[44]1'!$E$94:$H$94)</f>
        <v>29.427648869599999</v>
      </c>
      <c r="O39" s="2350">
        <f>'[44]1'!$I$94-0.03</f>
        <v>724.34544178435044</v>
      </c>
      <c r="P39" s="1853">
        <f>SUM('[44]1'!$I$96:$I$98)</f>
        <v>0</v>
      </c>
      <c r="Q39" s="1837">
        <f t="shared" ref="Q39" si="37">ROUND(H39,1)-ROUND(C39,1)-ROUND(D39,1)-ROUND(E39,1)-ROUND(F39,1)-ROUND(G39,1)</f>
        <v>-2.886579864025407E-15</v>
      </c>
      <c r="R39" s="1837">
        <f t="shared" ref="R39" si="38">ROUND(N39,1)-ROUND(I39,1)-ROUND(J39,1)-ROUND(K39,1)-ROUND(L39,1)-ROUND(M39,1)</f>
        <v>0</v>
      </c>
      <c r="S39" s="1837">
        <f t="shared" ref="S39" si="39">ROUND(O39,1)-ROUND(H39,1)-ROUND(N39,1)</f>
        <v>0</v>
      </c>
    </row>
    <row r="40" spans="1:19" s="483" customFormat="1" ht="17.25" customHeight="1">
      <c r="A40" s="1782"/>
      <c r="B40" s="1783" t="s">
        <v>424</v>
      </c>
      <c r="C40" s="1874">
        <f>SUM('[45]1'!$C$64:$D$64)</f>
        <v>0</v>
      </c>
      <c r="D40" s="1874">
        <f>SUM('[45]1'!$C$65:$D$65)+SUM('[45]1'!$C$68:$D$68)+SUM('[45]1'!$C$91:$D$91)</f>
        <v>1.89</v>
      </c>
      <c r="E40" s="1874">
        <f>SUM('[45]1'!$C$75:$D$79)+SUM('[45]1'!$C$85:$D$85)+SUM('[45]1'!$C$88:$D$88)</f>
        <v>639.57082698483703</v>
      </c>
      <c r="F40" s="1874">
        <f>SUM('[45]1'!$C$73:$D$74)+SUM('[45]1'!$C$82:$D$82)</f>
        <v>58.254999999999995</v>
      </c>
      <c r="G40" s="2350">
        <f>SUM('[45]1'!$C$89:$D$89)+SUM('[45]1'!$C$92:$D$93)-0.05</f>
        <v>1.5494387425763723</v>
      </c>
      <c r="H40" s="1874">
        <f>SUM('[45]1'!$C$94:$D$94)</f>
        <v>701.31526572741336</v>
      </c>
      <c r="I40" s="1874">
        <f>SUM('[45]1'!$E$65:$H$65)+SUM('[45]1'!$E$68:$H$68)</f>
        <v>0</v>
      </c>
      <c r="J40" s="1874">
        <f>SUM('[45]1'!$E$72:$H$72)</f>
        <v>40.603509176000003</v>
      </c>
      <c r="K40" s="1874">
        <f>SUM('[45]1'!$E$80:$H$80)</f>
        <v>0</v>
      </c>
      <c r="L40" s="1874">
        <f>SUM('[45]1'!$E$91:$H$91)</f>
        <v>0</v>
      </c>
      <c r="M40" s="1874">
        <f>SUM('[45]1'!$E$89:$H$89)+SUM('[45]1'!$E$90:$H$90)+SUM('[45]1'!$E$93:$H$93)</f>
        <v>-3.001040000000188E-5</v>
      </c>
      <c r="N40" s="1874">
        <f>SUM('[45]1'!$E$94:$H$94)</f>
        <v>40.6034791656</v>
      </c>
      <c r="O40" s="1874">
        <f>'[45]1'!$I$94</f>
        <v>741.91874489301347</v>
      </c>
      <c r="P40" s="1853">
        <f>SUM('[45]1'!$I$96:$I$98)</f>
        <v>0</v>
      </c>
      <c r="Q40" s="1837">
        <f t="shared" ref="Q40" si="40">ROUND(H40,1)-ROUND(C40,1)-ROUND(D40,1)-ROUND(E40,1)-ROUND(F40,1)-ROUND(G40,1)</f>
        <v>-4.2632564145606011E-14</v>
      </c>
      <c r="R40" s="1837">
        <f t="shared" ref="R40" si="41">ROUND(N40,1)-ROUND(I40,1)-ROUND(J40,1)-ROUND(K40,1)-ROUND(L40,1)-ROUND(M40,1)</f>
        <v>0</v>
      </c>
      <c r="S40" s="1837">
        <f t="shared" ref="S40" si="42">ROUND(O40,1)-ROUND(H40,1)-ROUND(N40,1)</f>
        <v>0</v>
      </c>
    </row>
    <row r="41" spans="1:19" s="483" customFormat="1" ht="17.25" customHeight="1">
      <c r="A41" s="1782"/>
      <c r="B41" s="1783" t="s">
        <v>425</v>
      </c>
      <c r="C41" s="1874">
        <f>SUM('[46]1'!$C$64:$D$64)</f>
        <v>0</v>
      </c>
      <c r="D41" s="1874">
        <f>SUM('[46]1'!$C$65:$D$65)+SUM('[46]1'!$C$68:$D$68)+SUM('[46]1'!$C$91:$D$91)</f>
        <v>2</v>
      </c>
      <c r="E41" s="1874">
        <f>SUM('[46]1'!$C$75:$D$79)+SUM('[46]1'!$C$85:$D$85)+SUM('[46]1'!$C$88:$D$88)</f>
        <v>637.03075797615929</v>
      </c>
      <c r="F41" s="1874">
        <f>SUM('[46]1'!$C$73:$D$74)+SUM('[46]1'!$C$82:$D$82)</f>
        <v>30.41</v>
      </c>
      <c r="G41" s="2350">
        <f>SUM('[46]1'!$C$89:$D$89)+SUM('[46]1'!$C$92:$D$93)+0.02</f>
        <v>9.1587764472646747</v>
      </c>
      <c r="H41" s="1874">
        <f>SUM('[46]1'!$C$94:$D$94)</f>
        <v>678.57953442342387</v>
      </c>
      <c r="I41" s="1874">
        <f>SUM('[46]1'!$E$65:$H$65)+SUM('[46]1'!$E$68:$H$68)</f>
        <v>0</v>
      </c>
      <c r="J41" s="1874">
        <f>SUM('[46]1'!$E$72:$H$72)</f>
        <v>34.175626658999995</v>
      </c>
      <c r="K41" s="1874">
        <f>SUM('[46]1'!$E$80:$H$80)</f>
        <v>0</v>
      </c>
      <c r="L41" s="1874">
        <f>SUM('[46]1'!$E$91:$H$91)</f>
        <v>0</v>
      </c>
      <c r="M41" s="1874">
        <f>SUM('[46]1'!$E$89:$H$89)+SUM('[46]1'!$E$90:$H$90)+SUM('[46]1'!$E$93:$H$93)</f>
        <v>3.1318399999999966E-4</v>
      </c>
      <c r="N41" s="1874">
        <f>SUM('[46]1'!$E$94:$H$94)</f>
        <v>34.175939842999995</v>
      </c>
      <c r="O41" s="1874">
        <f>'[46]1'!$I$94</f>
        <v>712.7554742664239</v>
      </c>
      <c r="P41" s="1853">
        <f>SUM('[46]1'!$I$96:$I$98)</f>
        <v>0</v>
      </c>
      <c r="Q41" s="1837">
        <f t="shared" ref="Q41" si="43">ROUND(H41,1)-ROUND(C41,1)-ROUND(D41,1)-ROUND(E41,1)-ROUND(F41,1)-ROUND(G41,1)</f>
        <v>2.4868995751603507E-14</v>
      </c>
      <c r="R41" s="1837">
        <f t="shared" ref="R41" si="44">ROUND(N41,1)-ROUND(I41,1)-ROUND(J41,1)-ROUND(K41,1)-ROUND(L41,1)-ROUND(M41,1)</f>
        <v>0</v>
      </c>
      <c r="S41" s="1837">
        <f t="shared" ref="S41" si="45">ROUND(O41,1)-ROUND(H41,1)-ROUND(N41,1)</f>
        <v>-7.1054273576010019E-14</v>
      </c>
    </row>
    <row r="42" spans="1:19" s="483" customFormat="1" ht="17.25" customHeight="1">
      <c r="A42" s="1782"/>
      <c r="B42" s="1783" t="s">
        <v>426</v>
      </c>
      <c r="C42" s="1874">
        <f>SUM('[47]1'!$C$64:$D$64)</f>
        <v>0</v>
      </c>
      <c r="D42" s="1874">
        <f>SUM('[47]1'!$C$65:$D$65)+SUM('[47]1'!$C$68:$D$68)+SUM('[47]1'!$C$91:$D$91)</f>
        <v>3.5</v>
      </c>
      <c r="E42" s="1874">
        <f>SUM('[47]1'!$C$75:$D$79)+SUM('[47]1'!$C$85:$D$85)+SUM('[47]1'!$C$88:$D$88)</f>
        <v>643.16742483822259</v>
      </c>
      <c r="F42" s="1874">
        <f>SUM('[47]1'!$C$73:$D$74)+SUM('[47]1'!$C$82:$D$82)</f>
        <v>30.41</v>
      </c>
      <c r="G42" s="1874">
        <f>SUM('[47]1'!$C$89:$D$89)+SUM('[47]1'!$C$92:$D$93)</f>
        <v>1.0222328684964346</v>
      </c>
      <c r="H42" s="1874">
        <f>SUM('[47]1'!$C$94:$D$94)</f>
        <v>678.09965770671897</v>
      </c>
      <c r="I42" s="1874">
        <f>SUM('[47]1'!$E$65:$H$65)+SUM('[47]1'!$E$68:$H$68)</f>
        <v>0</v>
      </c>
      <c r="J42" s="1874">
        <f>SUM('[47]1'!$E$72:$H$72)</f>
        <v>54.179177780000003</v>
      </c>
      <c r="K42" s="1874">
        <f>SUM('[47]1'!$E$80:$H$80)</f>
        <v>0</v>
      </c>
      <c r="L42" s="1874">
        <f>SUM('[47]1'!$E$91:$H$91)</f>
        <v>0</v>
      </c>
      <c r="M42" s="1874">
        <f>SUM('[47]1'!$E$89:$H$89)+SUM('[47]1'!$E$90:$H$90)+SUM('[47]1'!$E$93:$H$93)</f>
        <v>-1.2289200000000023E-4</v>
      </c>
      <c r="N42" s="1874">
        <f>SUM('[47]1'!$E$94:$H$94)</f>
        <v>54.179054888000003</v>
      </c>
      <c r="O42" s="1874">
        <f>'[47]1'!$I$94</f>
        <v>732.27871259471908</v>
      </c>
      <c r="P42" s="1853">
        <f>SUM('[47]1'!$I$96:$I$98)</f>
        <v>0</v>
      </c>
      <c r="Q42" s="1837">
        <f t="shared" ref="Q42" si="46">ROUND(H42,1)-ROUND(C42,1)-ROUND(D42,1)-ROUND(E42,1)-ROUND(F42,1)-ROUND(G42,1)</f>
        <v>-2.1316282072803006E-14</v>
      </c>
      <c r="R42" s="1837">
        <f t="shared" ref="R42" si="47">ROUND(N42,1)-ROUND(I42,1)-ROUND(J42,1)-ROUND(K42,1)-ROUND(L42,1)-ROUND(M42,1)</f>
        <v>0</v>
      </c>
      <c r="S42" s="1837">
        <f t="shared" ref="S42" si="48">ROUND(O42,1)-ROUND(H42,1)-ROUND(N42,1)</f>
        <v>-7.1054273576010019E-14</v>
      </c>
    </row>
    <row r="43" spans="1:19" s="483" customFormat="1" ht="17.25" customHeight="1">
      <c r="A43" s="1782"/>
      <c r="B43" s="1783" t="s">
        <v>427</v>
      </c>
      <c r="C43" s="1874">
        <f>SUM('[48]1'!$C$64:$D$64)</f>
        <v>0</v>
      </c>
      <c r="D43" s="1874">
        <f>SUM('[48]1'!$C$65:$D$65)+SUM('[48]1'!$C$68:$D$68)+SUM('[48]1'!$C$91:$D$91)</f>
        <v>3.5</v>
      </c>
      <c r="E43" s="2350">
        <f>SUM('[48]1'!$C$75:$D$79)+SUM('[48]1'!$C$85:$D$85)+SUM('[48]1'!$C$88:$D$88)+0.03</f>
        <v>652.06007008776623</v>
      </c>
      <c r="F43" s="1874">
        <f>SUM('[48]1'!$C$73:$D$74)+SUM('[48]1'!$C$82:$D$82)</f>
        <v>30.41</v>
      </c>
      <c r="G43" s="1874">
        <f>SUM('[48]1'!$C$89:$D$89)+SUM('[48]1'!$C$92:$D$93)</f>
        <v>1.4135739757611698</v>
      </c>
      <c r="H43" s="1874">
        <f>SUM('[48]1'!$C$94:$D$94)</f>
        <v>687.35364406352755</v>
      </c>
      <c r="I43" s="1874">
        <f>SUM('[48]1'!$E$65:$H$65)+SUM('[48]1'!$E$68:$H$68)</f>
        <v>0</v>
      </c>
      <c r="J43" s="1874">
        <f>SUM('[48]1'!$E$72:$H$72)</f>
        <v>53.847972794</v>
      </c>
      <c r="K43" s="1874">
        <f>SUM('[48]1'!$E$80:$H$80)</f>
        <v>0</v>
      </c>
      <c r="L43" s="1874">
        <f>SUM('[48]1'!$E$91:$H$91)</f>
        <v>0</v>
      </c>
      <c r="M43" s="1874">
        <f>SUM('[48]1'!$E$89:$H$89)+SUM('[48]1'!$E$90:$H$90)+SUM('[48]1'!$E$93:$H$93)</f>
        <v>-2.6693200000003968E-5</v>
      </c>
      <c r="N43" s="1874">
        <f>SUM('[48]1'!$E$94:$H$94)</f>
        <v>53.847946100800002</v>
      </c>
      <c r="O43" s="1874">
        <f>'[48]1'!$I$94</f>
        <v>741.20159016432751</v>
      </c>
      <c r="P43" s="1853">
        <f>SUM('[48]1'!$I$96:$I$98)</f>
        <v>0</v>
      </c>
      <c r="Q43" s="1837">
        <f t="shared" ref="Q43" si="49">ROUND(H43,1)-ROUND(C43,1)-ROUND(D43,1)-ROUND(E43,1)-ROUND(F43,1)-ROUND(G43,1)</f>
        <v>-4.3964831775156199E-14</v>
      </c>
      <c r="R43" s="1837">
        <f t="shared" ref="R43" si="50">ROUND(N43,1)-ROUND(I43,1)-ROUND(J43,1)-ROUND(K43,1)-ROUND(L43,1)-ROUND(M43,1)</f>
        <v>0</v>
      </c>
      <c r="S43" s="1837">
        <f t="shared" ref="S43" si="51">ROUND(O43,1)-ROUND(H43,1)-ROUND(N43,1)</f>
        <v>7.1054273576010019E-14</v>
      </c>
    </row>
    <row r="44" spans="1:19" ht="19.5" customHeight="1">
      <c r="A44" s="652" t="s">
        <v>1054</v>
      </c>
      <c r="B44" s="224"/>
      <c r="C44" s="224"/>
      <c r="D44" s="224"/>
      <c r="E44" s="224"/>
      <c r="F44" s="995"/>
      <c r="G44" s="995"/>
      <c r="H44" s="2307"/>
      <c r="I44" s="995"/>
      <c r="J44" s="995"/>
      <c r="K44" s="995"/>
      <c r="L44" s="995"/>
      <c r="M44" s="995"/>
      <c r="N44" s="995"/>
      <c r="O44" s="996"/>
      <c r="P44" s="653" t="s">
        <v>1055</v>
      </c>
    </row>
    <row r="45" spans="1:19">
      <c r="A45" s="654" t="s">
        <v>1056</v>
      </c>
      <c r="F45" s="1657"/>
      <c r="O45" s="381"/>
      <c r="P45" s="381" t="s">
        <v>1057</v>
      </c>
    </row>
    <row r="46" spans="1:19">
      <c r="A46" s="654" t="s">
        <v>1058</v>
      </c>
      <c r="O46" s="381"/>
      <c r="P46" s="381" t="s">
        <v>1059</v>
      </c>
    </row>
    <row r="47" spans="1:19">
      <c r="A47" s="27" t="s">
        <v>1060</v>
      </c>
      <c r="P47" s="1658" t="s">
        <v>1061</v>
      </c>
    </row>
    <row r="49" spans="1:16">
      <c r="A49" s="655" t="s">
        <v>1062</v>
      </c>
      <c r="B49" s="1"/>
      <c r="C49" s="1"/>
      <c r="D49" s="1"/>
      <c r="E49" s="1"/>
      <c r="F49" s="1"/>
      <c r="G49" s="1"/>
      <c r="H49" s="1"/>
      <c r="I49" s="1"/>
      <c r="J49" s="1"/>
      <c r="K49" s="1"/>
      <c r="L49" s="1"/>
      <c r="M49" s="1"/>
      <c r="N49" s="1"/>
      <c r="O49" s="1"/>
      <c r="P49" s="1"/>
    </row>
  </sheetData>
  <printOptions horizontalCentered="1" verticalCentered="1"/>
  <pageMargins left="0" right="0" top="0" bottom="0" header="0.5" footer="0.5"/>
  <pageSetup paperSize="9" scale="7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21"/>
  <sheetViews>
    <sheetView topLeftCell="A61" zoomScale="90" zoomScaleNormal="90" workbookViewId="0">
      <selection activeCell="F79" sqref="F79"/>
    </sheetView>
  </sheetViews>
  <sheetFormatPr defaultColWidth="9.1796875" defaultRowHeight="12.5"/>
  <cols>
    <col min="1" max="1" width="63.81640625" style="915" customWidth="1"/>
    <col min="2" max="6" width="10.7265625" style="915" customWidth="1"/>
    <col min="7" max="7" width="60.7265625" style="915" customWidth="1"/>
    <col min="8" max="16384" width="9.1796875" style="915"/>
  </cols>
  <sheetData>
    <row r="1" spans="1:7" s="932" customFormat="1" ht="20.25" customHeight="1">
      <c r="A1" s="930" t="s">
        <v>231</v>
      </c>
      <c r="B1" s="931"/>
      <c r="C1" s="931"/>
      <c r="D1" s="931"/>
      <c r="E1" s="931"/>
      <c r="F1" s="931"/>
      <c r="G1" s="931"/>
    </row>
    <row r="2" spans="1:7" s="932" customFormat="1" ht="18">
      <c r="A2" s="933" t="s">
        <v>232</v>
      </c>
      <c r="B2" s="931"/>
      <c r="C2" s="931"/>
      <c r="D2" s="931"/>
      <c r="E2" s="931"/>
      <c r="F2" s="931"/>
      <c r="G2" s="931"/>
    </row>
    <row r="4" spans="1:7" s="932" customFormat="1" ht="18" customHeight="1">
      <c r="A4" s="2598" t="s">
        <v>233</v>
      </c>
      <c r="B4" s="1537">
        <v>2025</v>
      </c>
      <c r="C4" s="1537"/>
      <c r="D4" s="1537"/>
      <c r="E4" s="1537"/>
      <c r="F4" s="1537">
        <v>2026</v>
      </c>
      <c r="G4" s="2601" t="s">
        <v>234</v>
      </c>
    </row>
    <row r="5" spans="1:7" s="935" customFormat="1" ht="14.9" customHeight="1">
      <c r="A5" s="2599"/>
      <c r="B5" s="934" t="s">
        <v>235</v>
      </c>
      <c r="C5" s="934" t="s">
        <v>235</v>
      </c>
      <c r="D5" s="934" t="s">
        <v>235</v>
      </c>
      <c r="E5" s="934" t="s">
        <v>235</v>
      </c>
      <c r="F5" s="934" t="s">
        <v>235</v>
      </c>
      <c r="G5" s="2602"/>
    </row>
    <row r="6" spans="1:7" s="935" customFormat="1" ht="14.9" customHeight="1">
      <c r="A6" s="2599"/>
      <c r="B6" s="936" t="s">
        <v>238</v>
      </c>
      <c r="C6" s="936" t="s">
        <v>239</v>
      </c>
      <c r="D6" s="936" t="s">
        <v>236</v>
      </c>
      <c r="E6" s="936" t="s">
        <v>237</v>
      </c>
      <c r="F6" s="936" t="s">
        <v>238</v>
      </c>
      <c r="G6" s="2602"/>
    </row>
    <row r="7" spans="1:7" s="932" customFormat="1" ht="14.9" customHeight="1">
      <c r="A7" s="2600"/>
      <c r="B7" s="937" t="s">
        <v>242</v>
      </c>
      <c r="C7" s="937" t="s">
        <v>243</v>
      </c>
      <c r="D7" s="937" t="s">
        <v>240</v>
      </c>
      <c r="E7" s="937" t="s">
        <v>241</v>
      </c>
      <c r="F7" s="937" t="s">
        <v>242</v>
      </c>
      <c r="G7" s="2603"/>
    </row>
    <row r="8" spans="1:7" ht="20.25" customHeight="1">
      <c r="A8" s="938" t="s">
        <v>244</v>
      </c>
      <c r="B8" s="939"/>
      <c r="C8" s="939"/>
      <c r="D8" s="939"/>
      <c r="E8" s="939"/>
      <c r="F8" s="939"/>
      <c r="G8" s="940" t="s">
        <v>245</v>
      </c>
    </row>
    <row r="9" spans="1:7" ht="14.25" customHeight="1">
      <c r="A9" s="941" t="s">
        <v>246</v>
      </c>
      <c r="B9" s="1518">
        <v>7158.5000000000009</v>
      </c>
      <c r="C9" s="1518">
        <f>'1'!$H$32</f>
        <v>6820.5</v>
      </c>
      <c r="D9" s="1518">
        <f>'1'!$H$35</f>
        <v>6135.7</v>
      </c>
      <c r="E9" s="1518">
        <f>'1'!$H$38</f>
        <v>6334.5</v>
      </c>
      <c r="F9" s="1518">
        <f>'1'!$H$41</f>
        <v>7453.7000000000007</v>
      </c>
      <c r="G9" s="942" t="s">
        <v>247</v>
      </c>
    </row>
    <row r="10" spans="1:7" ht="20.25" customHeight="1">
      <c r="A10" s="943" t="s">
        <v>248</v>
      </c>
      <c r="B10" s="1836"/>
      <c r="C10" s="1836"/>
      <c r="D10" s="1836"/>
      <c r="E10" s="1836"/>
      <c r="F10" s="1836"/>
      <c r="G10" s="945" t="s">
        <v>249</v>
      </c>
    </row>
    <row r="11" spans="1:7" ht="14.25" customHeight="1">
      <c r="A11" s="946" t="s">
        <v>250</v>
      </c>
      <c r="B11" s="1518">
        <v>2949.6000000000004</v>
      </c>
      <c r="C11" s="1518">
        <f>'3'!$H$32</f>
        <v>2917.1000000000004</v>
      </c>
      <c r="D11" s="1518">
        <f>'3'!$H$35</f>
        <v>2798</v>
      </c>
      <c r="E11" s="1518">
        <f>'3'!$H$38</f>
        <v>2855.4</v>
      </c>
      <c r="F11" s="1518">
        <f>'3'!$H$41</f>
        <v>3102.8</v>
      </c>
      <c r="G11" s="942" t="s">
        <v>251</v>
      </c>
    </row>
    <row r="12" spans="1:7" ht="14.25" customHeight="1">
      <c r="A12" s="941" t="s">
        <v>252</v>
      </c>
      <c r="B12" s="1518">
        <v>5.0502172519410271</v>
      </c>
      <c r="C12" s="1518">
        <f>(C11-B11)/B11%</f>
        <v>-1.1018443178736099</v>
      </c>
      <c r="D12" s="1518">
        <f>(D11-C11)/C11%</f>
        <v>-4.0828219807343027</v>
      </c>
      <c r="E12" s="1518">
        <f>(E11-D11)/D11%</f>
        <v>2.0514653323802747</v>
      </c>
      <c r="F12" s="1518">
        <f>(F11-E11)/E11%</f>
        <v>8.6642852139805306</v>
      </c>
      <c r="G12" s="947" t="s">
        <v>253</v>
      </c>
    </row>
    <row r="13" spans="1:7" ht="14.25" customHeight="1">
      <c r="A13" s="946" t="s">
        <v>254</v>
      </c>
      <c r="B13" s="1518">
        <v>14060.1</v>
      </c>
      <c r="C13" s="1518">
        <f>'3'!$I$32</f>
        <v>14083</v>
      </c>
      <c r="D13" s="1518">
        <f>'3'!$I$35</f>
        <v>14037.1</v>
      </c>
      <c r="E13" s="1518">
        <f>'3'!$I$38</f>
        <v>14437.2</v>
      </c>
      <c r="F13" s="1518">
        <f>'3'!$I$41</f>
        <v>14620</v>
      </c>
      <c r="G13" s="942" t="s">
        <v>255</v>
      </c>
    </row>
    <row r="14" spans="1:7" ht="14.25" customHeight="1">
      <c r="A14" s="941" t="s">
        <v>252</v>
      </c>
      <c r="B14" s="1518">
        <v>1.1096089401544758</v>
      </c>
      <c r="C14" s="1518">
        <f>(C13-B13)/B13%</f>
        <v>0.16287224130695824</v>
      </c>
      <c r="D14" s="1518">
        <f>(D13-C13)/C13%</f>
        <v>-0.32592487396151126</v>
      </c>
      <c r="E14" s="1518">
        <f>(E13-D13)/D13%</f>
        <v>2.850303837687274</v>
      </c>
      <c r="F14" s="1518">
        <f>(F13-E13)/E13%</f>
        <v>1.2661734962458042</v>
      </c>
      <c r="G14" s="948" t="s">
        <v>253</v>
      </c>
    </row>
    <row r="15" spans="1:7" ht="14.25" customHeight="1">
      <c r="A15" s="941" t="s">
        <v>256</v>
      </c>
      <c r="B15" s="1518">
        <v>87.607327559349486</v>
      </c>
      <c r="C15" s="1518">
        <f>C13/16049*100</f>
        <v>87.750015577294533</v>
      </c>
      <c r="D15" s="1518">
        <f>D13/16049*100</f>
        <v>87.464016449623031</v>
      </c>
      <c r="E15" s="1518">
        <f>E13/16049*100</f>
        <v>89.957006667082055</v>
      </c>
      <c r="F15" s="1518">
        <f>F13/16049*100</f>
        <v>91.096018443516741</v>
      </c>
      <c r="G15" s="949" t="s">
        <v>257</v>
      </c>
    </row>
    <row r="16" spans="1:7" ht="14.25" customHeight="1">
      <c r="A16" s="946" t="s">
        <v>258</v>
      </c>
      <c r="B16" s="1518">
        <v>16519.485029977339</v>
      </c>
      <c r="C16" s="1518">
        <f>'3'!$J$32</f>
        <v>16466.599999999999</v>
      </c>
      <c r="D16" s="1518">
        <f>'3'!$J$35</f>
        <v>16237.1</v>
      </c>
      <c r="E16" s="1518">
        <f>'3'!$J$38</f>
        <v>16548.5</v>
      </c>
      <c r="F16" s="1518">
        <f>'3'!$J$41</f>
        <v>17338.900000000001</v>
      </c>
      <c r="G16" s="942" t="s">
        <v>259</v>
      </c>
    </row>
    <row r="17" spans="1:7" ht="14.25" customHeight="1">
      <c r="A17" s="941" t="s">
        <v>252</v>
      </c>
      <c r="B17" s="1518">
        <v>1.8436186446906719</v>
      </c>
      <c r="C17" s="1518">
        <f>(C16-B16)/B16%</f>
        <v>-0.32013727959056637</v>
      </c>
      <c r="D17" s="1518">
        <f>(D16-C16)/C16%</f>
        <v>-1.3937303389892157</v>
      </c>
      <c r="E17" s="1518">
        <f>(E16-D16)/D16%</f>
        <v>1.9178301543994902</v>
      </c>
      <c r="F17" s="1518">
        <f>(F16-E16)/E16%</f>
        <v>4.7762637097017944</v>
      </c>
      <c r="G17" s="948" t="s">
        <v>253</v>
      </c>
    </row>
    <row r="18" spans="1:7" ht="20.25" customHeight="1">
      <c r="A18" s="943" t="s">
        <v>260</v>
      </c>
      <c r="B18" s="985"/>
      <c r="C18" s="985"/>
      <c r="D18" s="985"/>
      <c r="E18" s="985"/>
      <c r="F18" s="985"/>
      <c r="G18" s="945" t="s">
        <v>261</v>
      </c>
    </row>
    <row r="19" spans="1:7" ht="14.25" customHeight="1">
      <c r="A19" s="946" t="s">
        <v>262</v>
      </c>
      <c r="B19" s="984">
        <v>250118.185106383</v>
      </c>
      <c r="C19" s="984">
        <f>'13'!$I$32</f>
        <v>252348.04680851064</v>
      </c>
      <c r="D19" s="984">
        <f>'13'!$I$35</f>
        <v>256418.91276595744</v>
      </c>
      <c r="E19" s="984">
        <f>'13'!$I$38</f>
        <v>254454.67659574468</v>
      </c>
      <c r="F19" s="984">
        <f>'13'!$I$41</f>
        <v>256878.88723404257</v>
      </c>
      <c r="G19" s="942" t="s">
        <v>263</v>
      </c>
    </row>
    <row r="20" spans="1:7" ht="14.25" customHeight="1">
      <c r="A20" s="941" t="s">
        <v>256</v>
      </c>
      <c r="B20" s="984">
        <v>585.98193476272615</v>
      </c>
      <c r="C20" s="984">
        <f>C19/42683.6*100</f>
        <v>591.206099786594</v>
      </c>
      <c r="D20" s="984">
        <f>D19/42683.6*100</f>
        <v>600.74340675565668</v>
      </c>
      <c r="E20" s="984">
        <f>E19/42683.6*100</f>
        <v>596.14155459179801</v>
      </c>
      <c r="F20" s="984">
        <f>F19/42683.6*100</f>
        <v>601.82104422785937</v>
      </c>
      <c r="G20" s="949" t="s">
        <v>257</v>
      </c>
    </row>
    <row r="21" spans="1:7" ht="14.25" customHeight="1">
      <c r="A21" s="946" t="s">
        <v>264</v>
      </c>
      <c r="B21" s="986">
        <v>112880.58926389161</v>
      </c>
      <c r="C21" s="986">
        <f>'14'!$L$32/0.376+0.04</f>
        <v>115832.35730620612</v>
      </c>
      <c r="D21" s="1518">
        <f>ROUND('14'!$L$35,1)/0.376</f>
        <v>117182.71276595743</v>
      </c>
      <c r="E21" s="1518">
        <f>ROUND('14'!$L$38,1)/0.376</f>
        <v>119683.77659574468</v>
      </c>
      <c r="F21" s="1518">
        <f>ROUND('14'!$L$41,1)/0.376</f>
        <v>124567.28723404257</v>
      </c>
      <c r="G21" s="942" t="s">
        <v>265</v>
      </c>
    </row>
    <row r="22" spans="1:7" ht="14.25" customHeight="1">
      <c r="A22" s="941" t="s">
        <v>256</v>
      </c>
      <c r="B22" s="984">
        <v>264.4589239518026</v>
      </c>
      <c r="C22" s="984">
        <f>C21/42683.6*100</f>
        <v>271.37438572708515</v>
      </c>
      <c r="D22" s="984">
        <f>D21/42683.6*100</f>
        <v>274.53802576623679</v>
      </c>
      <c r="E22" s="984">
        <f>E21/42683.6*100</f>
        <v>280.39756861123402</v>
      </c>
      <c r="F22" s="984">
        <f>F21/42683.6*100</f>
        <v>291.8387559485202</v>
      </c>
      <c r="G22" s="949" t="s">
        <v>257</v>
      </c>
    </row>
    <row r="23" spans="1:7" ht="14.25" customHeight="1">
      <c r="A23" s="946" t="s">
        <v>266</v>
      </c>
      <c r="B23" s="984">
        <v>137237.55627338018</v>
      </c>
      <c r="C23" s="984">
        <f>'28'!$N$32</f>
        <v>136515.61440102605</v>
      </c>
      <c r="D23" s="984">
        <f>'28'!$N$35</f>
        <v>139236.24253638773</v>
      </c>
      <c r="E23" s="984">
        <f>'28'!$N$38</f>
        <v>134770.88699173043</v>
      </c>
      <c r="F23" s="984">
        <f>'28'!$N$41</f>
        <v>132311.6076995756</v>
      </c>
      <c r="G23" s="942" t="s">
        <v>267</v>
      </c>
    </row>
    <row r="24" spans="1:7" ht="14.25" customHeight="1">
      <c r="A24" s="941" t="s">
        <v>256</v>
      </c>
      <c r="B24" s="984">
        <v>321.52291810761085</v>
      </c>
      <c r="C24" s="984">
        <f>C23/42683.6*100</f>
        <v>319.83153811071713</v>
      </c>
      <c r="D24" s="984">
        <f>D23/42683.6*100</f>
        <v>326.20548064452794</v>
      </c>
      <c r="E24" s="984">
        <f>E23/42683.6*100</f>
        <v>315.74395550452732</v>
      </c>
      <c r="F24" s="984">
        <f>F23/42683.6*100</f>
        <v>309.98230631806035</v>
      </c>
      <c r="G24" s="949" t="s">
        <v>257</v>
      </c>
    </row>
    <row r="25" spans="1:7" ht="14.25" customHeight="1">
      <c r="A25" s="946" t="s">
        <v>268</v>
      </c>
      <c r="B25" s="984">
        <v>61516.068367383152</v>
      </c>
      <c r="C25" s="984">
        <f>'32'!$O$32</f>
        <v>64470.311352506018</v>
      </c>
      <c r="D25" s="984">
        <f>'32'!$O$35</f>
        <v>66539.563279820111</v>
      </c>
      <c r="E25" s="984">
        <f>'32'!$O$38</f>
        <v>67060.904324741496</v>
      </c>
      <c r="F25" s="984">
        <f>'32'!$O$41</f>
        <v>69254.104343225408</v>
      </c>
      <c r="G25" s="942" t="s">
        <v>269</v>
      </c>
    </row>
    <row r="26" spans="1:7" ht="14.25" customHeight="1">
      <c r="A26" s="941" t="s">
        <v>256</v>
      </c>
      <c r="B26" s="984">
        <v>144.12108717957989</v>
      </c>
      <c r="C26" s="984">
        <f>C25/42683.6*100</f>
        <v>151.04234730085096</v>
      </c>
      <c r="D26" s="984">
        <f>D25/42683.6*100</f>
        <v>155.89023250105453</v>
      </c>
      <c r="E26" s="984">
        <f>E25/42683.6*100</f>
        <v>157.11164082865901</v>
      </c>
      <c r="F26" s="984">
        <f>F25/42683.6*100</f>
        <v>162.24991411976828</v>
      </c>
      <c r="G26" s="949" t="s">
        <v>257</v>
      </c>
    </row>
    <row r="27" spans="1:7" ht="14.25" customHeight="1">
      <c r="A27" s="946" t="s">
        <v>270</v>
      </c>
      <c r="B27" s="984">
        <v>94345.45319148936</v>
      </c>
      <c r="C27" s="984">
        <f>'13'!$G$32</f>
        <v>96226.619148936166</v>
      </c>
      <c r="D27" s="984">
        <f>'13'!$G$35</f>
        <v>96391.734042553187</v>
      </c>
      <c r="E27" s="984">
        <f>'13'!$G$38</f>
        <v>98595.051063829786</v>
      </c>
      <c r="F27" s="984">
        <f>'13'!$G$41</f>
        <v>103476.00638297873</v>
      </c>
      <c r="G27" s="942" t="s">
        <v>271</v>
      </c>
    </row>
    <row r="28" spans="1:7" ht="14.25" customHeight="1">
      <c r="A28" s="941" t="s">
        <v>256</v>
      </c>
      <c r="B28" s="984">
        <v>221.03443287700512</v>
      </c>
      <c r="C28" s="984">
        <f>C27/42683.6*100</f>
        <v>225.44166646893927</v>
      </c>
      <c r="D28" s="984">
        <f>D27/42683.6*100</f>
        <v>225.82850097590921</v>
      </c>
      <c r="E28" s="984">
        <f>E27/42683.6*100</f>
        <v>230.99047658545621</v>
      </c>
      <c r="F28" s="984">
        <f>F27/42683.6*100</f>
        <v>242.42567726944006</v>
      </c>
      <c r="G28" s="949" t="s">
        <v>257</v>
      </c>
    </row>
    <row r="29" spans="1:7" ht="14.25" customHeight="1">
      <c r="A29" s="951" t="s">
        <v>272</v>
      </c>
      <c r="B29" s="984">
        <v>175117.56808510638</v>
      </c>
      <c r="C29" s="984">
        <f>'13'!$O$32</f>
        <v>177026.82765957445</v>
      </c>
      <c r="D29" s="984">
        <f>'13'!$O$35</f>
        <v>181642.96382978722</v>
      </c>
      <c r="E29" s="984">
        <f>'13'!$O$38</f>
        <v>178817.51702127658</v>
      </c>
      <c r="F29" s="984">
        <f>'13'!$O$41</f>
        <v>178394.44680851063</v>
      </c>
      <c r="G29" s="942" t="s">
        <v>273</v>
      </c>
    </row>
    <row r="30" spans="1:7" ht="14.25" customHeight="1">
      <c r="A30" s="952" t="s">
        <v>274</v>
      </c>
      <c r="B30" s="984">
        <v>70.013928819539245</v>
      </c>
      <c r="C30" s="984">
        <f>(C29/C19)*100</f>
        <v>70.151851737496415</v>
      </c>
      <c r="D30" s="984">
        <f>(D29/D19)*100</f>
        <v>70.838364405506681</v>
      </c>
      <c r="E30" s="984">
        <f>(E29/E19)*100</f>
        <v>70.274800767512019</v>
      </c>
      <c r="F30" s="984">
        <f>(F29/F19)*100</f>
        <v>69.446908903017516</v>
      </c>
      <c r="G30" s="949" t="s">
        <v>275</v>
      </c>
    </row>
    <row r="31" spans="1:7" ht="14.25" customHeight="1">
      <c r="A31" s="941" t="s">
        <v>256</v>
      </c>
      <c r="B31" s="984">
        <v>410.26897470013398</v>
      </c>
      <c r="C31" s="984">
        <f>C29/42683.6*100</f>
        <v>414.74202658532658</v>
      </c>
      <c r="D31" s="984">
        <f>D29/42683.6*100</f>
        <v>425.55680361962732</v>
      </c>
      <c r="E31" s="984">
        <f>E29/42683.6*100</f>
        <v>418.93728978173488</v>
      </c>
      <c r="F31" s="984">
        <f>F29/42683.6*100</f>
        <v>417.94611234411025</v>
      </c>
      <c r="G31" s="949" t="s">
        <v>257</v>
      </c>
    </row>
    <row r="32" spans="1:7" ht="14.25" customHeight="1">
      <c r="A32" s="946" t="s">
        <v>276</v>
      </c>
      <c r="B32" s="984">
        <v>28852.590032885713</v>
      </c>
      <c r="C32" s="984">
        <f>'[1]1'!$Q$34+'[1]1'!$Q$36</f>
        <v>29806.525678710448</v>
      </c>
      <c r="D32" s="984">
        <f>'[2]1'!$Q$34+'[2]1'!$Q$36</f>
        <v>30704.381931481897</v>
      </c>
      <c r="E32" s="984">
        <f>'[3]1'!$Q$34+'[3]1'!$Q$36</f>
        <v>31418.439001646177</v>
      </c>
      <c r="F32" s="984">
        <f>'[4]1'!$Q$34+'[4]1'!$Q$36</f>
        <v>30200.38736108681</v>
      </c>
      <c r="G32" s="942" t="s">
        <v>277</v>
      </c>
    </row>
    <row r="33" spans="1:7" ht="14.25" customHeight="1">
      <c r="A33" s="952" t="s">
        <v>278</v>
      </c>
      <c r="B33" s="987">
        <v>11.535582676890852</v>
      </c>
      <c r="C33" s="987">
        <f>C32/C19%</f>
        <v>11.811672828729497</v>
      </c>
      <c r="D33" s="987">
        <f>D32/D19%</f>
        <v>11.974304703298882</v>
      </c>
      <c r="E33" s="987">
        <f>E32/E19%</f>
        <v>12.34736158988386</v>
      </c>
      <c r="F33" s="987">
        <f>F32/F19%</f>
        <v>11.756663884008191</v>
      </c>
      <c r="G33" s="953" t="s">
        <v>279</v>
      </c>
    </row>
    <row r="34" spans="1:7" ht="20.25" customHeight="1">
      <c r="A34" s="943" t="s">
        <v>280</v>
      </c>
      <c r="B34" s="985"/>
      <c r="C34" s="985"/>
      <c r="D34" s="985"/>
      <c r="E34" s="985"/>
      <c r="F34" s="985"/>
      <c r="G34" s="945" t="s">
        <v>33</v>
      </c>
    </row>
    <row r="35" spans="1:7" ht="14.25" customHeight="1">
      <c r="A35" s="946" t="s">
        <v>281</v>
      </c>
      <c r="B35" s="984">
        <v>-4572.7000000000007</v>
      </c>
      <c r="C35" s="984">
        <f>'16'!$J$32</f>
        <v>-5184.1000000000004</v>
      </c>
      <c r="D35" s="984">
        <f>'16'!$J$35</f>
        <v>-5115.7000000000007</v>
      </c>
      <c r="E35" s="984">
        <f>'16'!$J$38</f>
        <v>-5871.5000000000018</v>
      </c>
      <c r="F35" s="984">
        <f>'16'!$J$41</f>
        <v>-6504.8999999999978</v>
      </c>
      <c r="G35" s="942" t="s">
        <v>282</v>
      </c>
    </row>
    <row r="36" spans="1:7" ht="14.25" customHeight="1">
      <c r="A36" s="946" t="s">
        <v>283</v>
      </c>
      <c r="B36" s="1518">
        <v>15831.5</v>
      </c>
      <c r="C36" s="1518">
        <f>ROUND('19'!$K$32,1)+ROUND('19'!$L$32,1)</f>
        <v>15783.5</v>
      </c>
      <c r="D36" s="1518">
        <f>ROUND('19'!$K$35,1)+ROUND('19'!$L$35,1)</f>
        <v>15777.2</v>
      </c>
      <c r="E36" s="1518">
        <f>ROUND('19'!$K$38,1)+ROUND('19'!$L$38,1)</f>
        <v>16044.3</v>
      </c>
      <c r="F36" s="1518">
        <f>ROUND('19'!$K$41,1)+ROUND('19'!$L$41,1)</f>
        <v>16777.3</v>
      </c>
      <c r="G36" s="942" t="s">
        <v>284</v>
      </c>
    </row>
    <row r="37" spans="1:7" ht="14.25" customHeight="1">
      <c r="A37" s="941" t="s">
        <v>256</v>
      </c>
      <c r="B37" s="984">
        <v>98.644775375412792</v>
      </c>
      <c r="C37" s="984">
        <f>C36/16049*100</f>
        <v>98.345691320331483</v>
      </c>
      <c r="D37" s="984">
        <f>D36/16049*100</f>
        <v>98.306436538102076</v>
      </c>
      <c r="E37" s="984">
        <f>E36/16049*100</f>
        <v>99.970714686273283</v>
      </c>
      <c r="F37" s="984">
        <f>F36/16049*100</f>
        <v>104.53797744407751</v>
      </c>
      <c r="G37" s="949" t="s">
        <v>257</v>
      </c>
    </row>
    <row r="38" spans="1:7" ht="14.25" customHeight="1">
      <c r="A38" s="954" t="s">
        <v>285</v>
      </c>
      <c r="B38" s="1518">
        <v>12607.389288370905</v>
      </c>
      <c r="C38" s="1518">
        <f>'20'!$L$32</f>
        <v>12477.506100759178</v>
      </c>
      <c r="D38" s="1518">
        <f>'20'!$L$35</f>
        <v>12746.785557590629</v>
      </c>
      <c r="E38" s="1518">
        <f>'20'!$L$38</f>
        <v>12974.080110870829</v>
      </c>
      <c r="F38" s="1518">
        <f>'20'!$L$41</f>
        <v>13235.326234715823</v>
      </c>
      <c r="G38" s="942" t="s">
        <v>286</v>
      </c>
    </row>
    <row r="39" spans="1:7" ht="14.25" customHeight="1">
      <c r="A39" s="941" t="s">
        <v>256</v>
      </c>
      <c r="B39" s="984">
        <v>78.555606507389271</v>
      </c>
      <c r="C39" s="984">
        <f>C38/16049*100</f>
        <v>77.746315039935055</v>
      </c>
      <c r="D39" s="984">
        <f>D38/16049*100</f>
        <v>79.424173204502637</v>
      </c>
      <c r="E39" s="984">
        <f>E38/16049*100</f>
        <v>80.840426885605524</v>
      </c>
      <c r="F39" s="984">
        <f>F38/16049*100</f>
        <v>82.468230012560426</v>
      </c>
      <c r="G39" s="949" t="s">
        <v>257</v>
      </c>
    </row>
    <row r="40" spans="1:7" s="932" customFormat="1" ht="20.25" customHeight="1">
      <c r="A40" s="955" t="s">
        <v>287</v>
      </c>
      <c r="B40" s="956"/>
      <c r="C40" s="956"/>
      <c r="D40" s="956"/>
      <c r="E40" s="956"/>
      <c r="F40" s="956"/>
      <c r="G40" s="957" t="s">
        <v>288</v>
      </c>
    </row>
    <row r="41" spans="1:7" ht="14.25" customHeight="1">
      <c r="A41" s="958"/>
      <c r="B41" s="950"/>
      <c r="C41" s="950"/>
      <c r="D41" s="950"/>
      <c r="E41" s="950"/>
      <c r="F41" s="950"/>
      <c r="G41" s="959"/>
    </row>
    <row r="42" spans="1:7" ht="14.25" customHeight="1">
      <c r="A42" s="958"/>
      <c r="B42" s="1007"/>
      <c r="C42" s="1007"/>
      <c r="D42" s="1007"/>
      <c r="E42" s="1007"/>
      <c r="F42" s="1007"/>
      <c r="G42" s="959"/>
    </row>
    <row r="43" spans="1:7" ht="14.25" customHeight="1">
      <c r="A43" s="958"/>
      <c r="G43" s="959"/>
    </row>
    <row r="44" spans="1:7" ht="14.25" customHeight="1">
      <c r="A44" s="958"/>
      <c r="G44" s="959"/>
    </row>
    <row r="45" spans="1:7" s="932" customFormat="1" ht="20.25" customHeight="1">
      <c r="A45" s="930" t="s">
        <v>231</v>
      </c>
      <c r="B45" s="931"/>
      <c r="C45" s="931"/>
      <c r="D45" s="931"/>
      <c r="E45" s="931"/>
      <c r="F45" s="931"/>
      <c r="G45" s="931"/>
    </row>
    <row r="46" spans="1:7" s="932" customFormat="1" ht="18">
      <c r="A46" s="933" t="s">
        <v>232</v>
      </c>
      <c r="B46" s="931"/>
      <c r="C46" s="931"/>
      <c r="D46" s="931"/>
      <c r="E46" s="931"/>
      <c r="F46" s="931"/>
      <c r="G46" s="931"/>
    </row>
    <row r="48" spans="1:7" s="932" customFormat="1" ht="18" customHeight="1">
      <c r="A48" s="2598" t="s">
        <v>233</v>
      </c>
      <c r="B48" s="1537">
        <v>2025</v>
      </c>
      <c r="C48" s="1537"/>
      <c r="D48" s="1537"/>
      <c r="E48" s="1537"/>
      <c r="F48" s="1537">
        <v>2026</v>
      </c>
      <c r="G48" s="2601" t="s">
        <v>234</v>
      </c>
    </row>
    <row r="49" spans="1:7" s="935" customFormat="1" ht="14.9" customHeight="1">
      <c r="A49" s="2599"/>
      <c r="B49" s="934" t="s">
        <v>235</v>
      </c>
      <c r="C49" s="934" t="s">
        <v>235</v>
      </c>
      <c r="D49" s="934" t="s">
        <v>235</v>
      </c>
      <c r="E49" s="934" t="s">
        <v>235</v>
      </c>
      <c r="F49" s="934" t="s">
        <v>235</v>
      </c>
      <c r="G49" s="2602"/>
    </row>
    <row r="50" spans="1:7" s="935" customFormat="1" ht="14.9" customHeight="1">
      <c r="A50" s="2599"/>
      <c r="B50" s="936" t="s">
        <v>238</v>
      </c>
      <c r="C50" s="936" t="str">
        <f t="shared" ref="C50:D50" si="0">C6</f>
        <v>الثاني</v>
      </c>
      <c r="D50" s="936" t="str">
        <f t="shared" si="0"/>
        <v>الثالث</v>
      </c>
      <c r="E50" s="936" t="str">
        <f t="shared" ref="E50:F50" si="1">E6</f>
        <v>الرابع</v>
      </c>
      <c r="F50" s="936" t="str">
        <f t="shared" si="1"/>
        <v>الأول</v>
      </c>
      <c r="G50" s="2602"/>
    </row>
    <row r="51" spans="1:7" s="932" customFormat="1" ht="14.9" customHeight="1">
      <c r="A51" s="2600"/>
      <c r="B51" s="937" t="s">
        <v>242</v>
      </c>
      <c r="C51" s="937" t="str">
        <f t="shared" ref="C51:D51" si="2">C7</f>
        <v>Q2</v>
      </c>
      <c r="D51" s="937" t="str">
        <f t="shared" si="2"/>
        <v>Q3</v>
      </c>
      <c r="E51" s="937" t="str">
        <f t="shared" ref="E51:F51" si="3">E7</f>
        <v>Q4</v>
      </c>
      <c r="F51" s="937" t="str">
        <f t="shared" si="3"/>
        <v>Q1</v>
      </c>
      <c r="G51" s="2603"/>
    </row>
    <row r="52" spans="1:7" ht="20.25" customHeight="1">
      <c r="A52" s="943" t="s">
        <v>289</v>
      </c>
      <c r="B52" s="944"/>
      <c r="C52" s="944"/>
      <c r="D52" s="944"/>
      <c r="E52" s="944"/>
      <c r="F52" s="944"/>
      <c r="G52" s="945" t="s">
        <v>290</v>
      </c>
    </row>
    <row r="53" spans="1:7" ht="14.25" customHeight="1">
      <c r="A53" s="946" t="s">
        <v>291</v>
      </c>
      <c r="B53" s="1205">
        <v>4.8894369612421249</v>
      </c>
      <c r="C53" s="1205">
        <f>'7'!$R$32</f>
        <v>4.938767689781181</v>
      </c>
      <c r="D53" s="1205">
        <f>'7'!$R$35</f>
        <v>4.8709867170648486</v>
      </c>
      <c r="E53" s="1205">
        <f>'7'!$R$38</f>
        <v>5.1640006237482581</v>
      </c>
      <c r="F53" s="1205">
        <f>'7'!$R$41</f>
        <v>4.8236317035349936</v>
      </c>
      <c r="G53" s="942" t="s">
        <v>292</v>
      </c>
    </row>
    <row r="54" spans="1:7" ht="14.25" customHeight="1">
      <c r="A54" s="946" t="s">
        <v>293</v>
      </c>
      <c r="B54" s="1205">
        <v>7.8072850788277925</v>
      </c>
      <c r="C54" s="1205">
        <f>'7'!$K$32</f>
        <v>6.597520196513238</v>
      </c>
      <c r="D54" s="1205">
        <f>'7'!$K$35</f>
        <v>6.0520034513959535</v>
      </c>
      <c r="E54" s="1205">
        <f>'7'!$K$38</f>
        <v>5.6573786144805753</v>
      </c>
      <c r="F54" s="1205">
        <f>'7'!$K$41</f>
        <v>5.7441138146038107</v>
      </c>
      <c r="G54" s="942" t="s">
        <v>294</v>
      </c>
    </row>
    <row r="55" spans="1:7" ht="14.25" customHeight="1">
      <c r="A55" s="946" t="s">
        <v>295</v>
      </c>
      <c r="B55" s="1205">
        <v>2.0886229140775878</v>
      </c>
      <c r="C55" s="1205">
        <f>'7'!$F$32</f>
        <v>2.1509768907584985</v>
      </c>
      <c r="D55" s="1205">
        <f>'7'!$F$35</f>
        <v>2.0101091771880517</v>
      </c>
      <c r="E55" s="1205">
        <f>'7'!$F$38</f>
        <v>1.9382274763750591</v>
      </c>
      <c r="F55" s="1205">
        <f>'7'!$F$41</f>
        <v>2.0011417253796924</v>
      </c>
      <c r="G55" s="942" t="s">
        <v>296</v>
      </c>
    </row>
    <row r="56" spans="1:7" ht="20.25" customHeight="1">
      <c r="A56" s="943" t="s">
        <v>297</v>
      </c>
      <c r="B56" s="985"/>
      <c r="C56" s="985"/>
      <c r="D56" s="985"/>
      <c r="E56" s="985"/>
      <c r="F56" s="985"/>
      <c r="G56" s="960" t="s">
        <v>298</v>
      </c>
    </row>
    <row r="57" spans="1:7" ht="14.25" customHeight="1">
      <c r="A57" s="941" t="s">
        <v>299</v>
      </c>
      <c r="B57" s="1205">
        <v>4.3</v>
      </c>
      <c r="C57" s="1205">
        <v>4.29</v>
      </c>
      <c r="D57" s="1205">
        <v>4.22</v>
      </c>
      <c r="E57" s="1205">
        <v>3.82</v>
      </c>
      <c r="F57" s="1205">
        <v>3.65</v>
      </c>
      <c r="G57" s="949" t="s">
        <v>300</v>
      </c>
    </row>
    <row r="58" spans="1:7" ht="14.25" customHeight="1">
      <c r="A58" s="941" t="s">
        <v>301</v>
      </c>
      <c r="B58" s="1205">
        <v>4.2550670000000004</v>
      </c>
      <c r="C58" s="1205">
        <v>4.21</v>
      </c>
      <c r="D58" s="1205">
        <v>4.0406000000000004</v>
      </c>
      <c r="E58" s="1205">
        <v>3.7167669999999999</v>
      </c>
      <c r="F58" s="1205">
        <v>3.6292666666666666</v>
      </c>
      <c r="G58" s="949" t="s">
        <v>302</v>
      </c>
    </row>
    <row r="59" spans="1:7" ht="14.25" customHeight="1">
      <c r="A59" s="946" t="s">
        <v>303</v>
      </c>
      <c r="B59" s="1205">
        <v>6</v>
      </c>
      <c r="C59" s="1205">
        <v>6</v>
      </c>
      <c r="D59" s="1205">
        <v>5.9160000000000004</v>
      </c>
      <c r="E59" s="1205">
        <v>5.42</v>
      </c>
      <c r="F59" s="1205">
        <v>5.25</v>
      </c>
      <c r="G59" s="942" t="s">
        <v>304</v>
      </c>
    </row>
    <row r="60" spans="1:7" ht="20.25" customHeight="1">
      <c r="A60" s="943" t="s">
        <v>305</v>
      </c>
      <c r="B60" s="1234"/>
      <c r="C60" s="1234"/>
      <c r="D60" s="1234"/>
      <c r="E60" s="1234"/>
      <c r="F60" s="1234"/>
      <c r="G60" s="960" t="s">
        <v>306</v>
      </c>
    </row>
    <row r="61" spans="1:7" ht="14.25" customHeight="1">
      <c r="A61" s="941" t="s">
        <v>299</v>
      </c>
      <c r="B61" s="1205">
        <v>5.38</v>
      </c>
      <c r="C61" s="1205">
        <v>5.25</v>
      </c>
      <c r="D61" s="1205">
        <v>5.26</v>
      </c>
      <c r="E61" s="1205">
        <v>4.97</v>
      </c>
      <c r="F61" s="1205">
        <v>4.9400000000000004</v>
      </c>
      <c r="G61" s="949" t="s">
        <v>300</v>
      </c>
    </row>
    <row r="62" spans="1:7" ht="14.25" customHeight="1">
      <c r="A62" s="941" t="s">
        <v>301</v>
      </c>
      <c r="B62" s="1205">
        <v>5.3566669999999998</v>
      </c>
      <c r="C62" s="1205">
        <v>5.38</v>
      </c>
      <c r="D62" s="1205">
        <v>5.2670000000000003</v>
      </c>
      <c r="E62" s="1205">
        <v>5.0966670000000001</v>
      </c>
      <c r="F62" s="1205">
        <v>5.003333333333333</v>
      </c>
      <c r="G62" s="949" t="s">
        <v>302</v>
      </c>
    </row>
    <row r="63" spans="1:7" ht="14.25" customHeight="1">
      <c r="A63" s="941" t="s">
        <v>307</v>
      </c>
      <c r="B63" s="1205">
        <v>5.1666670000000003</v>
      </c>
      <c r="C63" s="1205">
        <v>5.1433330000000002</v>
      </c>
      <c r="D63" s="1205">
        <v>5.13</v>
      </c>
      <c r="E63" s="1205">
        <v>4.9033329999999999</v>
      </c>
      <c r="F63" s="1205">
        <v>4.7166666666666668</v>
      </c>
      <c r="G63" s="949" t="s">
        <v>308</v>
      </c>
    </row>
    <row r="64" spans="1:7" ht="14.25" customHeight="1">
      <c r="A64" s="946" t="s">
        <v>309</v>
      </c>
      <c r="B64" s="1205">
        <v>5.4269999999999996</v>
      </c>
      <c r="C64" s="1205">
        <v>5.2530000000000001</v>
      </c>
      <c r="D64" s="1205">
        <v>5.3029999999999999</v>
      </c>
      <c r="E64" s="1205">
        <v>4.9770000000000003</v>
      </c>
      <c r="F64" s="1205">
        <v>4.8929999999999998</v>
      </c>
      <c r="G64" s="942" t="s">
        <v>310</v>
      </c>
    </row>
    <row r="65" spans="1:7" ht="14.25" customHeight="1">
      <c r="A65" s="946" t="s">
        <v>311</v>
      </c>
      <c r="B65" s="1205">
        <v>5.4569999999999999</v>
      </c>
      <c r="C65" s="1205">
        <v>5.2930000000000001</v>
      </c>
      <c r="D65" s="1205">
        <v>5.3233329999999999</v>
      </c>
      <c r="E65" s="1205">
        <v>5.1369999999999996</v>
      </c>
      <c r="F65" s="1205">
        <v>4.8516666666666666</v>
      </c>
      <c r="G65" s="942" t="s">
        <v>312</v>
      </c>
    </row>
    <row r="66" spans="1:7" ht="25">
      <c r="A66" s="1022" t="s">
        <v>313</v>
      </c>
      <c r="B66" s="1205">
        <v>5.875</v>
      </c>
      <c r="C66" s="1205">
        <v>6.25</v>
      </c>
      <c r="D66" s="1205">
        <v>5.875</v>
      </c>
      <c r="E66" s="1205">
        <v>5.8734999999999999</v>
      </c>
      <c r="F66" s="1205">
        <v>6.1239999999999997</v>
      </c>
      <c r="G66" s="942" t="s">
        <v>314</v>
      </c>
    </row>
    <row r="67" spans="1:7" ht="20.25" customHeight="1">
      <c r="A67" s="943" t="s">
        <v>315</v>
      </c>
      <c r="B67" s="1234"/>
      <c r="C67" s="1234"/>
      <c r="D67" s="1234"/>
      <c r="E67" s="1234"/>
      <c r="F67" s="1234"/>
      <c r="G67" s="960" t="s">
        <v>316</v>
      </c>
    </row>
    <row r="68" spans="1:7" ht="25">
      <c r="A68" s="1022" t="s">
        <v>317</v>
      </c>
      <c r="B68" s="1205">
        <v>5.625</v>
      </c>
      <c r="C68" s="1205">
        <v>6.4580000000000002</v>
      </c>
      <c r="D68" s="1205">
        <v>5.875</v>
      </c>
      <c r="E68" s="1205">
        <v>6.625</v>
      </c>
      <c r="F68" s="1205">
        <v>5.9625000000000004</v>
      </c>
      <c r="G68" s="942" t="s">
        <v>318</v>
      </c>
    </row>
    <row r="69" spans="1:7" ht="20.25" customHeight="1">
      <c r="A69" s="943" t="s">
        <v>319</v>
      </c>
      <c r="B69" s="988"/>
      <c r="C69" s="988"/>
      <c r="D69" s="988"/>
      <c r="E69" s="988"/>
      <c r="F69" s="988"/>
      <c r="G69" s="945" t="s">
        <v>320</v>
      </c>
    </row>
    <row r="70" spans="1:7" ht="14.25" customHeight="1">
      <c r="A70" s="946" t="s">
        <v>99</v>
      </c>
      <c r="B70" s="2493">
        <v>14892</v>
      </c>
      <c r="C70" s="2493">
        <v>14947</v>
      </c>
      <c r="D70" s="2493">
        <v>14971</v>
      </c>
      <c r="E70" s="2493">
        <v>14784</v>
      </c>
      <c r="F70" s="2493"/>
      <c r="G70" s="942" t="s">
        <v>100</v>
      </c>
    </row>
    <row r="71" spans="1:7" ht="14.25" customHeight="1">
      <c r="A71" s="951" t="s">
        <v>321</v>
      </c>
      <c r="B71" s="990">
        <v>69.599999999999994</v>
      </c>
      <c r="C71" s="990">
        <v>69.5</v>
      </c>
      <c r="D71" s="990">
        <v>69.7</v>
      </c>
      <c r="E71" s="990">
        <v>69.811958874458867</v>
      </c>
      <c r="F71" s="990"/>
      <c r="G71" s="942" t="s">
        <v>322</v>
      </c>
    </row>
    <row r="72" spans="1:7" ht="20.25" customHeight="1">
      <c r="A72" s="943" t="s">
        <v>323</v>
      </c>
      <c r="B72" s="988"/>
      <c r="C72" s="988"/>
      <c r="D72" s="988"/>
      <c r="E72" s="988"/>
      <c r="F72" s="988"/>
      <c r="G72" s="945" t="s">
        <v>324</v>
      </c>
    </row>
    <row r="73" spans="1:7" ht="14.25" customHeight="1">
      <c r="A73" s="946" t="s">
        <v>325</v>
      </c>
      <c r="B73" s="989">
        <v>368</v>
      </c>
      <c r="C73" s="989">
        <v>369</v>
      </c>
      <c r="D73" s="989">
        <v>375</v>
      </c>
      <c r="E73" s="989">
        <v>377</v>
      </c>
      <c r="F73" s="989">
        <v>374</v>
      </c>
      <c r="G73" s="942" t="s">
        <v>326</v>
      </c>
    </row>
    <row r="74" spans="1:7" ht="14.25" customHeight="1">
      <c r="A74" s="946" t="s">
        <v>327</v>
      </c>
      <c r="B74" s="989">
        <v>6</v>
      </c>
      <c r="C74" s="989">
        <v>1</v>
      </c>
      <c r="D74" s="989">
        <v>6</v>
      </c>
      <c r="E74" s="989">
        <v>2</v>
      </c>
      <c r="F74" s="989">
        <v>1</v>
      </c>
      <c r="G74" s="942" t="s">
        <v>328</v>
      </c>
    </row>
    <row r="75" spans="1:7" ht="20.25" customHeight="1">
      <c r="A75" s="943" t="s">
        <v>117</v>
      </c>
      <c r="B75" s="988"/>
      <c r="C75" s="988"/>
      <c r="D75" s="988"/>
      <c r="E75" s="988"/>
      <c r="F75" s="988"/>
      <c r="G75" s="945" t="s">
        <v>118</v>
      </c>
    </row>
    <row r="76" spans="1:7" ht="14.25" customHeight="1">
      <c r="A76" s="946" t="s">
        <v>329</v>
      </c>
      <c r="B76" s="2493">
        <v>1737</v>
      </c>
      <c r="C76" s="2493">
        <v>1733</v>
      </c>
      <c r="D76" s="2493">
        <v>1750</v>
      </c>
      <c r="E76" s="2493">
        <v>1745</v>
      </c>
      <c r="F76" s="2493">
        <v>1749</v>
      </c>
      <c r="G76" s="942" t="s">
        <v>330</v>
      </c>
    </row>
    <row r="77" spans="1:7" ht="14.25" customHeight="1">
      <c r="A77" s="946" t="s">
        <v>331</v>
      </c>
      <c r="B77" s="989">
        <v>16</v>
      </c>
      <c r="C77" s="989">
        <v>17</v>
      </c>
      <c r="D77" s="989">
        <v>32</v>
      </c>
      <c r="E77" s="989">
        <v>28</v>
      </c>
      <c r="F77" s="989">
        <v>21</v>
      </c>
      <c r="G77" s="942" t="s">
        <v>332</v>
      </c>
    </row>
    <row r="78" spans="1:7" ht="14.25" customHeight="1">
      <c r="A78" s="951" t="s">
        <v>333</v>
      </c>
      <c r="B78" s="984">
        <v>11269.263999999999</v>
      </c>
      <c r="C78" s="984">
        <f>'59'!$E$31/1000</f>
        <v>10914.909</v>
      </c>
      <c r="D78" s="984">
        <f>'59'!$E$35/1000</f>
        <v>11138.686</v>
      </c>
      <c r="E78" s="984">
        <f>'59'!$E$39/1000</f>
        <v>11059.934419879295</v>
      </c>
      <c r="F78" s="984">
        <f>'59'!$E$43/1000</f>
        <v>10929.01734</v>
      </c>
      <c r="G78" s="962" t="s">
        <v>334</v>
      </c>
    </row>
    <row r="79" spans="1:7" ht="20.25" customHeight="1">
      <c r="A79" s="943" t="s">
        <v>335</v>
      </c>
      <c r="B79" s="963"/>
      <c r="C79" s="963"/>
      <c r="D79" s="963"/>
      <c r="E79" s="963"/>
      <c r="F79" s="963"/>
      <c r="G79" s="964" t="s">
        <v>336</v>
      </c>
    </row>
    <row r="80" spans="1:7" ht="14.25" customHeight="1">
      <c r="A80" s="946" t="s">
        <v>28</v>
      </c>
      <c r="B80" s="984">
        <v>16090.6</v>
      </c>
      <c r="C80" s="984">
        <f>'12'!$Q$32</f>
        <v>17330.599999999999</v>
      </c>
      <c r="D80" s="984">
        <f>'12'!$Q$35</f>
        <v>18544.8</v>
      </c>
      <c r="E80" s="984">
        <f>'12'!$Q$38</f>
        <v>19398.8</v>
      </c>
      <c r="F80" s="984">
        <f>'12'!$Q$41</f>
        <v>19768.400000000001</v>
      </c>
      <c r="G80" s="942" t="s">
        <v>29</v>
      </c>
    </row>
    <row r="81" spans="1:7" ht="14.25" customHeight="1">
      <c r="A81" s="941" t="s">
        <v>337</v>
      </c>
      <c r="B81" s="990">
        <v>100.25920618107047</v>
      </c>
      <c r="C81" s="990">
        <f>C80/16049*100</f>
        <v>107.98554427067106</v>
      </c>
      <c r="D81" s="990">
        <f>D80/16049*100</f>
        <v>115.55112468066547</v>
      </c>
      <c r="E81" s="990">
        <f>E80/16049*100</f>
        <v>120.87232849398717</v>
      </c>
      <c r="F81" s="990">
        <f>F80/16049*100</f>
        <v>123.17527571811328</v>
      </c>
      <c r="G81" s="949" t="s">
        <v>338</v>
      </c>
    </row>
    <row r="82" spans="1:7" ht="14.25" customHeight="1">
      <c r="A82" s="941" t="s">
        <v>339</v>
      </c>
      <c r="B82" s="984">
        <v>10513</v>
      </c>
      <c r="C82" s="984">
        <f>'12'!$E$32</f>
        <v>11095</v>
      </c>
      <c r="D82" s="984">
        <f>'12'!$E$35</f>
        <v>11375</v>
      </c>
      <c r="E82" s="984">
        <f>'12'!$E$38</f>
        <v>11751</v>
      </c>
      <c r="F82" s="984">
        <f>'12'!$E$41</f>
        <v>11681.8</v>
      </c>
      <c r="G82" s="949" t="s">
        <v>340</v>
      </c>
    </row>
    <row r="83" spans="1:7" ht="14.25" customHeight="1">
      <c r="A83" s="941" t="s">
        <v>341</v>
      </c>
      <c r="B83" s="984">
        <v>2110</v>
      </c>
      <c r="C83" s="984">
        <f>'12'!$H$32</f>
        <v>2110</v>
      </c>
      <c r="D83" s="984">
        <f>'12'!$H$35</f>
        <v>2110</v>
      </c>
      <c r="E83" s="984">
        <f>'12'!$H$38</f>
        <v>2110</v>
      </c>
      <c r="F83" s="984">
        <f>'12'!$H$41</f>
        <v>2110</v>
      </c>
      <c r="G83" s="949" t="s">
        <v>342</v>
      </c>
    </row>
    <row r="84" spans="1:7" ht="14.25" customHeight="1">
      <c r="A84" s="941" t="s">
        <v>343</v>
      </c>
      <c r="B84" s="990">
        <v>129</v>
      </c>
      <c r="C84" s="990">
        <f>'12'!$O$32</f>
        <v>129</v>
      </c>
      <c r="D84" s="990">
        <f>'12'!$O$35</f>
        <v>150</v>
      </c>
      <c r="E84" s="990">
        <f>'12'!$O$38</f>
        <v>150</v>
      </c>
      <c r="F84" s="990">
        <f>'12'!$O$41</f>
        <v>150</v>
      </c>
      <c r="G84" s="949" t="s">
        <v>344</v>
      </c>
    </row>
    <row r="85" spans="1:7" ht="14.25" customHeight="1">
      <c r="A85" s="941" t="s">
        <v>345</v>
      </c>
      <c r="B85" s="984">
        <v>3338.6</v>
      </c>
      <c r="C85" s="984">
        <f>'12'!$L$32</f>
        <v>3996.6</v>
      </c>
      <c r="D85" s="984">
        <f>'12'!$L$35</f>
        <v>4909.8</v>
      </c>
      <c r="E85" s="984">
        <f>'12'!$L$38</f>
        <v>5387.8</v>
      </c>
      <c r="F85" s="984">
        <f>'12'!$L$41</f>
        <v>5826.6</v>
      </c>
      <c r="G85" s="949" t="s">
        <v>346</v>
      </c>
    </row>
    <row r="86" spans="1:7" s="932" customFormat="1" ht="20.25" customHeight="1">
      <c r="A86" s="955" t="s">
        <v>347</v>
      </c>
      <c r="B86" s="956"/>
      <c r="C86" s="956"/>
      <c r="D86" s="956"/>
      <c r="E86" s="956"/>
      <c r="F86" s="956"/>
      <c r="G86" s="957" t="s">
        <v>348</v>
      </c>
    </row>
    <row r="87" spans="1:7" s="932" customFormat="1" ht="20.25" customHeight="1">
      <c r="A87" s="965"/>
      <c r="B87" s="931"/>
      <c r="C87" s="931"/>
      <c r="D87" s="931"/>
      <c r="E87" s="931"/>
      <c r="F87" s="931"/>
      <c r="G87" s="966"/>
    </row>
    <row r="88" spans="1:7" s="932" customFormat="1" ht="20.25" customHeight="1">
      <c r="A88" s="965"/>
      <c r="B88" s="931"/>
      <c r="C88" s="931"/>
      <c r="D88" s="931"/>
      <c r="E88" s="931"/>
      <c r="F88" s="931"/>
      <c r="G88" s="966"/>
    </row>
    <row r="89" spans="1:7" s="932" customFormat="1" ht="20.25" customHeight="1">
      <c r="A89" s="930" t="s">
        <v>231</v>
      </c>
      <c r="B89" s="931"/>
      <c r="C89" s="931"/>
      <c r="D89" s="931"/>
      <c r="E89" s="931"/>
      <c r="F89" s="931"/>
      <c r="G89" s="931"/>
    </row>
    <row r="90" spans="1:7" s="932" customFormat="1" ht="18">
      <c r="A90" s="933" t="s">
        <v>232</v>
      </c>
      <c r="B90" s="931"/>
      <c r="C90" s="931"/>
      <c r="D90" s="931"/>
      <c r="E90" s="931"/>
      <c r="F90" s="931"/>
      <c r="G90" s="931"/>
    </row>
    <row r="92" spans="1:7" s="932" customFormat="1" ht="18" customHeight="1">
      <c r="A92" s="2598" t="s">
        <v>233</v>
      </c>
      <c r="B92" s="1537">
        <v>2025</v>
      </c>
      <c r="C92" s="1537"/>
      <c r="D92" s="1537"/>
      <c r="E92" s="1537"/>
      <c r="F92" s="1537">
        <v>2026</v>
      </c>
      <c r="G92" s="2601" t="s">
        <v>234</v>
      </c>
    </row>
    <row r="93" spans="1:7" s="935" customFormat="1" ht="14.9" customHeight="1">
      <c r="A93" s="2599"/>
      <c r="B93" s="934" t="s">
        <v>235</v>
      </c>
      <c r="C93" s="934" t="s">
        <v>235</v>
      </c>
      <c r="D93" s="934" t="s">
        <v>235</v>
      </c>
      <c r="E93" s="934" t="s">
        <v>235</v>
      </c>
      <c r="F93" s="934" t="s">
        <v>235</v>
      </c>
      <c r="G93" s="2602"/>
    </row>
    <row r="94" spans="1:7" s="935" customFormat="1" ht="14.9" customHeight="1">
      <c r="A94" s="2599"/>
      <c r="B94" s="936" t="s">
        <v>238</v>
      </c>
      <c r="C94" s="936" t="str">
        <f t="shared" ref="C94:D94" si="4">C6</f>
        <v>الثاني</v>
      </c>
      <c r="D94" s="936" t="str">
        <f t="shared" si="4"/>
        <v>الثالث</v>
      </c>
      <c r="E94" s="936" t="str">
        <f t="shared" ref="E94:F94" si="5">E6</f>
        <v>الرابع</v>
      </c>
      <c r="F94" s="936" t="str">
        <f t="shared" si="5"/>
        <v>الأول</v>
      </c>
      <c r="G94" s="2602"/>
    </row>
    <row r="95" spans="1:7" s="932" customFormat="1" ht="14.9" customHeight="1">
      <c r="A95" s="2600"/>
      <c r="B95" s="937" t="s">
        <v>242</v>
      </c>
      <c r="C95" s="937" t="str">
        <f t="shared" ref="C95:D95" si="6">C7</f>
        <v>Q2</v>
      </c>
      <c r="D95" s="937" t="str">
        <f t="shared" si="6"/>
        <v>Q3</v>
      </c>
      <c r="E95" s="937" t="str">
        <f t="shared" ref="E95:F95" si="7">E7</f>
        <v>Q4</v>
      </c>
      <c r="F95" s="937" t="str">
        <f t="shared" si="7"/>
        <v>Q1</v>
      </c>
      <c r="G95" s="2603"/>
    </row>
    <row r="96" spans="1:7" ht="20.25" customHeight="1">
      <c r="A96" s="943" t="s">
        <v>349</v>
      </c>
      <c r="B96" s="961"/>
      <c r="C96" s="961"/>
      <c r="D96" s="961"/>
      <c r="E96" s="961"/>
      <c r="F96" s="961"/>
      <c r="G96" s="945" t="s">
        <v>350</v>
      </c>
    </row>
    <row r="97" spans="1:7" ht="14.25" customHeight="1">
      <c r="A97" s="946" t="s">
        <v>166</v>
      </c>
      <c r="B97" s="991">
        <v>0.376</v>
      </c>
      <c r="C97" s="991">
        <f>'6'!$H$32</f>
        <v>0.376</v>
      </c>
      <c r="D97" s="991">
        <f>'6'!$H$35</f>
        <v>0.376</v>
      </c>
      <c r="E97" s="991">
        <f>'6'!$H$38</f>
        <v>0.376</v>
      </c>
      <c r="F97" s="991">
        <f>'6'!$H$41</f>
        <v>0.376</v>
      </c>
      <c r="G97" s="942" t="s">
        <v>351</v>
      </c>
    </row>
    <row r="98" spans="1:7" ht="14.25" customHeight="1">
      <c r="A98" s="946" t="s">
        <v>352</v>
      </c>
      <c r="B98" s="991">
        <v>0.48476900000000001</v>
      </c>
      <c r="C98" s="991">
        <f>'6'!$I$32</f>
        <v>0.51598299999999997</v>
      </c>
      <c r="D98" s="991">
        <f>'6'!$I$35</f>
        <v>0.50524599999999997</v>
      </c>
      <c r="E98" s="991">
        <f>'6'!$I$38</f>
        <v>0.50637500000000002</v>
      </c>
      <c r="F98" s="991">
        <f>'6'!$I$41</f>
        <v>0.49539299999999997</v>
      </c>
      <c r="G98" s="942" t="s">
        <v>353</v>
      </c>
    </row>
    <row r="99" spans="1:7" ht="14.25" customHeight="1">
      <c r="A99" s="946" t="s">
        <v>354</v>
      </c>
      <c r="B99" s="991">
        <v>0.40451300000000001</v>
      </c>
      <c r="C99" s="991">
        <f>'6'!$J$32</f>
        <v>0.44108700000000001</v>
      </c>
      <c r="D99" s="991">
        <f>'6'!$J$35</f>
        <v>0.441162</v>
      </c>
      <c r="E99" s="991">
        <f>'6'!$J$38</f>
        <v>0.441801</v>
      </c>
      <c r="F99" s="991">
        <f>'6'!$J$41</f>
        <v>0.43085699999999999</v>
      </c>
      <c r="G99" s="942" t="s">
        <v>355</v>
      </c>
    </row>
    <row r="100" spans="1:7" ht="14.25" customHeight="1">
      <c r="A100" s="946" t="s">
        <v>356</v>
      </c>
      <c r="B100" s="991">
        <v>2.5000000000000001E-3</v>
      </c>
      <c r="C100" s="991">
        <f>'6'!$K$32</f>
        <v>2.6029999999999998E-3</v>
      </c>
      <c r="D100" s="991">
        <f>'6'!$K$35</f>
        <v>2.5300000000000001E-3</v>
      </c>
      <c r="E100" s="991">
        <f>'6'!$K$38</f>
        <v>2.405E-3</v>
      </c>
      <c r="F100" s="991">
        <f>'6'!$K$41</f>
        <v>2.3530000000000001E-3</v>
      </c>
      <c r="G100" s="942" t="s">
        <v>357</v>
      </c>
    </row>
    <row r="101" spans="1:7" ht="20.25" customHeight="1">
      <c r="A101" s="943" t="s">
        <v>107</v>
      </c>
      <c r="B101" s="988"/>
      <c r="C101" s="988"/>
      <c r="D101" s="988"/>
      <c r="E101" s="988"/>
      <c r="F101" s="988"/>
      <c r="G101" s="945" t="s">
        <v>108</v>
      </c>
    </row>
    <row r="102" spans="1:7" ht="14.25" customHeight="1">
      <c r="A102" s="946" t="s">
        <v>358</v>
      </c>
      <c r="B102" s="984">
        <v>1951.37</v>
      </c>
      <c r="C102" s="984">
        <f>'55'!$H$32</f>
        <v>1943.81</v>
      </c>
      <c r="D102" s="984">
        <f>'55'!$H$35</f>
        <v>1948.17</v>
      </c>
      <c r="E102" s="984">
        <f>'55'!$H$38</f>
        <v>2066.54</v>
      </c>
      <c r="F102" s="984">
        <f>'55'!$H$41</f>
        <v>1899.079</v>
      </c>
      <c r="G102" s="942" t="s">
        <v>359</v>
      </c>
    </row>
    <row r="103" spans="1:7" ht="14.25" customHeight="1">
      <c r="A103" s="946" t="s">
        <v>360</v>
      </c>
      <c r="B103" s="984">
        <v>7558.81</v>
      </c>
      <c r="C103" s="984">
        <f>'55'!$I$32</f>
        <v>7556.17</v>
      </c>
      <c r="D103" s="984">
        <f>'55'!$I$35</f>
        <v>7573.13</v>
      </c>
      <c r="E103" s="984">
        <f>'55'!$I$38</f>
        <v>8033.26</v>
      </c>
      <c r="F103" s="984">
        <f>'55'!$I$41</f>
        <v>7367.5744285245028</v>
      </c>
      <c r="G103" s="942" t="s">
        <v>361</v>
      </c>
    </row>
    <row r="104" spans="1:7" ht="14.25" customHeight="1">
      <c r="A104" s="941" t="s">
        <v>252</v>
      </c>
      <c r="B104" s="984">
        <v>-1.7529972652878711</v>
      </c>
      <c r="C104" s="984">
        <f>(C103-B103)/B103%</f>
        <v>-3.4926132552615126E-2</v>
      </c>
      <c r="D104" s="984">
        <f>(D103-C103)/C103%</f>
        <v>0.22445233497922937</v>
      </c>
      <c r="E104" s="984">
        <f>(E103-D103)/D103%</f>
        <v>6.0758233385667495</v>
      </c>
      <c r="F104" s="984">
        <f>(F103-E103)/E103%</f>
        <v>-8.2866180289881992</v>
      </c>
      <c r="G104" s="948" t="s">
        <v>253</v>
      </c>
    </row>
    <row r="105" spans="1:7" ht="14.25" customHeight="1">
      <c r="A105" s="946" t="s">
        <v>362</v>
      </c>
      <c r="B105" s="1518">
        <v>20103.218085106382</v>
      </c>
      <c r="C105" s="1518">
        <f>C103/0.376</f>
        <v>20096.196808510638</v>
      </c>
      <c r="D105" s="1518">
        <f>D103/0.376</f>
        <v>20141.303191489362</v>
      </c>
      <c r="E105" s="1518">
        <f>E103/0.376</f>
        <v>21365.053191489362</v>
      </c>
      <c r="F105" s="1518">
        <f>F103/0.376</f>
        <v>19594.612841820486</v>
      </c>
      <c r="G105" s="942" t="s">
        <v>363</v>
      </c>
    </row>
    <row r="106" spans="1:7" ht="20.25" customHeight="1">
      <c r="A106" s="943" t="s">
        <v>364</v>
      </c>
      <c r="B106" s="988"/>
      <c r="C106" s="988"/>
      <c r="D106" s="988"/>
      <c r="E106" s="988"/>
      <c r="F106" s="988"/>
      <c r="G106" s="945" t="s">
        <v>365</v>
      </c>
    </row>
    <row r="107" spans="1:7" ht="14.25" customHeight="1">
      <c r="A107" s="946" t="s">
        <v>366</v>
      </c>
      <c r="B107" s="984">
        <v>3808.5833384450857</v>
      </c>
      <c r="C107" s="984">
        <v>3901.9286656793133</v>
      </c>
      <c r="D107" s="984">
        <v>3928.6786286256315</v>
      </c>
      <c r="E107" s="984">
        <v>4409.8434883291548</v>
      </c>
      <c r="F107" s="984"/>
      <c r="G107" s="942" t="s">
        <v>367</v>
      </c>
    </row>
    <row r="108" spans="1:7" ht="14.25" hidden="1" customHeight="1">
      <c r="A108" s="967" t="s">
        <v>368</v>
      </c>
      <c r="B108" s="992"/>
      <c r="C108" s="992"/>
      <c r="D108" s="992"/>
      <c r="E108" s="992"/>
      <c r="F108" s="992"/>
      <c r="G108" s="962" t="s">
        <v>369</v>
      </c>
    </row>
    <row r="109" spans="1:7" ht="20.25" customHeight="1">
      <c r="A109" s="968" t="s">
        <v>370</v>
      </c>
      <c r="B109" s="969"/>
      <c r="C109" s="969"/>
      <c r="D109" s="969"/>
      <c r="E109" s="969"/>
      <c r="F109" s="969"/>
      <c r="G109" s="970" t="s">
        <v>371</v>
      </c>
    </row>
    <row r="110" spans="1:7">
      <c r="A110" s="972"/>
      <c r="G110" s="973"/>
    </row>
    <row r="111" spans="1:7">
      <c r="G111" s="971"/>
    </row>
    <row r="121" spans="2:6">
      <c r="B121" s="950"/>
      <c r="C121" s="950"/>
      <c r="D121" s="950"/>
      <c r="E121" s="950"/>
      <c r="F121" s="950"/>
    </row>
  </sheetData>
  <mergeCells count="6">
    <mergeCell ref="A92:A95"/>
    <mergeCell ref="G92:G95"/>
    <mergeCell ref="G4:G7"/>
    <mergeCell ref="A4:A7"/>
    <mergeCell ref="A48:A51"/>
    <mergeCell ref="G48:G51"/>
  </mergeCells>
  <phoneticPr fontId="0" type="noConversion"/>
  <printOptions horizontalCentered="1"/>
  <pageMargins left="0" right="0" top="0.3" bottom="0" header="0.511811023622047" footer="0.511811023622047"/>
  <pageSetup paperSize="9" scale="81" orientation="landscape" r:id="rId1"/>
  <headerFooter alignWithMargins="0"/>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tabColor rgb="FFFF0000"/>
    <pageSetUpPr fitToPage="1"/>
  </sheetPr>
  <dimension ref="A1:S49"/>
  <sheetViews>
    <sheetView zoomScale="75" zoomScaleNormal="75" workbookViewId="0">
      <pane ySplit="12" topLeftCell="A41" activePane="bottomLeft" state="frozen"/>
      <selection activeCell="B44" sqref="B44"/>
      <selection pane="bottomLeft" activeCell="J50" sqref="J50"/>
    </sheetView>
  </sheetViews>
  <sheetFormatPr defaultColWidth="8.81640625" defaultRowHeight="12.5"/>
  <cols>
    <col min="1" max="2" width="9.7265625" customWidth="1"/>
    <col min="3" max="3" width="10.26953125" customWidth="1"/>
    <col min="4" max="4" width="12.7265625" customWidth="1"/>
    <col min="5" max="5" width="14" customWidth="1"/>
    <col min="6" max="6" width="14.7265625" customWidth="1"/>
    <col min="7" max="7" width="8.81640625" customWidth="1"/>
    <col min="8" max="8" width="12" customWidth="1"/>
    <col min="9" max="9" width="10.453125" customWidth="1"/>
    <col min="10" max="10" width="12.7265625" customWidth="1"/>
    <col min="11" max="11" width="14" customWidth="1"/>
    <col min="12" max="12" width="12.7265625" customWidth="1"/>
    <col min="13" max="13" width="9" customWidth="1"/>
    <col min="14" max="14" width="10.7265625" customWidth="1"/>
    <col min="15" max="15" width="12.7265625" customWidth="1"/>
    <col min="16" max="16" width="10.7265625" customWidth="1"/>
  </cols>
  <sheetData>
    <row r="1" spans="1:19" s="1104" customFormat="1" ht="18" customHeight="1">
      <c r="A1" s="1103" t="s">
        <v>1063</v>
      </c>
      <c r="B1" s="1090"/>
      <c r="C1" s="1090"/>
      <c r="D1" s="1090"/>
      <c r="E1" s="1090"/>
      <c r="F1" s="1090"/>
      <c r="G1" s="1090"/>
      <c r="H1" s="1090"/>
      <c r="I1" s="1090"/>
      <c r="J1" s="1090"/>
      <c r="K1" s="1090"/>
      <c r="L1" s="1090"/>
      <c r="M1" s="1090"/>
      <c r="N1" s="1090"/>
      <c r="O1" s="1090"/>
      <c r="P1" s="1090"/>
    </row>
    <row r="2" spans="1:19" s="1104" customFormat="1" ht="18" customHeight="1">
      <c r="A2" s="1105" t="s">
        <v>1033</v>
      </c>
      <c r="B2" s="1087"/>
      <c r="C2" s="1087"/>
      <c r="D2" s="1087"/>
      <c r="E2" s="1087"/>
      <c r="F2" s="1087"/>
      <c r="G2" s="1087"/>
      <c r="H2" s="1087"/>
      <c r="I2" s="1087"/>
      <c r="J2" s="1087"/>
      <c r="K2" s="1087"/>
      <c r="L2" s="1087"/>
      <c r="M2" s="1087"/>
      <c r="N2" s="1087"/>
      <c r="O2" s="1087"/>
      <c r="P2" s="1087"/>
    </row>
    <row r="3" spans="1:19" s="1104" customFormat="1" ht="18" customHeight="1">
      <c r="A3" s="1103" t="s">
        <v>1034</v>
      </c>
      <c r="B3" s="1087"/>
      <c r="C3" s="1087"/>
      <c r="D3" s="1087"/>
      <c r="E3" s="1087"/>
      <c r="F3" s="1087"/>
      <c r="G3" s="1087"/>
      <c r="H3" s="1087"/>
      <c r="I3" s="1087"/>
      <c r="J3" s="1087"/>
      <c r="K3" s="1087"/>
      <c r="L3" s="1087"/>
      <c r="M3" s="1087"/>
      <c r="N3" s="1087"/>
      <c r="O3" s="1087"/>
      <c r="P3" s="1087"/>
    </row>
    <row r="4" spans="1:19" s="1104" customFormat="1" ht="18" customHeight="1">
      <c r="A4" s="1073" t="s">
        <v>1064</v>
      </c>
      <c r="B4" s="1090"/>
      <c r="C4" s="1090"/>
      <c r="D4" s="1090"/>
      <c r="E4" s="1090"/>
      <c r="F4" s="1090"/>
      <c r="G4" s="1090"/>
      <c r="H4" s="1090"/>
      <c r="I4" s="1090"/>
      <c r="J4" s="1090"/>
      <c r="K4" s="1090"/>
      <c r="L4" s="1090"/>
      <c r="M4" s="1090"/>
      <c r="N4" s="1090"/>
      <c r="O4" s="1090"/>
      <c r="P4" s="1090"/>
    </row>
    <row r="5" spans="1:19" s="1111" customFormat="1" ht="20.25" customHeight="1">
      <c r="A5" s="1154" t="s">
        <v>1065</v>
      </c>
      <c r="B5" s="1081"/>
      <c r="C5" s="1081"/>
      <c r="D5" s="1081"/>
      <c r="E5" s="1081"/>
      <c r="F5" s="1081"/>
      <c r="G5" s="1081"/>
      <c r="H5" s="1081"/>
      <c r="I5" s="1081"/>
      <c r="J5" s="1081"/>
      <c r="K5" s="1081"/>
      <c r="L5" s="1081"/>
      <c r="M5" s="1081"/>
      <c r="N5" s="1081"/>
      <c r="O5" s="1081"/>
      <c r="P5" s="1081"/>
    </row>
    <row r="6" spans="1:19" ht="13.5" customHeight="1">
      <c r="A6" s="9" t="s">
        <v>377</v>
      </c>
      <c r="O6" s="9"/>
      <c r="P6" s="9" t="s">
        <v>378</v>
      </c>
    </row>
    <row r="7" spans="1:19" s="1181" customFormat="1" ht="23.25" customHeight="1">
      <c r="A7" s="1172"/>
      <c r="B7" s="1173"/>
      <c r="C7" s="1174" t="s">
        <v>832</v>
      </c>
      <c r="D7" s="1175"/>
      <c r="E7" s="1176"/>
      <c r="F7" s="1176"/>
      <c r="G7" s="1176"/>
      <c r="H7" s="1177" t="s">
        <v>833</v>
      </c>
      <c r="I7" s="1178" t="s">
        <v>1066</v>
      </c>
      <c r="J7" s="1179"/>
      <c r="K7" s="1176"/>
      <c r="L7" s="1176"/>
      <c r="M7" s="1176"/>
      <c r="N7" s="1177" t="s">
        <v>1067</v>
      </c>
      <c r="O7" s="1180"/>
      <c r="P7" s="1180"/>
    </row>
    <row r="8" spans="1:19" s="41" customFormat="1" ht="16.5" customHeight="1">
      <c r="A8" s="641" t="s">
        <v>387</v>
      </c>
      <c r="B8" s="83"/>
      <c r="D8" s="310" t="s">
        <v>510</v>
      </c>
      <c r="E8" s="310"/>
      <c r="F8" s="310" t="s">
        <v>394</v>
      </c>
      <c r="G8" s="642"/>
      <c r="I8" s="310"/>
      <c r="J8" s="310"/>
      <c r="K8" s="642" t="s">
        <v>1041</v>
      </c>
      <c r="L8" s="310" t="s">
        <v>394</v>
      </c>
      <c r="M8" s="643"/>
      <c r="O8" s="65" t="s">
        <v>835</v>
      </c>
      <c r="P8" s="310" t="s">
        <v>1042</v>
      </c>
    </row>
    <row r="9" spans="1:19" s="41" customFormat="1" ht="16.5" customHeight="1">
      <c r="A9" s="64" t="s">
        <v>395</v>
      </c>
      <c r="B9" s="76"/>
      <c r="C9" s="310" t="s">
        <v>441</v>
      </c>
      <c r="D9" s="311" t="s">
        <v>787</v>
      </c>
      <c r="E9" s="311" t="s">
        <v>398</v>
      </c>
      <c r="F9" s="311" t="s">
        <v>1068</v>
      </c>
      <c r="G9" s="97" t="s">
        <v>788</v>
      </c>
      <c r="H9" s="310" t="s">
        <v>1069</v>
      </c>
      <c r="I9" s="310" t="s">
        <v>441</v>
      </c>
      <c r="J9" s="81" t="s">
        <v>854</v>
      </c>
      <c r="K9" s="310" t="s">
        <v>1043</v>
      </c>
      <c r="L9" s="311" t="s">
        <v>1068</v>
      </c>
      <c r="M9" s="643" t="s">
        <v>399</v>
      </c>
      <c r="N9" s="310" t="s">
        <v>390</v>
      </c>
      <c r="O9" s="310" t="s">
        <v>382</v>
      </c>
      <c r="P9" s="65" t="s">
        <v>1044</v>
      </c>
    </row>
    <row r="10" spans="1:19" s="41" customFormat="1" ht="16.5" customHeight="1">
      <c r="A10" s="84"/>
      <c r="B10" s="76"/>
      <c r="C10" s="645"/>
      <c r="D10" s="109" t="s">
        <v>790</v>
      </c>
      <c r="E10" s="109" t="s">
        <v>476</v>
      </c>
      <c r="F10" s="109" t="s">
        <v>411</v>
      </c>
      <c r="G10" s="656"/>
      <c r="H10" s="241"/>
      <c r="I10" s="645"/>
      <c r="J10" s="109"/>
      <c r="K10" s="241" t="s">
        <v>1047</v>
      </c>
      <c r="L10" s="109" t="s">
        <v>411</v>
      </c>
      <c r="M10" s="646"/>
      <c r="N10" s="241"/>
      <c r="O10" s="645" t="s">
        <v>400</v>
      </c>
      <c r="P10" s="645" t="s">
        <v>1048</v>
      </c>
    </row>
    <row r="11" spans="1:19" s="41" customFormat="1" ht="16.5" customHeight="1">
      <c r="A11" s="84"/>
      <c r="B11" s="76"/>
      <c r="C11" s="645" t="s">
        <v>413</v>
      </c>
      <c r="D11" s="109" t="s">
        <v>792</v>
      </c>
      <c r="E11" s="109" t="s">
        <v>516</v>
      </c>
      <c r="F11" s="109" t="s">
        <v>418</v>
      </c>
      <c r="G11" s="109" t="s">
        <v>407</v>
      </c>
      <c r="H11" s="241" t="s">
        <v>400</v>
      </c>
      <c r="I11" s="241" t="s">
        <v>413</v>
      </c>
      <c r="J11" s="109" t="s">
        <v>792</v>
      </c>
      <c r="K11" s="65" t="s">
        <v>1052</v>
      </c>
      <c r="L11" s="109" t="s">
        <v>418</v>
      </c>
      <c r="M11" s="646" t="s">
        <v>407</v>
      </c>
      <c r="N11" s="241" t="s">
        <v>400</v>
      </c>
      <c r="O11" s="241" t="s">
        <v>381</v>
      </c>
      <c r="P11" s="241" t="s">
        <v>771</v>
      </c>
    </row>
    <row r="12" spans="1:19" s="41" customFormat="1" ht="16.5" customHeight="1">
      <c r="A12" s="89"/>
      <c r="B12" s="100"/>
      <c r="C12" s="649" t="s">
        <v>820</v>
      </c>
      <c r="D12" s="142"/>
      <c r="E12" s="650"/>
      <c r="F12" s="657"/>
      <c r="G12" s="142"/>
      <c r="H12" s="141"/>
      <c r="I12" s="141"/>
      <c r="J12" s="142"/>
      <c r="K12" s="132"/>
      <c r="L12" s="119"/>
      <c r="M12" s="142"/>
      <c r="N12" s="141"/>
      <c r="O12" s="141" t="s">
        <v>819</v>
      </c>
      <c r="P12" s="141" t="s">
        <v>1053</v>
      </c>
    </row>
    <row r="13" spans="1:19" s="41" customFormat="1" ht="21" customHeight="1">
      <c r="A13" s="263">
        <v>2016</v>
      </c>
      <c r="B13" s="62"/>
      <c r="C13" s="1659">
        <v>621.64555634643716</v>
      </c>
      <c r="D13" s="1660">
        <v>210.86665821162947</v>
      </c>
      <c r="E13" s="1661">
        <v>242.18564280398834</v>
      </c>
      <c r="F13" s="872">
        <v>135.67346461222417</v>
      </c>
      <c r="G13" s="1662">
        <v>60.5276914151952</v>
      </c>
      <c r="H13" s="1613">
        <v>1270.9190133894742</v>
      </c>
      <c r="I13" s="684">
        <v>229.96600000000001</v>
      </c>
      <c r="J13" s="1663">
        <v>29.878</v>
      </c>
      <c r="K13" s="1679">
        <v>0</v>
      </c>
      <c r="L13" s="1664">
        <v>8.2897783469999986</v>
      </c>
      <c r="M13" s="685">
        <v>1.04</v>
      </c>
      <c r="N13" s="1666">
        <v>269.173778347</v>
      </c>
      <c r="O13" s="1665">
        <v>1540.0927917364743</v>
      </c>
      <c r="P13" s="1654">
        <v>8.9</v>
      </c>
      <c r="Q13" s="355">
        <f>H13-C13-D13-E13-F13-G13</f>
        <v>1.9999999999917861E-2</v>
      </c>
      <c r="R13" s="355">
        <f>N13-I13-J13-K13-L13-M13</f>
        <v>-1.1546319456101628E-14</v>
      </c>
      <c r="S13" s="355">
        <f>O13-H13-N13</f>
        <v>0</v>
      </c>
    </row>
    <row r="14" spans="1:19" s="41" customFormat="1" ht="14.25" customHeight="1">
      <c r="A14" s="263">
        <v>2017</v>
      </c>
      <c r="B14" s="62"/>
      <c r="C14" s="1659">
        <v>502.50407615285201</v>
      </c>
      <c r="D14" s="1660">
        <v>65.549000000000007</v>
      </c>
      <c r="E14" s="1661">
        <v>258.07765769511997</v>
      </c>
      <c r="F14" s="872">
        <v>79.718753881003835</v>
      </c>
      <c r="G14" s="1662">
        <v>28.957433020996149</v>
      </c>
      <c r="H14" s="1613">
        <v>934.80692074997205</v>
      </c>
      <c r="I14" s="684">
        <v>329.57100000000003</v>
      </c>
      <c r="J14" s="1663">
        <v>25.216000000000001</v>
      </c>
      <c r="K14" s="1679">
        <v>4.0000000000000001E-3</v>
      </c>
      <c r="L14" s="1664">
        <v>2.96</v>
      </c>
      <c r="M14" s="685">
        <v>1.71</v>
      </c>
      <c r="N14" s="1666">
        <v>359.46100000000001</v>
      </c>
      <c r="O14" s="1665">
        <v>1294.2679207499718</v>
      </c>
      <c r="P14" s="1654">
        <v>0</v>
      </c>
      <c r="Q14" s="355">
        <v>1.1368683772161603E-13</v>
      </c>
      <c r="R14" s="355">
        <v>-1.4210854715202004E-14</v>
      </c>
      <c r="S14" s="355">
        <v>0</v>
      </c>
    </row>
    <row r="15" spans="1:19" s="274" customFormat="1" ht="14.25" customHeight="1">
      <c r="A15" s="263">
        <v>2018</v>
      </c>
      <c r="B15" s="1656"/>
      <c r="C15" s="1667">
        <v>519.93153725181548</v>
      </c>
      <c r="D15" s="1668">
        <v>53.591862137000007</v>
      </c>
      <c r="E15" s="1669">
        <v>222.623177791442</v>
      </c>
      <c r="F15" s="1670">
        <v>96.1531377137063</v>
      </c>
      <c r="G15" s="1671">
        <v>14.426666385293691</v>
      </c>
      <c r="H15" s="1667">
        <v>906.72638127925745</v>
      </c>
      <c r="I15" s="1667">
        <v>398.91481880213291</v>
      </c>
      <c r="J15" s="1672">
        <v>42.621000000000002</v>
      </c>
      <c r="K15" s="1680">
        <v>4.0000000000000001E-3</v>
      </c>
      <c r="L15" s="1672">
        <v>4.5670000000000002</v>
      </c>
      <c r="M15" s="1673">
        <v>5.2221811978670498</v>
      </c>
      <c r="N15" s="1674">
        <v>451.32900000000001</v>
      </c>
      <c r="O15" s="1675">
        <v>1358.0353812792571</v>
      </c>
      <c r="P15" s="1654">
        <v>0</v>
      </c>
      <c r="Q15" s="355">
        <v>-4.7961634663806763E-14</v>
      </c>
      <c r="R15" s="355">
        <v>4.2632564145606011E-14</v>
      </c>
      <c r="S15" s="355">
        <v>-2.0000000000379714E-2</v>
      </c>
    </row>
    <row r="16" spans="1:19" s="274" customFormat="1" ht="14.25" customHeight="1">
      <c r="A16" s="263">
        <v>2019</v>
      </c>
      <c r="B16" s="1656"/>
      <c r="C16" s="1667">
        <v>378.85739584516273</v>
      </c>
      <c r="D16" s="1668">
        <v>92.72399999999999</v>
      </c>
      <c r="E16" s="1669">
        <v>211.31852858888487</v>
      </c>
      <c r="F16" s="1670">
        <v>129.88868868643104</v>
      </c>
      <c r="G16" s="1671">
        <v>32.53535316127536</v>
      </c>
      <c r="H16" s="1667">
        <v>845.31396628175412</v>
      </c>
      <c r="I16" s="1667">
        <v>418.69491924500005</v>
      </c>
      <c r="J16" s="1672">
        <v>141.69500000000002</v>
      </c>
      <c r="K16" s="1680">
        <v>0</v>
      </c>
      <c r="L16" s="1672">
        <v>3.871</v>
      </c>
      <c r="M16" s="1673">
        <v>5.4079056029999997</v>
      </c>
      <c r="N16" s="1674">
        <v>569.66882484799987</v>
      </c>
      <c r="O16" s="1675">
        <v>1414.9827911297541</v>
      </c>
      <c r="P16" s="1654">
        <v>0</v>
      </c>
      <c r="Q16" s="355">
        <v>-9.9999999998701128E-3</v>
      </c>
      <c r="R16" s="355">
        <v>-2.007283228522283E-13</v>
      </c>
      <c r="S16" s="355">
        <v>0</v>
      </c>
    </row>
    <row r="17" spans="1:19" s="274" customFormat="1" ht="14.25" customHeight="1">
      <c r="A17" s="263">
        <v>2020</v>
      </c>
      <c r="B17" s="1656"/>
      <c r="C17" s="1667">
        <v>228.1280877787494</v>
      </c>
      <c r="D17" s="1668">
        <v>148.49605688999998</v>
      </c>
      <c r="E17" s="1669">
        <v>8.4</v>
      </c>
      <c r="F17" s="1670">
        <v>339.05228947759099</v>
      </c>
      <c r="G17" s="1671">
        <v>13.332620790098257</v>
      </c>
      <c r="H17" s="1667">
        <v>737.40905493643868</v>
      </c>
      <c r="I17" s="1667">
        <v>354.89112462628555</v>
      </c>
      <c r="J17" s="1672">
        <v>342.63294310999999</v>
      </c>
      <c r="K17" s="1680">
        <v>0</v>
      </c>
      <c r="L17" s="1672">
        <v>2.82</v>
      </c>
      <c r="M17" s="1673">
        <v>3.66</v>
      </c>
      <c r="N17" s="1674">
        <v>703.98406773628562</v>
      </c>
      <c r="O17" s="1675">
        <v>1441.3931226727243</v>
      </c>
      <c r="P17" s="1654">
        <v>0</v>
      </c>
      <c r="Q17" s="355">
        <v>4.6185277824406512E-14</v>
      </c>
      <c r="R17" s="355">
        <v>-1.9999999999906759E-2</v>
      </c>
      <c r="S17" s="355">
        <v>0</v>
      </c>
    </row>
    <row r="18" spans="1:19" s="274" customFormat="1" ht="14.25" customHeight="1">
      <c r="A18" s="263">
        <v>2021</v>
      </c>
      <c r="B18" s="1656"/>
      <c r="C18" s="1667">
        <v>277.99867975620919</v>
      </c>
      <c r="D18" s="1668">
        <v>117.62103641215771</v>
      </c>
      <c r="E18" s="1669">
        <v>6.3933975969999999</v>
      </c>
      <c r="F18" s="1670">
        <v>324.36147645317482</v>
      </c>
      <c r="G18" s="1671">
        <v>10.613990665393281</v>
      </c>
      <c r="H18" s="1667">
        <v>736.95858088393493</v>
      </c>
      <c r="I18" s="1667">
        <v>416.810991153656</v>
      </c>
      <c r="J18" s="1672">
        <v>236.86749219067937</v>
      </c>
      <c r="K18" s="1680">
        <v>0</v>
      </c>
      <c r="L18" s="1672">
        <v>6.3109999999999999</v>
      </c>
      <c r="M18" s="1673">
        <v>0.90318670012999969</v>
      </c>
      <c r="N18" s="1674">
        <v>660.89267004446538</v>
      </c>
      <c r="O18" s="1675">
        <v>1397.8512509284005</v>
      </c>
      <c r="P18" s="1654">
        <v>0</v>
      </c>
      <c r="Q18" s="355">
        <v>-3.0000000000050875E-2</v>
      </c>
      <c r="R18" s="355">
        <v>0</v>
      </c>
      <c r="S18" s="355">
        <v>0</v>
      </c>
    </row>
    <row r="19" spans="1:19" s="372" customFormat="1" ht="14.25" customHeight="1">
      <c r="A19" s="704">
        <v>2022</v>
      </c>
      <c r="B19" s="2364"/>
      <c r="C19" s="2365">
        <v>228.4913319768329</v>
      </c>
      <c r="D19" s="2416">
        <v>133.21857988603119</v>
      </c>
      <c r="E19" s="2366">
        <v>8.2460211609999998</v>
      </c>
      <c r="F19" s="2367">
        <v>357.9819663373674</v>
      </c>
      <c r="G19" s="2368">
        <v>30.954315245116842</v>
      </c>
      <c r="H19" s="2365">
        <v>758.89221460634826</v>
      </c>
      <c r="I19" s="2365">
        <v>832.00806159510489</v>
      </c>
      <c r="J19" s="2369">
        <v>351.82746053888661</v>
      </c>
      <c r="K19" s="2370">
        <v>0</v>
      </c>
      <c r="L19" s="2369">
        <v>9.5890000000000004</v>
      </c>
      <c r="M19" s="2371">
        <v>17.822329622760012</v>
      </c>
      <c r="N19" s="2372">
        <v>1211.2468517567513</v>
      </c>
      <c r="O19" s="2373">
        <v>1970.1390663630996</v>
      </c>
      <c r="P19" s="1853">
        <v>0</v>
      </c>
      <c r="Q19" s="483">
        <v>-1.1013412404281553E-13</v>
      </c>
      <c r="R19" s="483">
        <v>-2.0250467969162855E-13</v>
      </c>
      <c r="S19" s="483">
        <v>0</v>
      </c>
    </row>
    <row r="20" spans="1:19" s="372" customFormat="1" ht="14.25" customHeight="1">
      <c r="A20" s="704">
        <v>2023</v>
      </c>
      <c r="B20" s="2364"/>
      <c r="C20" s="2365">
        <v>1577.348384469715</v>
      </c>
      <c r="D20" s="2455">
        <v>2085.1103111051216</v>
      </c>
      <c r="E20" s="2366">
        <v>124.01586736534</v>
      </c>
      <c r="F20" s="2367">
        <v>892.65165115634807</v>
      </c>
      <c r="G20" s="2368">
        <v>89.052429943505132</v>
      </c>
      <c r="H20" s="2365">
        <v>4768.1786440400301</v>
      </c>
      <c r="I20" s="2365">
        <v>1334.4313168326421</v>
      </c>
      <c r="J20" s="2369">
        <v>957.14572534161687</v>
      </c>
      <c r="K20" s="2370">
        <v>0</v>
      </c>
      <c r="L20" s="2369">
        <v>1347.8860116270198</v>
      </c>
      <c r="M20" s="2371">
        <v>91.985524963642305</v>
      </c>
      <c r="N20" s="2372">
        <v>3731.4485787649201</v>
      </c>
      <c r="O20" s="2373">
        <v>8499.6272228049511</v>
      </c>
      <c r="P20" s="1853">
        <v>0</v>
      </c>
      <c r="Q20" s="483">
        <v>5.4001247917767614E-13</v>
      </c>
      <c r="R20" s="483">
        <v>-1.1226575225009583E-12</v>
      </c>
      <c r="S20" s="483">
        <v>0</v>
      </c>
    </row>
    <row r="21" spans="1:19" s="372" customFormat="1" ht="14.25" customHeight="1">
      <c r="A21" s="704">
        <v>2024</v>
      </c>
      <c r="B21" s="2364"/>
      <c r="C21" s="2365">
        <v>226.53072441698077</v>
      </c>
      <c r="D21" s="2455">
        <v>59.887828264590297</v>
      </c>
      <c r="E21" s="2366">
        <v>96.943428811029989</v>
      </c>
      <c r="F21" s="2367">
        <v>217.67840153944951</v>
      </c>
      <c r="G21" s="2368">
        <v>0.76622926499999999</v>
      </c>
      <c r="H21" s="2365">
        <v>601.77661229705063</v>
      </c>
      <c r="I21" s="2365">
        <v>63.241424999914308</v>
      </c>
      <c r="J21" s="2369">
        <v>0.96561100831000701</v>
      </c>
      <c r="K21" s="2370">
        <v>0</v>
      </c>
      <c r="L21" s="2369">
        <v>3.71</v>
      </c>
      <c r="M21" s="2371">
        <v>0</v>
      </c>
      <c r="N21" s="2372">
        <v>67.917036008224315</v>
      </c>
      <c r="O21" s="2373">
        <v>669.69364830527491</v>
      </c>
      <c r="P21" s="1853">
        <v>0</v>
      </c>
      <c r="Q21" s="1837">
        <v>-1.7097434579227411E-14</v>
      </c>
      <c r="R21" s="1837">
        <v>2.6645352591003757E-15</v>
      </c>
      <c r="S21" s="1837">
        <v>0</v>
      </c>
    </row>
    <row r="22" spans="1:19" s="372" customFormat="1" ht="14.25" customHeight="1">
      <c r="A22" s="1597">
        <v>2025</v>
      </c>
      <c r="B22" s="2218"/>
      <c r="C22" s="2219">
        <f t="shared" ref="C22:P22" si="0">C29</f>
        <v>283.1354847807288</v>
      </c>
      <c r="D22" s="2220">
        <f t="shared" si="0"/>
        <v>114.73297885631995</v>
      </c>
      <c r="E22" s="2221">
        <f t="shared" si="0"/>
        <v>74.162722478990005</v>
      </c>
      <c r="F22" s="2222">
        <f t="shared" si="0"/>
        <v>145.36001246574773</v>
      </c>
      <c r="G22" s="2223">
        <f t="shared" si="0"/>
        <v>2.8379999999999996</v>
      </c>
      <c r="H22" s="2219">
        <f t="shared" si="0"/>
        <v>620.22919858178648</v>
      </c>
      <c r="I22" s="2219">
        <f t="shared" si="0"/>
        <v>110.75358720028406</v>
      </c>
      <c r="J22" s="2224">
        <f t="shared" si="0"/>
        <v>12.645503327229994</v>
      </c>
      <c r="K22" s="2225">
        <f t="shared" si="0"/>
        <v>0</v>
      </c>
      <c r="L22" s="2224">
        <f t="shared" si="0"/>
        <v>8.5730000000000004</v>
      </c>
      <c r="M22" s="2226">
        <f t="shared" si="0"/>
        <v>0</v>
      </c>
      <c r="N22" s="2227">
        <f t="shared" si="0"/>
        <v>131.97209052751407</v>
      </c>
      <c r="O22" s="2228">
        <f t="shared" si="0"/>
        <v>752.20128910930055</v>
      </c>
      <c r="P22" s="2229">
        <f t="shared" si="0"/>
        <v>0</v>
      </c>
      <c r="Q22" s="1837">
        <f t="shared" ref="Q22" si="1">ROUND(H22,1)-ROUND(C22,1)-ROUND(D22,1)-ROUND(E22,1)-ROUND(F22,1)-ROUND(G22,1)</f>
        <v>3.9968028886505635E-14</v>
      </c>
      <c r="R22" s="1837">
        <f t="shared" ref="R22" si="2">ROUND(N22,1)-ROUND(I22,1)-ROUND(J22,1)-ROUND(K22,1)-ROUND(L22,1)-ROUND(M22,1)</f>
        <v>3.5527136788005009E-15</v>
      </c>
      <c r="S22" s="1837">
        <f t="shared" ref="S22" si="3">ROUND(O22,1)-ROUND(H22,1)-ROUND(N22,1)</f>
        <v>0</v>
      </c>
    </row>
    <row r="23" spans="1:19" s="274" customFormat="1" ht="21" customHeight="1">
      <c r="A23" s="263">
        <v>2024</v>
      </c>
      <c r="B23" s="885" t="s">
        <v>243</v>
      </c>
      <c r="C23" s="1659">
        <v>135.64840469074755</v>
      </c>
      <c r="D23" s="2156">
        <v>58.310438000000005</v>
      </c>
      <c r="E23" s="2157">
        <v>42.102060999999999</v>
      </c>
      <c r="F23" s="909">
        <v>251.28838334939712</v>
      </c>
      <c r="G23" s="2158">
        <v>0.10734068400000002</v>
      </c>
      <c r="H23" s="1659">
        <v>487.43662772414478</v>
      </c>
      <c r="I23" s="1659">
        <v>63.087414202319977</v>
      </c>
      <c r="J23" s="1663">
        <v>1.3962403492100053</v>
      </c>
      <c r="K23" s="2159">
        <v>0</v>
      </c>
      <c r="L23" s="1663">
        <v>15.481999999999999</v>
      </c>
      <c r="M23" s="1431">
        <v>0</v>
      </c>
      <c r="N23" s="2160">
        <v>79.965654551529965</v>
      </c>
      <c r="O23" s="1665">
        <v>567.42228227567466</v>
      </c>
      <c r="P23" s="1654">
        <v>0</v>
      </c>
      <c r="Q23" s="355">
        <v>-1.9999999999860629E-2</v>
      </c>
      <c r="R23" s="355">
        <v>-1.5987211554602254E-14</v>
      </c>
      <c r="S23" s="355">
        <v>1.9999999999910756E-2</v>
      </c>
    </row>
    <row r="24" spans="1:19" s="274" customFormat="1" ht="15" customHeight="1">
      <c r="A24" s="263"/>
      <c r="B24" s="885" t="s">
        <v>240</v>
      </c>
      <c r="C24" s="1659">
        <v>170.43236786383912</v>
      </c>
      <c r="D24" s="2156">
        <v>57.727215808250065</v>
      </c>
      <c r="E24" s="2157">
        <v>100.44834223101</v>
      </c>
      <c r="F24" s="909">
        <v>253.21181926896062</v>
      </c>
      <c r="G24" s="2158">
        <v>0.65</v>
      </c>
      <c r="H24" s="1659">
        <v>582.44179765905983</v>
      </c>
      <c r="I24" s="1659">
        <v>62.810804690347886</v>
      </c>
      <c r="J24" s="1663">
        <v>1.6912774212199981</v>
      </c>
      <c r="K24" s="2159">
        <v>0</v>
      </c>
      <c r="L24" s="1663">
        <v>3.1789999999999998</v>
      </c>
      <c r="M24" s="1431">
        <v>0</v>
      </c>
      <c r="N24" s="2160">
        <v>67.681082111567889</v>
      </c>
      <c r="O24" s="1665">
        <v>650.1428797706277</v>
      </c>
      <c r="P24" s="1654">
        <v>0</v>
      </c>
      <c r="Q24" s="355">
        <v>-2.7947512999980995E-2</v>
      </c>
      <c r="R24" s="355">
        <v>4.8849813083506888E-15</v>
      </c>
      <c r="S24" s="355">
        <v>1.999999999998181E-2</v>
      </c>
    </row>
    <row r="25" spans="1:19" s="274" customFormat="1" ht="15" customHeight="1">
      <c r="A25" s="263"/>
      <c r="B25" s="885" t="s">
        <v>241</v>
      </c>
      <c r="C25" s="1659">
        <v>226.53072441698077</v>
      </c>
      <c r="D25" s="2156">
        <v>59.887828264590297</v>
      </c>
      <c r="E25" s="2157">
        <v>96.943428811029989</v>
      </c>
      <c r="F25" s="909">
        <v>217.67840153944951</v>
      </c>
      <c r="G25" s="2158">
        <v>0.76622926499999999</v>
      </c>
      <c r="H25" s="1659">
        <v>601.77661229705063</v>
      </c>
      <c r="I25" s="1659">
        <v>63.241424999914308</v>
      </c>
      <c r="J25" s="1663">
        <v>0.96561100831000701</v>
      </c>
      <c r="K25" s="2159">
        <v>0</v>
      </c>
      <c r="L25" s="1663">
        <v>3.71</v>
      </c>
      <c r="M25" s="1431">
        <v>0</v>
      </c>
      <c r="N25" s="2160">
        <v>67.917036008224315</v>
      </c>
      <c r="O25" s="1665">
        <v>669.69364830527491</v>
      </c>
      <c r="P25" s="1654">
        <v>0</v>
      </c>
      <c r="Q25" s="1837">
        <v>-1.7097434579227411E-14</v>
      </c>
      <c r="R25" s="1837">
        <v>2.6645352591003757E-15</v>
      </c>
      <c r="S25" s="1837">
        <v>0</v>
      </c>
    </row>
    <row r="26" spans="1:19" s="274" customFormat="1" ht="21" customHeight="1">
      <c r="A26" s="263">
        <v>2025</v>
      </c>
      <c r="B26" s="885" t="s">
        <v>242</v>
      </c>
      <c r="C26" s="1659">
        <v>242.56343979939672</v>
      </c>
      <c r="D26" s="2156">
        <v>77.584598385309988</v>
      </c>
      <c r="E26" s="2157">
        <v>82.715979246019998</v>
      </c>
      <c r="F26" s="909">
        <v>210.23763790402148</v>
      </c>
      <c r="G26" s="2158">
        <v>2.1042899000000146E-2</v>
      </c>
      <c r="H26" s="1659">
        <v>613.10269823374813</v>
      </c>
      <c r="I26" s="1659">
        <v>63.737479881056991</v>
      </c>
      <c r="J26" s="1663">
        <v>6.9960518101599956</v>
      </c>
      <c r="K26" s="2159">
        <v>0</v>
      </c>
      <c r="L26" s="1663">
        <v>4.6639999999999997</v>
      </c>
      <c r="M26" s="1431">
        <v>0</v>
      </c>
      <c r="N26" s="2160">
        <v>75.397531691216983</v>
      </c>
      <c r="O26" s="1665">
        <v>688.50022992496508</v>
      </c>
      <c r="P26" s="1654">
        <v>0</v>
      </c>
      <c r="Q26" s="1837">
        <v>0</v>
      </c>
      <c r="R26" s="1837">
        <v>2.6645352591003757E-15</v>
      </c>
      <c r="S26" s="1837">
        <v>0</v>
      </c>
    </row>
    <row r="27" spans="1:19" s="274" customFormat="1" ht="15" customHeight="1">
      <c r="A27" s="263"/>
      <c r="B27" s="885" t="s">
        <v>243</v>
      </c>
      <c r="C27" s="1659">
        <v>255.9304422378201</v>
      </c>
      <c r="D27" s="2156">
        <v>71.305379247909997</v>
      </c>
      <c r="E27" s="2157">
        <v>85.194113346020004</v>
      </c>
      <c r="F27" s="909">
        <v>199.32538172825048</v>
      </c>
      <c r="G27" s="2158">
        <v>2.7840763900000001</v>
      </c>
      <c r="H27" s="1659">
        <v>614.53939295000066</v>
      </c>
      <c r="I27" s="1659">
        <v>63.945835993284746</v>
      </c>
      <c r="J27" s="1663">
        <v>9.0766998049899996</v>
      </c>
      <c r="K27" s="2159">
        <v>9.9328369600000035E-3</v>
      </c>
      <c r="L27" s="1663">
        <v>6.476</v>
      </c>
      <c r="M27" s="1431">
        <v>0</v>
      </c>
      <c r="N27" s="2160">
        <v>79.458468635234752</v>
      </c>
      <c r="O27" s="1665">
        <v>693.98786158523535</v>
      </c>
      <c r="P27" s="1654">
        <v>0</v>
      </c>
      <c r="Q27" s="1837">
        <v>1.1546319456101628E-14</v>
      </c>
      <c r="R27" s="1837">
        <v>1.7763568394002505E-15</v>
      </c>
      <c r="S27" s="1837">
        <v>0</v>
      </c>
    </row>
    <row r="28" spans="1:19" s="274" customFormat="1" ht="15" customHeight="1">
      <c r="A28" s="263"/>
      <c r="B28" s="885" t="s">
        <v>240</v>
      </c>
      <c r="C28" s="1659">
        <f t="shared" ref="C28:P28" si="4">C35</f>
        <v>241.25601742059885</v>
      </c>
      <c r="D28" s="2156">
        <f t="shared" si="4"/>
        <v>65.330107880170004</v>
      </c>
      <c r="E28" s="2157">
        <f t="shared" si="4"/>
        <v>79.209641501990006</v>
      </c>
      <c r="F28" s="909">
        <f t="shared" si="4"/>
        <v>195.3907474413777</v>
      </c>
      <c r="G28" s="2158">
        <f t="shared" si="4"/>
        <v>3.8680000000000003</v>
      </c>
      <c r="H28" s="1659">
        <f t="shared" si="4"/>
        <v>585.05451424413661</v>
      </c>
      <c r="I28" s="1659">
        <f t="shared" si="4"/>
        <v>97.739575032402996</v>
      </c>
      <c r="J28" s="1663">
        <f t="shared" si="4"/>
        <v>9.2366431841299974</v>
      </c>
      <c r="K28" s="2159">
        <f t="shared" si="4"/>
        <v>9.9593745599999908E-3</v>
      </c>
      <c r="L28" s="1663">
        <f t="shared" si="4"/>
        <v>7.3369999999999997</v>
      </c>
      <c r="M28" s="1431">
        <f t="shared" si="4"/>
        <v>0</v>
      </c>
      <c r="N28" s="2160">
        <f t="shared" si="4"/>
        <v>114.243177591093</v>
      </c>
      <c r="O28" s="1665">
        <f t="shared" si="4"/>
        <v>699.31769183522965</v>
      </c>
      <c r="P28" s="1654">
        <f t="shared" si="4"/>
        <v>0</v>
      </c>
      <c r="Q28" s="1837">
        <f t="shared" ref="Q28" si="5">ROUND(H28,1)-ROUND(C28,1)-ROUND(D28,1)-ROUND(E28,1)-ROUND(F28,1)-ROUND(G28,1)</f>
        <v>5.773159728050814E-15</v>
      </c>
      <c r="R28" s="1837">
        <f t="shared" ref="R28" si="6">ROUND(N28,1)-ROUND(I28,1)-ROUND(J28,1)-ROUND(K28,1)-ROUND(L28,1)-ROUND(M28,1)</f>
        <v>8.8817841970012523E-16</v>
      </c>
      <c r="S28" s="1837">
        <f t="shared" ref="S28" si="7">ROUND(O28,1)-ROUND(H28,1)-ROUND(N28,1)</f>
        <v>0</v>
      </c>
    </row>
    <row r="29" spans="1:19" s="274" customFormat="1" ht="15" customHeight="1">
      <c r="A29" s="263"/>
      <c r="B29" s="885" t="s">
        <v>241</v>
      </c>
      <c r="C29" s="1659">
        <f t="shared" ref="C29:P29" si="8">C38</f>
        <v>283.1354847807288</v>
      </c>
      <c r="D29" s="2156">
        <f t="shared" si="8"/>
        <v>114.73297885631995</v>
      </c>
      <c r="E29" s="2157">
        <f t="shared" si="8"/>
        <v>74.162722478990005</v>
      </c>
      <c r="F29" s="909">
        <f t="shared" si="8"/>
        <v>145.36001246574773</v>
      </c>
      <c r="G29" s="2158">
        <f t="shared" si="8"/>
        <v>2.8379999999999996</v>
      </c>
      <c r="H29" s="1659">
        <f t="shared" si="8"/>
        <v>620.22919858178648</v>
      </c>
      <c r="I29" s="1659">
        <f t="shared" si="8"/>
        <v>110.75358720028406</v>
      </c>
      <c r="J29" s="1663">
        <f t="shared" si="8"/>
        <v>12.645503327229994</v>
      </c>
      <c r="K29" s="2159">
        <f t="shared" si="8"/>
        <v>0</v>
      </c>
      <c r="L29" s="1663">
        <f t="shared" si="8"/>
        <v>8.5730000000000004</v>
      </c>
      <c r="M29" s="1431">
        <f t="shared" si="8"/>
        <v>0</v>
      </c>
      <c r="N29" s="2160">
        <f t="shared" si="8"/>
        <v>131.97209052751407</v>
      </c>
      <c r="O29" s="1665">
        <f t="shared" si="8"/>
        <v>752.20128910930055</v>
      </c>
      <c r="P29" s="1654">
        <f t="shared" si="8"/>
        <v>0</v>
      </c>
      <c r="Q29" s="1837">
        <f t="shared" ref="Q29" si="9">ROUND(H29,1)-ROUND(C29,1)-ROUND(D29,1)-ROUND(E29,1)-ROUND(F29,1)-ROUND(G29,1)</f>
        <v>3.9968028886505635E-14</v>
      </c>
      <c r="R29" s="1837">
        <f t="shared" ref="R29" si="10">ROUND(N29,1)-ROUND(I29,1)-ROUND(J29,1)-ROUND(K29,1)-ROUND(L29,1)-ROUND(M29,1)</f>
        <v>3.5527136788005009E-15</v>
      </c>
      <c r="S29" s="1837">
        <f t="shared" ref="S29" si="11">ROUND(O29,1)-ROUND(H29,1)-ROUND(N29,1)</f>
        <v>0</v>
      </c>
    </row>
    <row r="30" spans="1:19" s="274" customFormat="1" ht="21" customHeight="1">
      <c r="A30" s="1801">
        <v>2026</v>
      </c>
      <c r="B30" s="1687" t="s">
        <v>242</v>
      </c>
      <c r="C30" s="2147">
        <f t="shared" ref="C30:P30" si="12">C41</f>
        <v>292.03706993906337</v>
      </c>
      <c r="D30" s="2148">
        <f t="shared" si="12"/>
        <v>86.366473894670577</v>
      </c>
      <c r="E30" s="2149">
        <f t="shared" si="12"/>
        <v>70.360463838979996</v>
      </c>
      <c r="F30" s="1743">
        <f t="shared" si="12"/>
        <v>127.82125838106876</v>
      </c>
      <c r="G30" s="2150">
        <f t="shared" si="12"/>
        <v>1.0857394629999999</v>
      </c>
      <c r="H30" s="2147">
        <f t="shared" si="12"/>
        <v>577.67100551678277</v>
      </c>
      <c r="I30" s="2147">
        <f t="shared" si="12"/>
        <v>119.89305513434275</v>
      </c>
      <c r="J30" s="2151">
        <f t="shared" si="12"/>
        <v>5.0306509722999966</v>
      </c>
      <c r="K30" s="2152">
        <f t="shared" si="12"/>
        <v>0</v>
      </c>
      <c r="L30" s="2151">
        <f t="shared" si="12"/>
        <v>9.8569999999999993</v>
      </c>
      <c r="M30" s="1781">
        <f t="shared" si="12"/>
        <v>0</v>
      </c>
      <c r="N30" s="2153">
        <f t="shared" si="12"/>
        <v>134.78070610664273</v>
      </c>
      <c r="O30" s="2154">
        <f t="shared" si="12"/>
        <v>712.45171162342547</v>
      </c>
      <c r="P30" s="2532">
        <f t="shared" si="12"/>
        <v>0</v>
      </c>
      <c r="Q30" s="1837">
        <f t="shared" ref="Q30" si="13">ROUND(H30,1)-ROUND(C30,1)-ROUND(D30,1)-ROUND(E30,1)-ROUND(F30,1)-ROUND(G30,1)</f>
        <v>3.6859404417555197E-14</v>
      </c>
      <c r="R30" s="1837">
        <f t="shared" ref="R30" si="14">ROUND(N30,1)-ROUND(I30,1)-ROUND(J30,1)-ROUND(K30,1)-ROUND(L30,1)-ROUND(M30,1)</f>
        <v>5.3290705182007514E-15</v>
      </c>
      <c r="S30" s="1837">
        <f t="shared" ref="S30" si="15">ROUND(O30,1)-ROUND(H30,1)-ROUND(N30,1)</f>
        <v>0</v>
      </c>
    </row>
    <row r="31" spans="1:19" s="483" customFormat="1" ht="21" customHeight="1">
      <c r="A31" s="1782">
        <v>2025</v>
      </c>
      <c r="B31" s="1783" t="s">
        <v>427</v>
      </c>
      <c r="C31" s="1808">
        <v>259.90012465459142</v>
      </c>
      <c r="D31" s="1660">
        <v>77.300013886110065</v>
      </c>
      <c r="E31" s="1676">
        <v>85.194143685</v>
      </c>
      <c r="F31" s="1851">
        <v>207.39942251624609</v>
      </c>
      <c r="G31" s="1662">
        <v>2.94803112</v>
      </c>
      <c r="H31" s="1613">
        <v>632.74173586194752</v>
      </c>
      <c r="I31" s="1613">
        <v>63.41286183824495</v>
      </c>
      <c r="J31" s="1852">
        <v>8.9300362330000009</v>
      </c>
      <c r="K31" s="2462">
        <v>9.9766239999999964E-3</v>
      </c>
      <c r="L31" s="1834">
        <v>5.5750000000000002</v>
      </c>
      <c r="M31" s="1432">
        <v>0</v>
      </c>
      <c r="N31" s="1666">
        <v>77.86787469524495</v>
      </c>
      <c r="O31" s="1677">
        <v>710.60961055719258</v>
      </c>
      <c r="P31" s="1853">
        <v>0</v>
      </c>
      <c r="Q31" s="1837">
        <v>6.2616578588858829E-14</v>
      </c>
      <c r="R31" s="1837">
        <v>7.1054273576010019E-15</v>
      </c>
      <c r="S31" s="1837">
        <v>0</v>
      </c>
    </row>
    <row r="32" spans="1:19" s="483" customFormat="1" ht="16.5" customHeight="1">
      <c r="A32" s="1782"/>
      <c r="B32" s="1783" t="s">
        <v>428</v>
      </c>
      <c r="C32" s="1808">
        <f>SUM('[37]1'!$C$14:$D$14)+SUM('[37]1'!$C$18:$D$18)+SUM('[37]1'!$C$30:$D$30)+SUM('[37]1'!$C$33:$D$33)</f>
        <v>255.9304422378201</v>
      </c>
      <c r="D32" s="1660">
        <f>SUM('[37]1'!$C$25:$D$29)</f>
        <v>71.305379247909997</v>
      </c>
      <c r="E32" s="1676">
        <f>SUM('[37]1'!$C$23:$D$24)</f>
        <v>85.194113346020004</v>
      </c>
      <c r="F32" s="1851">
        <f>SUM('[37]1'!$C$34:$D$34)+SUM('[37]1'!$C$36:$D$36)</f>
        <v>199.32538172825048</v>
      </c>
      <c r="G32" s="1662">
        <f>SUM('[37]1'!$C$31:$D$31)+SUM('[37]1'!$C$37:$D$37)</f>
        <v>2.7840763900000001</v>
      </c>
      <c r="H32" s="1613">
        <f>SUM('[37]1'!$C$38:$D$38)</f>
        <v>614.53939295000066</v>
      </c>
      <c r="I32" s="1613">
        <f>SUM('[37]1'!$E$14:$H$14)+SUM('[37]1'!$E$18:$H$18)+SUM('[37]1'!$E$30:$H$30)</f>
        <v>63.945835993284746</v>
      </c>
      <c r="J32" s="1852">
        <f>SUM('[37]1'!$E$22:$H$22)</f>
        <v>9.0766998049899996</v>
      </c>
      <c r="K32" s="2480">
        <f>SUM('[37]1'!$E$33:$H$33)+0.06</f>
        <v>9.9328369600000035E-3</v>
      </c>
      <c r="L32" s="1834">
        <f>SUM('[37]1'!$E$34:$H$34)+SUM('[37]1'!$E$36:$H$36)</f>
        <v>6.476</v>
      </c>
      <c r="M32" s="1432">
        <f>SUM('[37]1'!$E$31:$H$31)+SUM('[37]1'!$E$32:$H$32)+SUM('[37]1'!$E$37:$H$37)</f>
        <v>0</v>
      </c>
      <c r="N32" s="2483">
        <f>SUM('[37]1'!$E$38:$H$38)+0.01</f>
        <v>79.458468635234752</v>
      </c>
      <c r="O32" s="1677">
        <f>'[37]1'!$I$38</f>
        <v>693.98786158523535</v>
      </c>
      <c r="P32" s="1853">
        <f>SUM('[37]1'!$I$40:$I$42)</f>
        <v>0</v>
      </c>
      <c r="Q32" s="1837">
        <f t="shared" ref="Q32" si="16">ROUND(H32,1)-ROUND(C32,1)-ROUND(D32,1)-ROUND(E32,1)-ROUND(F32,1)-ROUND(G32,1)</f>
        <v>1.1546319456101628E-14</v>
      </c>
      <c r="R32" s="1837">
        <f t="shared" ref="R32" si="17">ROUND(N32,1)-ROUND(I32,1)-ROUND(J32,1)-ROUND(K32,1)-ROUND(L32,1)-ROUND(M32,1)</f>
        <v>1.7763568394002505E-15</v>
      </c>
      <c r="S32" s="1837">
        <f t="shared" ref="S32" si="18">ROUND(O32,1)-ROUND(H32,1)-ROUND(N32,1)</f>
        <v>0</v>
      </c>
    </row>
    <row r="33" spans="1:19" s="483" customFormat="1" ht="16.5" customHeight="1">
      <c r="A33" s="1782"/>
      <c r="B33" s="1783" t="s">
        <v>429</v>
      </c>
      <c r="C33" s="1808">
        <f>SUM('[38]1'!$C$14:$D$14)+SUM('[38]1'!$C$18:$D$18)+SUM('[38]1'!$C$30:$D$30)+SUM('[38]1'!$C$33:$D$33)</f>
        <v>235.18607048798202</v>
      </c>
      <c r="D33" s="1660">
        <f>SUM('[38]1'!$C$25:$D$29)</f>
        <v>68.768972431910001</v>
      </c>
      <c r="E33" s="1676">
        <f>SUM('[38]1'!$C$23:$D$24)</f>
        <v>71.022872788000001</v>
      </c>
      <c r="F33" s="1851">
        <f>SUM('[38]1'!$C$34:$D$34)+SUM('[38]1'!$C$36:$D$36)</f>
        <v>204.02452605374731</v>
      </c>
      <c r="G33" s="1662">
        <f>SUM('[38]1'!$C$31:$D$31)+SUM('[38]1'!$C$37:$D$37)</f>
        <v>20.638999999999999</v>
      </c>
      <c r="H33" s="1613">
        <f>SUM('[38]1'!$C$38:$D$38)</f>
        <v>599.64144176163927</v>
      </c>
      <c r="I33" s="1613">
        <f>SUM('[38]1'!$E$14:$H$14)+SUM('[38]1'!$E$18:$H$18)+SUM('[38]1'!$E$30:$H$30)</f>
        <v>90.401397686532079</v>
      </c>
      <c r="J33" s="2485">
        <f>SUM('[38]1'!$E$22:$H$22)+0.03</f>
        <v>9.3631194869599987</v>
      </c>
      <c r="K33" s="2462">
        <f>SUM('[38]1'!$E$33:$H$33)</f>
        <v>0</v>
      </c>
      <c r="L33" s="1834">
        <f>SUM('[38]1'!$E$34:$H$34)+SUM('[38]1'!$E$36:$H$36)</f>
        <v>6.6269999999999998</v>
      </c>
      <c r="M33" s="1432">
        <f>SUM('[38]1'!$E$31:$H$31)+SUM('[38]1'!$E$32:$H$32)+SUM('[38]1'!$E$37:$H$37)</f>
        <v>0</v>
      </c>
      <c r="N33" s="1666">
        <f>SUM('[38]1'!$E$38:$H$38)</f>
        <v>106.36151717349208</v>
      </c>
      <c r="O33" s="1677">
        <f>'[38]1'!$I$38</f>
        <v>706.00295893513135</v>
      </c>
      <c r="P33" s="1853">
        <f>SUM('[38]1'!$I$40:$I$42)</f>
        <v>0</v>
      </c>
      <c r="Q33" s="1837">
        <f t="shared" ref="Q33" si="19">ROUND(H33,1)-ROUND(C33,1)-ROUND(D33,1)-ROUND(E33,1)-ROUND(F33,1)-ROUND(G33,1)</f>
        <v>0</v>
      </c>
      <c r="R33" s="1837">
        <f t="shared" ref="R33" si="20">ROUND(N33,1)-ROUND(I33,1)-ROUND(J33,1)-ROUND(K33,1)-ROUND(L33,1)-ROUND(M33,1)</f>
        <v>0</v>
      </c>
      <c r="S33" s="1837">
        <f t="shared" ref="S33" si="21">ROUND(O33,1)-ROUND(H33,1)-ROUND(N33,1)</f>
        <v>0</v>
      </c>
    </row>
    <row r="34" spans="1:19" s="483" customFormat="1" ht="16.5" customHeight="1">
      <c r="A34" s="1782"/>
      <c r="B34" s="1783" t="s">
        <v>430</v>
      </c>
      <c r="C34" s="1808">
        <f>SUM('[39]1'!$C$14:$D$14)+SUM('[39]1'!$C$18:$D$18)+SUM('[39]1'!$C$30:$D$30)+SUM('[39]1'!$C$33:$D$33)</f>
        <v>239.78223697608698</v>
      </c>
      <c r="D34" s="1660">
        <f>SUM('[39]1'!$C$25:$D$29)</f>
        <v>70.866530191809758</v>
      </c>
      <c r="E34" s="1676">
        <f>SUM('[39]1'!$C$23:$D$24)</f>
        <v>71.022872836999994</v>
      </c>
      <c r="F34" s="1851">
        <f>SUM('[39]1'!$C$34:$D$34)+SUM('[39]1'!$C$36:$D$36)</f>
        <v>205.60416498431439</v>
      </c>
      <c r="G34" s="1662">
        <f>SUM('[39]1'!$C$31:$D$31)+SUM('[39]1'!$C$37:$D$37)</f>
        <v>3.2356512400000002</v>
      </c>
      <c r="H34" s="1613">
        <f>SUM('[39]1'!$C$38:$D$38)</f>
        <v>590.51145622921103</v>
      </c>
      <c r="I34" s="1613">
        <f>SUM('[39]1'!$E$14:$H$14)+SUM('[39]1'!$E$18:$H$18)+SUM('[39]1'!$E$30:$H$30)</f>
        <v>90.592092972588574</v>
      </c>
      <c r="J34" s="2485">
        <f>SUM('[39]1'!$E$22:$H$22)-0.01</f>
        <v>9.2421017081399945</v>
      </c>
      <c r="K34" s="2462">
        <f>SUM('[39]1'!$E$33:$H$33)</f>
        <v>0</v>
      </c>
      <c r="L34" s="1834">
        <f>SUM('[39]1'!$E$34:$H$34)+SUM('[39]1'!$E$36:$H$36)</f>
        <v>7.06</v>
      </c>
      <c r="M34" s="1432">
        <f>SUM('[39]1'!$E$31:$H$31)+SUM('[39]1'!$E$32:$H$32)+SUM('[39]1'!$E$37:$H$37)</f>
        <v>0</v>
      </c>
      <c r="N34" s="1666">
        <f>SUM('[39]1'!$E$38:$H$38)</f>
        <v>106.90419468072858</v>
      </c>
      <c r="O34" s="1677">
        <f>'[39]1'!$I$38</f>
        <v>697.41565090993981</v>
      </c>
      <c r="P34" s="1853">
        <f>SUM('[39]1'!$I$40:$I$42)</f>
        <v>0</v>
      </c>
      <c r="Q34" s="1837">
        <f t="shared" ref="Q34" si="22">ROUND(H34,1)-ROUND(C34,1)-ROUND(D34,1)-ROUND(E34,1)-ROUND(F34,1)-ROUND(G34,1)</f>
        <v>-3.9968028886505635E-14</v>
      </c>
      <c r="R34" s="1837">
        <f t="shared" ref="R34" si="23">ROUND(N34,1)-ROUND(I34,1)-ROUND(J34,1)-ROUND(K34,1)-ROUND(L34,1)-ROUND(M34,1)</f>
        <v>1.2434497875801753E-14</v>
      </c>
      <c r="S34" s="1837">
        <f t="shared" ref="S34" si="24">ROUND(O34,1)-ROUND(H34,1)-ROUND(N34,1)</f>
        <v>0</v>
      </c>
    </row>
    <row r="35" spans="1:19" s="483" customFormat="1" ht="16.5" customHeight="1">
      <c r="A35" s="1782"/>
      <c r="B35" s="1783" t="s">
        <v>431</v>
      </c>
      <c r="C35" s="1808">
        <f>SUM('[40]1'!$C$14:$D$14)+SUM('[40]1'!$C$18:$D$18)+SUM('[40]1'!$C$30:$D$30)+SUM('[40]1'!$C$33:$D$33)</f>
        <v>241.25601742059885</v>
      </c>
      <c r="D35" s="1660">
        <f>SUM('[40]1'!$C$25:$D$29)</f>
        <v>65.330107880170004</v>
      </c>
      <c r="E35" s="1676">
        <f>SUM('[40]1'!$C$23:$D$24)</f>
        <v>79.209641501990006</v>
      </c>
      <c r="F35" s="1851">
        <f>SUM('[40]1'!$C$34:$D$34)+SUM('[40]1'!$C$36:$D$36)</f>
        <v>195.3907474413777</v>
      </c>
      <c r="G35" s="1662">
        <f>SUM('[40]1'!$C$31:$D$31)+SUM('[40]1'!$C$37:$D$37)</f>
        <v>3.8680000000000003</v>
      </c>
      <c r="H35" s="1613">
        <f>SUM('[40]1'!$C$38:$D$38)</f>
        <v>585.05451424413661</v>
      </c>
      <c r="I35" s="1613">
        <f>SUM('[40]1'!$E$14:$H$14)+SUM('[40]1'!$E$18:$H$18)+SUM('[40]1'!$E$30:$H$30)</f>
        <v>97.739575032402996</v>
      </c>
      <c r="J35" s="1852">
        <f>SUM('[40]1'!$E$22:$H$22)</f>
        <v>9.2366431841299974</v>
      </c>
      <c r="K35" s="2480">
        <f>SUM('[40]1'!$E$33:$H$33)+0.06</f>
        <v>9.9593745599999908E-3</v>
      </c>
      <c r="L35" s="1834">
        <f>SUM('[40]1'!$E$34:$H$34)+SUM('[40]1'!$E$36:$H$36)</f>
        <v>7.3369999999999997</v>
      </c>
      <c r="M35" s="1432">
        <f>SUM('[40]1'!$E$31:$H$31)+SUM('[40]1'!$E$32:$H$32)+SUM('[40]1'!$E$37:$H$37)</f>
        <v>0</v>
      </c>
      <c r="N35" s="2483">
        <f>SUM('[40]1'!$E$38:$H$38)-0.02</f>
        <v>114.243177591093</v>
      </c>
      <c r="O35" s="1677">
        <f>'[40]1'!$I$38</f>
        <v>699.31769183522965</v>
      </c>
      <c r="P35" s="1853">
        <f>SUM('[40]1'!$I$40:$I$42)</f>
        <v>0</v>
      </c>
      <c r="Q35" s="1837">
        <f t="shared" ref="Q35" si="25">ROUND(H35,1)-ROUND(C35,1)-ROUND(D35,1)-ROUND(E35,1)-ROUND(F35,1)-ROUND(G35,1)</f>
        <v>5.773159728050814E-15</v>
      </c>
      <c r="R35" s="1837">
        <f t="shared" ref="R35" si="26">ROUND(N35,1)-ROUND(I35,1)-ROUND(J35,1)-ROUND(K35,1)-ROUND(L35,1)-ROUND(M35,1)</f>
        <v>8.8817841970012523E-16</v>
      </c>
      <c r="S35" s="1837">
        <f t="shared" ref="S35" si="27">ROUND(O35,1)-ROUND(H35,1)-ROUND(N35,1)</f>
        <v>0</v>
      </c>
    </row>
    <row r="36" spans="1:19" s="483" customFormat="1" ht="16.5" customHeight="1">
      <c r="A36" s="1782"/>
      <c r="B36" s="1783" t="s">
        <v>420</v>
      </c>
      <c r="C36" s="1808">
        <f>SUM('[41]1'!$C$14:$D$14)+SUM('[41]1'!$C$18:$D$18)+SUM('[41]1'!$C$30:$D$30)+SUM('[41]1'!$C$33:$D$33)</f>
        <v>255.1914692546402</v>
      </c>
      <c r="D36" s="1660">
        <f>SUM('[41]1'!$C$25:$D$29)</f>
        <v>70.268063485720006</v>
      </c>
      <c r="E36" s="2491">
        <f>SUM('[41]1'!$C$23:$D$24)-0.02</f>
        <v>74.142714417990007</v>
      </c>
      <c r="F36" s="1851">
        <f>SUM('[41]1'!$C$34:$D$34)+SUM('[41]1'!$C$36:$D$36)</f>
        <v>185.97453111499703</v>
      </c>
      <c r="G36" s="1662">
        <f>SUM('[41]1'!$C$31:$D$31)+SUM('[41]1'!$C$37:$D$37)</f>
        <v>2.4790000000000001</v>
      </c>
      <c r="H36" s="1613">
        <f>SUM('[41]1'!$C$38:$D$38)</f>
        <v>588.07577827334717</v>
      </c>
      <c r="I36" s="1613">
        <f>SUM('[41]1'!$E$14:$H$14)+SUM('[41]1'!$E$18:$H$18)+SUM('[41]1'!$E$30:$H$30)</f>
        <v>101.03196824150777</v>
      </c>
      <c r="J36" s="1852">
        <f>SUM('[41]1'!$E$22:$H$22)</f>
        <v>9.161128183140006</v>
      </c>
      <c r="K36" s="2462">
        <f>SUM('[41]1'!$E$33:$H$33)</f>
        <v>0</v>
      </c>
      <c r="L36" s="1834">
        <f>SUM('[41]1'!$E$34:$H$34)+SUM('[41]1'!$E$36:$H$36)</f>
        <v>7.532</v>
      </c>
      <c r="M36" s="1432">
        <f>SUM('[41]1'!$E$31:$H$31)+SUM('[41]1'!$E$32:$H$32)+SUM('[41]1'!$E$37:$H$37)</f>
        <v>0</v>
      </c>
      <c r="N36" s="1666">
        <f>SUM('[41]1'!$E$38:$H$38)</f>
        <v>117.72509642464777</v>
      </c>
      <c r="O36" s="1677">
        <f>'[41]1'!$I$38</f>
        <v>705.80087469799503</v>
      </c>
      <c r="P36" s="1853">
        <f>SUM('[41]1'!$I$40:$I$42)</f>
        <v>0</v>
      </c>
      <c r="Q36" s="1837">
        <f t="shared" ref="Q36" si="28">ROUND(H36,1)-ROUND(C36,1)-ROUND(D36,1)-ROUND(E36,1)-ROUND(F36,1)-ROUND(G36,1)</f>
        <v>2.8421709430404007E-14</v>
      </c>
      <c r="R36" s="1837">
        <f t="shared" ref="R36" si="29">ROUND(N36,1)-ROUND(I36,1)-ROUND(J36,1)-ROUND(K36,1)-ROUND(L36,1)-ROUND(M36,1)</f>
        <v>3.5527136788005009E-15</v>
      </c>
      <c r="S36" s="1837">
        <f t="shared" ref="S36" si="30">ROUND(O36,1)-ROUND(H36,1)-ROUND(N36,1)</f>
        <v>0</v>
      </c>
    </row>
    <row r="37" spans="1:19" s="483" customFormat="1" ht="16.5" customHeight="1">
      <c r="A37" s="1782"/>
      <c r="B37" s="1783" t="s">
        <v>421</v>
      </c>
      <c r="C37" s="1808">
        <f>SUM('[42]1'!$C$14:$D$14)+SUM('[42]1'!$C$18:$D$18)+SUM('[42]1'!$C$30:$D$30)+SUM('[42]1'!$C$33:$D$33)</f>
        <v>249.51725225669028</v>
      </c>
      <c r="D37" s="1660">
        <f>SUM('[42]1'!$C$25:$D$29)</f>
        <v>109.14082884025024</v>
      </c>
      <c r="E37" s="1676">
        <f>SUM('[42]1'!$C$23:$D$24)</f>
        <v>74.162718521990001</v>
      </c>
      <c r="F37" s="1851">
        <f>SUM('[42]1'!$C$34:$D$34)+SUM('[42]1'!$C$36:$D$36)</f>
        <v>185.97453111499703</v>
      </c>
      <c r="G37" s="1662">
        <f>SUM('[42]1'!$C$31:$D$31)+SUM('[42]1'!$C$37:$D$37)</f>
        <v>3.2907469630000001</v>
      </c>
      <c r="H37" s="1613">
        <f>SUM('[42]1'!$C$38:$D$38)</f>
        <v>622.08607769692753</v>
      </c>
      <c r="I37" s="1613">
        <f>SUM('[42]1'!$E$14:$H$14)+SUM('[42]1'!$E$18:$H$18)+SUM('[42]1'!$E$30:$H$30)</f>
        <v>101.01996824150777</v>
      </c>
      <c r="J37" s="1852">
        <f>SUM('[42]1'!$E$22:$H$22)</f>
        <v>5.640071851170001</v>
      </c>
      <c r="K37" s="2462">
        <f>SUM('[42]1'!$E$33:$H$33)</f>
        <v>0</v>
      </c>
      <c r="L37" s="1834">
        <f>SUM('[42]1'!$E$34:$H$34)+SUM('[42]1'!$E$36:$H$36)</f>
        <v>8.2970000000000006</v>
      </c>
      <c r="M37" s="1432">
        <f>SUM('[42]1'!$E$31:$H$31)+SUM('[42]1'!$E$32:$H$32)+SUM('[42]1'!$E$37:$H$37)</f>
        <v>0</v>
      </c>
      <c r="N37" s="2483">
        <f>SUM('[42]1'!$E$38:$H$38)-0.02</f>
        <v>114.93704009267778</v>
      </c>
      <c r="O37" s="1677">
        <f>'[42]1'!$I$38</f>
        <v>737.04311778960539</v>
      </c>
      <c r="P37" s="1853">
        <f>SUM('[42]1'!$I$40:$I$42)</f>
        <v>0</v>
      </c>
      <c r="Q37" s="1837">
        <f t="shared" ref="Q37" si="31">ROUND(H37,1)-ROUND(C37,1)-ROUND(D37,1)-ROUND(E37,1)-ROUND(F37,1)-ROUND(G37,1)</f>
        <v>1.1546319456101628E-14</v>
      </c>
      <c r="R37" s="1837">
        <f t="shared" ref="R37" si="32">ROUND(N37,1)-ROUND(I37,1)-ROUND(J37,1)-ROUND(K37,1)-ROUND(L37,1)-ROUND(M37,1)</f>
        <v>5.3290705182007514E-15</v>
      </c>
      <c r="S37" s="1837">
        <f t="shared" ref="S37" si="33">ROUND(O37,1)-ROUND(H37,1)-ROUND(N37,1)</f>
        <v>0</v>
      </c>
    </row>
    <row r="38" spans="1:19" s="483" customFormat="1" ht="16.5" customHeight="1">
      <c r="A38" s="1782"/>
      <c r="B38" s="1783" t="s">
        <v>422</v>
      </c>
      <c r="C38" s="1808">
        <f>SUM('[43]1'!$C$14:$D$14)+SUM('[43]1'!$C$18:$D$18)+SUM('[43]1'!$C$30:$D$30)+SUM('[43]1'!$C$33:$D$33)</f>
        <v>283.1354847807288</v>
      </c>
      <c r="D38" s="1660">
        <f>SUM('[43]1'!$C$25:$D$29)</f>
        <v>114.73297885631995</v>
      </c>
      <c r="E38" s="1676">
        <f>SUM('[43]1'!$C$23:$D$24)</f>
        <v>74.162722478990005</v>
      </c>
      <c r="F38" s="1851">
        <f>SUM('[43]1'!$C$34:$D$34)+SUM('[43]1'!$C$36:$D$36)</f>
        <v>145.36001246574773</v>
      </c>
      <c r="G38" s="1662">
        <f>SUM('[43]1'!$C$31:$D$31)+SUM('[43]1'!$C$37:$D$37)</f>
        <v>2.8379999999999996</v>
      </c>
      <c r="H38" s="1613">
        <f>SUM('[43]1'!$C$38:$D$38)</f>
        <v>620.22919858178648</v>
      </c>
      <c r="I38" s="1613">
        <f>SUM('[43]1'!$E$14:$H$14)+SUM('[43]1'!$E$18:$H$18)+SUM('[43]1'!$E$30:$H$30)</f>
        <v>110.75358720028406</v>
      </c>
      <c r="J38" s="1852">
        <f>SUM('[43]1'!$E$22:$H$22)</f>
        <v>12.645503327229994</v>
      </c>
      <c r="K38" s="2462">
        <f>SUM('[43]1'!$E$33:$H$33)</f>
        <v>0</v>
      </c>
      <c r="L38" s="1834">
        <f>SUM('[43]1'!$E$34:$H$34)+SUM('[43]1'!$E$36:$H$36)</f>
        <v>8.5730000000000004</v>
      </c>
      <c r="M38" s="1432">
        <f>SUM('[43]1'!$E$31:$H$31)+SUM('[43]1'!$E$32:$H$32)+SUM('[43]1'!$E$37:$H$37)</f>
        <v>0</v>
      </c>
      <c r="N38" s="1666">
        <f>SUM('[43]1'!$E$38:$H$38)</f>
        <v>131.97209052751407</v>
      </c>
      <c r="O38" s="1677">
        <f>'[43]1'!$I$38</f>
        <v>752.20128910930055</v>
      </c>
      <c r="P38" s="1853">
        <f>SUM('[43]1'!$I$40:$I$42)</f>
        <v>0</v>
      </c>
      <c r="Q38" s="1837">
        <f t="shared" ref="Q38" si="34">ROUND(H38,1)-ROUND(C38,1)-ROUND(D38,1)-ROUND(E38,1)-ROUND(F38,1)-ROUND(G38,1)</f>
        <v>3.9968028886505635E-14</v>
      </c>
      <c r="R38" s="1837">
        <f t="shared" ref="R38" si="35">ROUND(N38,1)-ROUND(I38,1)-ROUND(J38,1)-ROUND(K38,1)-ROUND(L38,1)-ROUND(M38,1)</f>
        <v>3.5527136788005009E-15</v>
      </c>
      <c r="S38" s="1837">
        <f t="shared" ref="S38" si="36">ROUND(O38,1)-ROUND(H38,1)-ROUND(N38,1)</f>
        <v>0</v>
      </c>
    </row>
    <row r="39" spans="1:19" s="483" customFormat="1" ht="21" customHeight="1">
      <c r="A39" s="1782">
        <v>2026</v>
      </c>
      <c r="B39" s="1783" t="s">
        <v>423</v>
      </c>
      <c r="C39" s="1808">
        <f>SUM('[44]1'!$C$14:$D$14)+SUM('[44]1'!$C$18:$D$18)+SUM('[44]1'!$C$30:$D$30)+SUM('[44]1'!$C$33:$D$33)</f>
        <v>274.76175499453217</v>
      </c>
      <c r="D39" s="1660">
        <f>SUM('[44]1'!$C$25:$D$29)</f>
        <v>112.89746304270969</v>
      </c>
      <c r="E39" s="1676">
        <f>SUM('[44]1'!$C$23:$D$24)</f>
        <v>76.341783070990004</v>
      </c>
      <c r="F39" s="1851">
        <f>SUM('[44]1'!$C$34:$D$34)+SUM('[44]1'!$C$36:$D$36)</f>
        <v>156.04813006081218</v>
      </c>
      <c r="G39" s="1662">
        <f>SUM('[44]1'!$C$31:$D$31)+SUM('[44]1'!$C$37:$D$37)</f>
        <v>3.9780808350000001</v>
      </c>
      <c r="H39" s="1613">
        <f>SUM('[44]1'!$C$38:$D$38)</f>
        <v>624.02721200404403</v>
      </c>
      <c r="I39" s="1613">
        <f>SUM('[44]1'!$E$14:$H$14)+SUM('[44]1'!$E$18:$H$18)+SUM('[44]1'!$E$30:$H$30)</f>
        <v>119.74178569011615</v>
      </c>
      <c r="J39" s="1852">
        <f>SUM('[44]1'!$E$22:$H$22)</f>
        <v>5.0773866362500071</v>
      </c>
      <c r="K39" s="2462">
        <f>SUM('[44]1'!$E$33:$H$33)</f>
        <v>0</v>
      </c>
      <c r="L39" s="1834">
        <f>SUM('[44]1'!$E$34:$H$34)+SUM('[44]1'!$E$36:$H$36)</f>
        <v>9.1</v>
      </c>
      <c r="M39" s="1432">
        <f>SUM('[44]1'!$E$31:$H$31)+SUM('[44]1'!$E$32:$H$32)+SUM('[44]1'!$E$37:$H$37)</f>
        <v>0</v>
      </c>
      <c r="N39" s="1666">
        <f>SUM('[44]1'!$E$38:$H$38)</f>
        <v>133.91917232636615</v>
      </c>
      <c r="O39" s="1677">
        <f>'[44]1'!$I$38</f>
        <v>757.94638433041007</v>
      </c>
      <c r="P39" s="1853">
        <f>SUM('[44]1'!$I$40:$I$42)</f>
        <v>0</v>
      </c>
      <c r="Q39" s="1837">
        <f t="shared" ref="Q39" si="37">ROUND(H39,1)-ROUND(C39,1)-ROUND(D39,1)-ROUND(E39,1)-ROUND(F39,1)-ROUND(G39,1)</f>
        <v>0</v>
      </c>
      <c r="R39" s="1837">
        <f t="shared" ref="R39" si="38">ROUND(N39,1)-ROUND(I39,1)-ROUND(J39,1)-ROUND(K39,1)-ROUND(L39,1)-ROUND(M39,1)</f>
        <v>3.5527136788005009E-15</v>
      </c>
      <c r="S39" s="1837">
        <f t="shared" ref="S39" si="39">ROUND(O39,1)-ROUND(H39,1)-ROUND(N39,1)</f>
        <v>0</v>
      </c>
    </row>
    <row r="40" spans="1:19" s="483" customFormat="1" ht="16.5" customHeight="1">
      <c r="A40" s="1782"/>
      <c r="B40" s="1783" t="s">
        <v>424</v>
      </c>
      <c r="C40" s="1808">
        <f>SUM('[45]1'!$C$14:$D$14)+SUM('[45]1'!$C$18:$D$18)+SUM('[45]1'!$C$30:$D$30)+SUM('[45]1'!$C$33:$D$33)</f>
        <v>291.37934349270779</v>
      </c>
      <c r="D40" s="1660">
        <f>SUM('[45]1'!$C$25:$D$29)</f>
        <v>104.87216020330995</v>
      </c>
      <c r="E40" s="1676">
        <f>SUM('[45]1'!$C$23:$D$24)</f>
        <v>69.341786350990006</v>
      </c>
      <c r="F40" s="1851">
        <f>SUM('[45]1'!$C$34:$D$34)+SUM('[45]1'!$C$36:$D$36)</f>
        <v>140.02514221054145</v>
      </c>
      <c r="G40" s="1662">
        <f>SUM('[45]1'!$C$31:$D$31)+SUM('[45]1'!$C$37:$D$37)</f>
        <v>29.094928976999999</v>
      </c>
      <c r="H40" s="1613">
        <f>SUM('[45]1'!$C$38:$D$38)</f>
        <v>634.71336123454921</v>
      </c>
      <c r="I40" s="1613">
        <f>SUM('[45]1'!$E$14:$H$14)+SUM('[45]1'!$E$18:$H$18)+SUM('[45]1'!$E$30:$H$30)</f>
        <v>119.33192449569121</v>
      </c>
      <c r="J40" s="1852">
        <f>SUM('[45]1'!$E$22:$H$22)</f>
        <v>5.1572956042600042</v>
      </c>
      <c r="K40" s="2462">
        <f>SUM('[45]1'!$E$33:$H$33)</f>
        <v>0</v>
      </c>
      <c r="L40" s="1834">
        <f>SUM('[45]1'!$E$34:$H$34)+SUM('[45]1'!$E$36:$H$36)</f>
        <v>9.3719999999999999</v>
      </c>
      <c r="M40" s="1432">
        <f>SUM('[45]1'!$E$31:$H$31)+SUM('[45]1'!$E$32:$H$32)+SUM('[45]1'!$E$37:$H$37)</f>
        <v>0</v>
      </c>
      <c r="N40" s="1666">
        <f>SUM('[45]1'!$E$38:$H$38)</f>
        <v>133.8612200999512</v>
      </c>
      <c r="O40" s="1677">
        <f>'[45]1'!$I$38</f>
        <v>768.57458133450041</v>
      </c>
      <c r="P40" s="1853">
        <f>SUM('[45]1'!$I$40:$I$42)</f>
        <v>0</v>
      </c>
      <c r="Q40" s="1837">
        <f t="shared" ref="Q40" si="40">ROUND(H40,1)-ROUND(C40,1)-ROUND(D40,1)-ROUND(E40,1)-ROUND(F40,1)-ROUND(G40,1)</f>
        <v>7.815970093361102E-14</v>
      </c>
      <c r="R40" s="1837">
        <f t="shared" ref="R40" si="41">ROUND(N40,1)-ROUND(I40,1)-ROUND(J40,1)-ROUND(K40,1)-ROUND(L40,1)-ROUND(M40,1)</f>
        <v>8.8817841970012523E-15</v>
      </c>
      <c r="S40" s="1837">
        <f t="shared" ref="S40" si="42">ROUND(O40,1)-ROUND(H40,1)-ROUND(N40,1)</f>
        <v>0</v>
      </c>
    </row>
    <row r="41" spans="1:19" s="483" customFormat="1" ht="16.5" customHeight="1">
      <c r="A41" s="1782"/>
      <c r="B41" s="1783" t="s">
        <v>425</v>
      </c>
      <c r="C41" s="1808">
        <f>SUM('[46]1'!$C$14:$D$14)+SUM('[46]1'!$C$18:$D$18)+SUM('[46]1'!$C$30:$D$30)+SUM('[46]1'!$C$33:$D$33)</f>
        <v>292.03706993906337</v>
      </c>
      <c r="D41" s="1660">
        <f>SUM('[46]1'!$C$25:$D$29)</f>
        <v>86.366473894670577</v>
      </c>
      <c r="E41" s="1676">
        <f>SUM('[46]1'!$C$23:$D$24)</f>
        <v>70.360463838979996</v>
      </c>
      <c r="F41" s="1851">
        <f>SUM('[46]1'!$C$34:$D$34)+SUM('[46]1'!$C$36:$D$36)</f>
        <v>127.82125838106876</v>
      </c>
      <c r="G41" s="1662">
        <f>SUM('[46]1'!$C$31:$D$31)+SUM('[46]1'!$C$37:$D$37)</f>
        <v>1.0857394629999999</v>
      </c>
      <c r="H41" s="1613">
        <f>SUM('[46]1'!$C$38:$D$38)</f>
        <v>577.67100551678277</v>
      </c>
      <c r="I41" s="1613">
        <f>SUM('[46]1'!$E$14:$H$14)+SUM('[46]1'!$E$18:$H$18)+SUM('[46]1'!$E$30:$H$30)</f>
        <v>119.89305513434275</v>
      </c>
      <c r="J41" s="1852">
        <f>SUM('[46]1'!$E$22:$H$22)</f>
        <v>5.0306509722999966</v>
      </c>
      <c r="K41" s="2462">
        <f>SUM('[46]1'!$E$33:$H$33)</f>
        <v>0</v>
      </c>
      <c r="L41" s="1834">
        <f>SUM('[46]1'!$E$34:$H$34)+SUM('[46]1'!$E$36:$H$36)</f>
        <v>9.8569999999999993</v>
      </c>
      <c r="M41" s="1432">
        <f>SUM('[46]1'!$E$31:$H$31)+SUM('[46]1'!$E$32:$H$32)+SUM('[46]1'!$E$37:$H$37)</f>
        <v>0</v>
      </c>
      <c r="N41" s="1666">
        <f>SUM('[46]1'!$E$38:$H$38)</f>
        <v>134.78070610664273</v>
      </c>
      <c r="O41" s="1677">
        <f>'[46]1'!$I$38</f>
        <v>712.45171162342547</v>
      </c>
      <c r="P41" s="1853">
        <f>SUM('[46]1'!$I$40:$I$42)</f>
        <v>0</v>
      </c>
      <c r="Q41" s="1837">
        <f t="shared" ref="Q41" si="43">ROUND(H41,1)-ROUND(C41,1)-ROUND(D41,1)-ROUND(E41,1)-ROUND(F41,1)-ROUND(G41,1)</f>
        <v>3.6859404417555197E-14</v>
      </c>
      <c r="R41" s="1837">
        <f t="shared" ref="R41" si="44">ROUND(N41,1)-ROUND(I41,1)-ROUND(J41,1)-ROUND(K41,1)-ROUND(L41,1)-ROUND(M41,1)</f>
        <v>5.3290705182007514E-15</v>
      </c>
      <c r="S41" s="1837">
        <f t="shared" ref="S41" si="45">ROUND(O41,1)-ROUND(H41,1)-ROUND(N41,1)</f>
        <v>0</v>
      </c>
    </row>
    <row r="42" spans="1:19" s="483" customFormat="1" ht="16.5" customHeight="1">
      <c r="A42" s="1782"/>
      <c r="B42" s="1783" t="s">
        <v>426</v>
      </c>
      <c r="C42" s="1808">
        <f>SUM('[47]1'!$C$14:$D$14)+SUM('[47]1'!$C$18:$D$18)+SUM('[47]1'!$C$30:$D$30)+SUM('[47]1'!$C$33:$D$33)</f>
        <v>293.24385061123598</v>
      </c>
      <c r="D42" s="1660">
        <f>SUM('[47]1'!$C$25:$D$29)</f>
        <v>92.295596349367713</v>
      </c>
      <c r="E42" s="1676">
        <f>SUM('[47]1'!$C$23:$D$24)</f>
        <v>70.381495717980002</v>
      </c>
      <c r="F42" s="1851">
        <f>SUM('[47]1'!$C$34:$D$34)+SUM('[47]1'!$C$36:$D$36)</f>
        <v>133.25899170527663</v>
      </c>
      <c r="G42" s="1662">
        <f>SUM('[47]1'!$C$31:$D$31)+SUM('[47]1'!$C$37:$D$37)</f>
        <v>11.073000000000002</v>
      </c>
      <c r="H42" s="1613">
        <f>SUM('[47]1'!$C$38:$D$38)</f>
        <v>600.25293438386029</v>
      </c>
      <c r="I42" s="1613">
        <f>SUM('[47]1'!$E$14:$H$14)+SUM('[47]1'!$E$18:$H$18)+SUM('[47]1'!$E$30:$H$30)</f>
        <v>119.63010706677171</v>
      </c>
      <c r="J42" s="1852">
        <f>SUM('[47]1'!$E$22:$H$22)</f>
        <v>5.0164766924399959</v>
      </c>
      <c r="K42" s="2462">
        <f>SUM('[47]1'!$E$33:$H$33)</f>
        <v>0</v>
      </c>
      <c r="L42" s="1834">
        <f>SUM('[47]1'!$E$34:$H$34)+SUM('[47]1'!$E$36:$H$36)</f>
        <v>10.016</v>
      </c>
      <c r="M42" s="1432">
        <f>SUM('[47]1'!$E$31:$H$31)+SUM('[47]1'!$E$32:$H$32)+SUM('[47]1'!$E$37:$H$37)</f>
        <v>0</v>
      </c>
      <c r="N42" s="2483">
        <f>SUM('[47]1'!$E$38:$H$38)-0.05</f>
        <v>134.6125837592117</v>
      </c>
      <c r="O42" s="1677">
        <f>'[47]1'!$I$38</f>
        <v>734.91551814307206</v>
      </c>
      <c r="P42" s="1853">
        <f>SUM('[47]1'!$I$40:$I$42)</f>
        <v>0</v>
      </c>
      <c r="Q42" s="1837">
        <f t="shared" ref="Q42" si="46">ROUND(H42,1)-ROUND(C42,1)-ROUND(D42,1)-ROUND(E42,1)-ROUND(F42,1)-ROUND(G42,1)</f>
        <v>-6.2172489379008766E-14</v>
      </c>
      <c r="R42" s="1837">
        <f t="shared" ref="R42" si="47">ROUND(N42,1)-ROUND(I42,1)-ROUND(J42,1)-ROUND(K42,1)-ROUND(L42,1)-ROUND(M42,1)</f>
        <v>0</v>
      </c>
      <c r="S42" s="1837">
        <f t="shared" ref="S42" si="48">ROUND(O42,1)-ROUND(H42,1)-ROUND(N42,1)</f>
        <v>0</v>
      </c>
    </row>
    <row r="43" spans="1:19" s="483" customFormat="1" ht="16.5" customHeight="1">
      <c r="A43" s="1782"/>
      <c r="B43" s="1783" t="s">
        <v>427</v>
      </c>
      <c r="C43" s="1808">
        <f>SUM('[48]1'!$C$14:$D$14)+SUM('[48]1'!$C$18:$D$18)+SUM('[48]1'!$C$30:$D$30)+SUM('[48]1'!$C$33:$D$33)</f>
        <v>307.08138687276801</v>
      </c>
      <c r="D43" s="2555">
        <f>SUM('[48]1'!$C$25:$D$29)+0.02</f>
        <v>121.56472401235115</v>
      </c>
      <c r="E43" s="1676">
        <f>SUM('[48]1'!$C$23:$D$24)</f>
        <v>70.402626179980004</v>
      </c>
      <c r="F43" s="1851">
        <f>SUM('[48]1'!$C$34:$D$34)+SUM('[48]1'!$C$36:$D$36)</f>
        <v>121.54342828781009</v>
      </c>
      <c r="G43" s="1662">
        <f>SUM('[48]1'!$C$31:$D$31)+SUM('[48]1'!$C$37:$D$37)</f>
        <v>8.2174634420000015</v>
      </c>
      <c r="H43" s="1613">
        <f>SUM('[48]1'!$C$38:$D$38)</f>
        <v>628.78962879490928</v>
      </c>
      <c r="I43" s="1613">
        <f>SUM('[48]1'!$E$14:$H$14)+SUM('[48]1'!$E$18:$H$18)+SUM('[48]1'!$E$30:$H$30)</f>
        <v>119.55444920970949</v>
      </c>
      <c r="J43" s="1852">
        <f>SUM('[48]1'!$E$22:$H$22)</f>
        <v>4.9368678514999953</v>
      </c>
      <c r="K43" s="2462">
        <f>SUM('[48]1'!$E$33:$H$33)</f>
        <v>0</v>
      </c>
      <c r="L43" s="1834">
        <f>SUM('[48]1'!$E$34:$H$34)+SUM('[48]1'!$E$36:$H$36)</f>
        <v>10.218999999999999</v>
      </c>
      <c r="M43" s="1432">
        <f>SUM('[48]1'!$E$31:$H$31)+SUM('[48]1'!$E$32:$H$32)+SUM('[48]1'!$E$37:$H$37)</f>
        <v>0</v>
      </c>
      <c r="N43" s="1666">
        <f>SUM('[48]1'!$E$38:$H$38)</f>
        <v>134.71031706120951</v>
      </c>
      <c r="O43" s="1677">
        <f>'[48]1'!$I$38</f>
        <v>763.49994585611853</v>
      </c>
      <c r="P43" s="1853">
        <f>SUM('[48]1'!$I$40:$I$42)</f>
        <v>0</v>
      </c>
      <c r="Q43" s="1837">
        <f t="shared" ref="Q43" si="49">ROUND(H43,1)-ROUND(C43,1)-ROUND(D43,1)-ROUND(E43,1)-ROUND(F43,1)-ROUND(G43,1)</f>
        <v>-6.7501559897209518E-14</v>
      </c>
      <c r="R43" s="1837">
        <f t="shared" ref="R43" si="50">ROUND(N43,1)-ROUND(I43,1)-ROUND(J43,1)-ROUND(K43,1)-ROUND(L43,1)-ROUND(M43,1)</f>
        <v>-5.3290705182007514E-15</v>
      </c>
      <c r="S43" s="1837">
        <f t="shared" ref="S43" si="51">ROUND(O43,1)-ROUND(H43,1)-ROUND(N43,1)</f>
        <v>0</v>
      </c>
    </row>
    <row r="44" spans="1:19" ht="19.5" customHeight="1">
      <c r="A44" s="652" t="s">
        <v>1054</v>
      </c>
      <c r="B44" s="224"/>
      <c r="C44" s="224"/>
      <c r="D44" s="224"/>
      <c r="E44" s="224"/>
      <c r="F44" s="224"/>
      <c r="G44" s="224"/>
      <c r="H44" s="224"/>
      <c r="I44" s="230"/>
      <c r="J44" s="224"/>
      <c r="K44" s="224"/>
      <c r="L44" s="224"/>
      <c r="M44" s="224"/>
      <c r="N44" s="660"/>
      <c r="O44" s="1678"/>
      <c r="P44" s="653" t="s">
        <v>1055</v>
      </c>
    </row>
    <row r="45" spans="1:19">
      <c r="A45" s="654" t="s">
        <v>1056</v>
      </c>
      <c r="O45" s="381"/>
      <c r="P45" s="381" t="s">
        <v>1057</v>
      </c>
    </row>
    <row r="46" spans="1:19">
      <c r="A46" s="654" t="s">
        <v>1058</v>
      </c>
      <c r="O46" s="381"/>
      <c r="P46" s="381" t="s">
        <v>1059</v>
      </c>
    </row>
    <row r="47" spans="1:19">
      <c r="A47" s="27" t="s">
        <v>1060</v>
      </c>
      <c r="P47" s="1658" t="s">
        <v>1061</v>
      </c>
    </row>
    <row r="48" spans="1:19">
      <c r="A48" s="27"/>
      <c r="P48" s="1658"/>
    </row>
    <row r="49" spans="1:16">
      <c r="A49" s="655" t="s">
        <v>1070</v>
      </c>
      <c r="B49" s="1"/>
      <c r="C49" s="1"/>
      <c r="D49" s="1"/>
      <c r="E49" s="1"/>
      <c r="F49" s="1"/>
      <c r="G49" s="1"/>
      <c r="H49" s="1"/>
      <c r="I49" s="1"/>
      <c r="J49" s="1"/>
      <c r="K49" s="1"/>
      <c r="L49" s="1"/>
      <c r="M49" s="1"/>
      <c r="N49" s="1"/>
      <c r="O49" s="1"/>
      <c r="P49" s="1"/>
    </row>
  </sheetData>
  <printOptions horizontalCentered="1" verticalCentered="1"/>
  <pageMargins left="0" right="0" top="0" bottom="0" header="0.5" footer="0.5"/>
  <pageSetup paperSize="9" scale="72"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7">
    <tabColor rgb="FFFF0000"/>
  </sheetPr>
  <dimension ref="A1:R49"/>
  <sheetViews>
    <sheetView zoomScale="80" zoomScaleNormal="80" workbookViewId="0">
      <pane ySplit="12" topLeftCell="A40" activePane="bottomLeft" state="frozen"/>
      <selection activeCell="B44" sqref="B44"/>
      <selection pane="bottomLeft" activeCell="C43" sqref="C43"/>
    </sheetView>
  </sheetViews>
  <sheetFormatPr defaultColWidth="7.81640625" defaultRowHeight="12.5"/>
  <cols>
    <col min="1" max="2" width="9.26953125" style="570" customWidth="1"/>
    <col min="3" max="3" width="10.7265625" style="570" customWidth="1"/>
    <col min="4" max="4" width="12.7265625" style="570" customWidth="1"/>
    <col min="5" max="5" width="13.7265625" style="570" customWidth="1"/>
    <col min="6" max="6" width="12.26953125" style="570" customWidth="1"/>
    <col min="7" max="8" width="10.7265625" style="570" customWidth="1"/>
    <col min="9" max="9" width="14.1796875" style="570" customWidth="1"/>
    <col min="10" max="10" width="12.81640625" style="570" customWidth="1"/>
    <col min="11" max="11" width="13.7265625" style="570" customWidth="1"/>
    <col min="12" max="12" width="10.81640625" style="570" customWidth="1"/>
    <col min="13" max="13" width="14.7265625" style="570" customWidth="1"/>
    <col min="14" max="14" width="12.7265625" style="570" customWidth="1"/>
    <col min="15" max="15" width="14.7265625" style="570" customWidth="1"/>
    <col min="16" max="16" width="9.1796875" style="570" customWidth="1"/>
    <col min="17" max="16384" width="7.81640625" style="570"/>
  </cols>
  <sheetData>
    <row r="1" spans="1:18" s="915" customFormat="1" ht="18">
      <c r="A1" s="1091" t="s">
        <v>1071</v>
      </c>
      <c r="B1" s="1113"/>
      <c r="C1" s="1114"/>
      <c r="D1" s="1114"/>
      <c r="E1" s="1114"/>
      <c r="F1" s="1114"/>
      <c r="G1" s="1114"/>
      <c r="H1" s="1114"/>
      <c r="I1" s="1114"/>
      <c r="J1" s="1114"/>
      <c r="K1" s="1114"/>
      <c r="L1" s="1114"/>
      <c r="M1" s="1114"/>
      <c r="N1" s="1114"/>
      <c r="O1" s="1114"/>
    </row>
    <row r="2" spans="1:18" s="915" customFormat="1" ht="18">
      <c r="A2" s="1036" t="s">
        <v>1072</v>
      </c>
      <c r="B2" s="1113"/>
      <c r="C2" s="1114"/>
      <c r="D2" s="1114"/>
      <c r="E2" s="1114"/>
      <c r="F2" s="1114"/>
      <c r="G2" s="1114"/>
      <c r="H2" s="1114"/>
      <c r="I2" s="1114"/>
      <c r="J2" s="1114"/>
      <c r="K2" s="1114"/>
      <c r="L2" s="1114"/>
      <c r="M2" s="1114"/>
      <c r="N2" s="1114"/>
      <c r="O2" s="1114"/>
    </row>
    <row r="3" spans="1:18" s="915" customFormat="1" ht="18">
      <c r="A3" s="1091" t="s">
        <v>1073</v>
      </c>
      <c r="B3" s="1113"/>
      <c r="C3" s="1114"/>
      <c r="D3" s="1114"/>
      <c r="E3" s="1114"/>
      <c r="F3" s="1114"/>
      <c r="G3" s="1114"/>
      <c r="H3" s="1114"/>
      <c r="I3" s="1114"/>
      <c r="J3" s="1114"/>
      <c r="K3" s="1114"/>
      <c r="L3" s="1114"/>
      <c r="M3" s="1114"/>
      <c r="N3" s="1114"/>
      <c r="O3" s="1114"/>
    </row>
    <row r="4" spans="1:18" s="915" customFormat="1" ht="18">
      <c r="A4" s="1036" t="s">
        <v>380</v>
      </c>
      <c r="B4" s="1113"/>
      <c r="C4" s="1114"/>
      <c r="D4" s="1114"/>
      <c r="E4" s="1114"/>
      <c r="F4" s="1114"/>
      <c r="G4" s="1114"/>
      <c r="H4" s="1114"/>
      <c r="I4" s="1114"/>
      <c r="J4" s="1114"/>
      <c r="K4" s="1114"/>
      <c r="L4" s="1114"/>
      <c r="M4" s="1114"/>
      <c r="N4" s="1114"/>
      <c r="O4" s="1114"/>
    </row>
    <row r="5" spans="1:18" s="915" customFormat="1" ht="18">
      <c r="A5" s="1073" t="s">
        <v>379</v>
      </c>
      <c r="B5" s="1113"/>
      <c r="C5" s="1114"/>
      <c r="D5" s="1114"/>
      <c r="E5" s="1114"/>
      <c r="F5" s="1114"/>
      <c r="G5" s="1114"/>
      <c r="H5" s="1114"/>
      <c r="I5" s="1114"/>
      <c r="J5" s="1114"/>
      <c r="K5" s="1114"/>
      <c r="L5" s="1114"/>
      <c r="M5" s="1114"/>
      <c r="N5" s="1114"/>
      <c r="O5" s="1114"/>
    </row>
    <row r="6" spans="1:18" s="514" customFormat="1" ht="15.5">
      <c r="A6" s="571" t="s">
        <v>784</v>
      </c>
      <c r="B6" s="572"/>
      <c r="O6" s="516" t="s">
        <v>785</v>
      </c>
    </row>
    <row r="7" spans="1:18" s="1196" customFormat="1" ht="18" customHeight="1">
      <c r="A7" s="1187"/>
      <c r="B7" s="1188"/>
      <c r="C7" s="1197" t="s">
        <v>503</v>
      </c>
      <c r="D7" s="1198"/>
      <c r="E7" s="1190"/>
      <c r="F7" s="1190"/>
      <c r="G7" s="1191" t="s">
        <v>501</v>
      </c>
      <c r="H7" s="1192" t="s">
        <v>816</v>
      </c>
      <c r="I7" s="1190"/>
      <c r="J7" s="1190"/>
      <c r="K7" s="1190"/>
      <c r="L7" s="1190"/>
      <c r="M7" s="1193" t="s">
        <v>1074</v>
      </c>
      <c r="N7" s="1194"/>
      <c r="O7" s="1195" t="s">
        <v>1075</v>
      </c>
    </row>
    <row r="8" spans="1:18" s="575" customFormat="1" ht="18" customHeight="1">
      <c r="A8" s="574"/>
      <c r="C8" s="576"/>
      <c r="D8" s="577" t="s">
        <v>510</v>
      </c>
      <c r="E8" s="577"/>
      <c r="F8" s="578"/>
      <c r="G8" s="579"/>
      <c r="H8" s="574"/>
      <c r="I8" s="580"/>
      <c r="J8" s="580"/>
      <c r="K8" s="577" t="s">
        <v>1041</v>
      </c>
      <c r="L8" s="581"/>
      <c r="M8" s="582"/>
      <c r="N8" s="583" t="s">
        <v>835</v>
      </c>
      <c r="O8" s="573" t="s">
        <v>808</v>
      </c>
    </row>
    <row r="9" spans="1:18" s="575" customFormat="1" ht="18" customHeight="1">
      <c r="A9" s="530" t="s">
        <v>387</v>
      </c>
      <c r="B9" s="531"/>
      <c r="C9" s="576" t="s">
        <v>441</v>
      </c>
      <c r="D9" s="584" t="s">
        <v>787</v>
      </c>
      <c r="E9" s="577" t="s">
        <v>398</v>
      </c>
      <c r="F9" s="577" t="s">
        <v>399</v>
      </c>
      <c r="G9" s="585" t="s">
        <v>1069</v>
      </c>
      <c r="H9" s="576" t="s">
        <v>441</v>
      </c>
      <c r="I9" s="577" t="s">
        <v>854</v>
      </c>
      <c r="J9" s="577" t="s">
        <v>815</v>
      </c>
      <c r="K9" s="577" t="s">
        <v>1043</v>
      </c>
      <c r="L9" s="585" t="s">
        <v>399</v>
      </c>
      <c r="M9" s="585" t="s">
        <v>390</v>
      </c>
      <c r="N9" s="586" t="s">
        <v>380</v>
      </c>
      <c r="O9" s="587" t="s">
        <v>811</v>
      </c>
    </row>
    <row r="10" spans="1:18" s="575" customFormat="1" ht="18" customHeight="1">
      <c r="A10" s="588" t="s">
        <v>395</v>
      </c>
      <c r="B10" s="589"/>
      <c r="C10" s="1987"/>
      <c r="D10" s="590" t="s">
        <v>790</v>
      </c>
      <c r="E10" s="590" t="s">
        <v>476</v>
      </c>
      <c r="F10" s="590"/>
      <c r="G10" s="590"/>
      <c r="H10" s="591"/>
      <c r="I10" s="589"/>
      <c r="J10" s="592"/>
      <c r="K10" s="590" t="s">
        <v>1047</v>
      </c>
      <c r="L10" s="590"/>
      <c r="M10" s="590"/>
      <c r="N10" s="593" t="s">
        <v>400</v>
      </c>
      <c r="O10" s="587" t="s">
        <v>1076</v>
      </c>
    </row>
    <row r="11" spans="1:18" s="575" customFormat="1" ht="18" customHeight="1">
      <c r="A11" s="588"/>
      <c r="B11" s="589"/>
      <c r="C11" s="591" t="s">
        <v>413</v>
      </c>
      <c r="D11" s="590" t="s">
        <v>792</v>
      </c>
      <c r="E11" s="590" t="s">
        <v>516</v>
      </c>
      <c r="F11" s="590" t="s">
        <v>407</v>
      </c>
      <c r="G11" s="590" t="s">
        <v>400</v>
      </c>
      <c r="H11" s="591" t="s">
        <v>413</v>
      </c>
      <c r="I11" s="590" t="s">
        <v>792</v>
      </c>
      <c r="J11" s="590" t="s">
        <v>822</v>
      </c>
      <c r="K11" s="590" t="s">
        <v>1052</v>
      </c>
      <c r="L11" s="590" t="s">
        <v>407</v>
      </c>
      <c r="M11" s="590" t="s">
        <v>400</v>
      </c>
      <c r="N11" s="593" t="s">
        <v>379</v>
      </c>
      <c r="O11" s="587" t="s">
        <v>8</v>
      </c>
    </row>
    <row r="12" spans="1:18" s="575" customFormat="1" ht="18" customHeight="1">
      <c r="A12" s="594"/>
      <c r="B12" s="595"/>
      <c r="C12" s="596" t="s">
        <v>819</v>
      </c>
      <c r="D12" s="205" t="s">
        <v>820</v>
      </c>
      <c r="E12" s="205" t="s">
        <v>820</v>
      </c>
      <c r="F12" s="205"/>
      <c r="G12" s="205"/>
      <c r="H12" s="596"/>
      <c r="I12" s="205"/>
      <c r="J12" s="205"/>
      <c r="K12" s="205"/>
      <c r="L12" s="205"/>
      <c r="M12" s="205"/>
      <c r="N12" s="597"/>
      <c r="O12" s="598" t="s">
        <v>823</v>
      </c>
      <c r="P12" s="599" t="s">
        <v>1077</v>
      </c>
    </row>
    <row r="13" spans="1:18" s="274" customFormat="1" ht="20.25" customHeight="1">
      <c r="A13" s="263">
        <v>2016</v>
      </c>
      <c r="B13" s="273"/>
      <c r="C13" s="254">
        <v>4746.2148481857475</v>
      </c>
      <c r="D13" s="468">
        <v>2113.2403939080345</v>
      </c>
      <c r="E13" s="290">
        <v>1060.8250702971472</v>
      </c>
      <c r="F13" s="254">
        <v>1699.8801214784103</v>
      </c>
      <c r="G13" s="223">
        <v>9620.0904338693381</v>
      </c>
      <c r="H13" s="223">
        <v>13303.914467336699</v>
      </c>
      <c r="I13" s="468">
        <v>31391.640382418533</v>
      </c>
      <c r="J13" s="222">
        <v>18279.321972054538</v>
      </c>
      <c r="K13" s="222">
        <v>22184.522629672894</v>
      </c>
      <c r="L13" s="1275">
        <v>8256.4896100395872</v>
      </c>
      <c r="M13" s="479">
        <v>93415.835874722252</v>
      </c>
      <c r="N13" s="469">
        <v>103035.94630859156</v>
      </c>
      <c r="O13" s="278">
        <v>46535.74714493865</v>
      </c>
      <c r="P13" s="382"/>
      <c r="Q13" s="354"/>
      <c r="R13" s="354"/>
    </row>
    <row r="14" spans="1:18" s="276" customFormat="1" ht="14.25" customHeight="1">
      <c r="A14" s="265">
        <v>2017</v>
      </c>
      <c r="B14" s="275"/>
      <c r="C14" s="344">
        <v>4909.6252436315808</v>
      </c>
      <c r="D14" s="470">
        <v>2251.7417224396086</v>
      </c>
      <c r="E14" s="351">
        <v>1284.96091062798</v>
      </c>
      <c r="F14" s="344">
        <v>1397.9398180438468</v>
      </c>
      <c r="G14" s="346">
        <v>9844.2276947430182</v>
      </c>
      <c r="H14" s="346">
        <v>13291.045525877065</v>
      </c>
      <c r="I14" s="470">
        <v>34359.9736177546</v>
      </c>
      <c r="J14" s="350">
        <v>17660.062610313737</v>
      </c>
      <c r="K14" s="350">
        <v>20740.934834519554</v>
      </c>
      <c r="L14" s="1276">
        <v>8066.308228883714</v>
      </c>
      <c r="M14" s="480">
        <v>94118.319588158673</v>
      </c>
      <c r="N14" s="471">
        <v>103962.49728290168</v>
      </c>
      <c r="O14" s="358">
        <v>36193.963880562238</v>
      </c>
      <c r="P14" s="382"/>
      <c r="Q14" s="354"/>
      <c r="R14" s="354"/>
    </row>
    <row r="15" spans="1:18" s="889" customFormat="1" ht="14.25" customHeight="1">
      <c r="A15" s="884">
        <v>2018</v>
      </c>
      <c r="B15" s="885"/>
      <c r="C15" s="683">
        <v>5420.2943175968157</v>
      </c>
      <c r="D15" s="682">
        <v>3275.7701589037033</v>
      </c>
      <c r="E15" s="877">
        <v>1832.6447111939806</v>
      </c>
      <c r="F15" s="683">
        <v>1549.2170220757091</v>
      </c>
      <c r="G15" s="681">
        <v>12077.946209770211</v>
      </c>
      <c r="H15" s="681">
        <v>7324.3683677793179</v>
      </c>
      <c r="I15" s="682">
        <v>37132.804795031589</v>
      </c>
      <c r="J15" s="906">
        <v>17785.335737111483</v>
      </c>
      <c r="K15" s="906">
        <v>23146.799525543891</v>
      </c>
      <c r="L15" s="1277">
        <v>8562.4797149522747</v>
      </c>
      <c r="M15" s="878">
        <v>93951.841699188546</v>
      </c>
      <c r="N15" s="892">
        <v>106029.74090895876</v>
      </c>
      <c r="O15" s="907">
        <v>31236.408948762768</v>
      </c>
      <c r="P15" s="382"/>
      <c r="Q15" s="354"/>
      <c r="R15" s="354"/>
    </row>
    <row r="16" spans="1:18" s="889" customFormat="1" ht="14.25" customHeight="1">
      <c r="A16" s="884">
        <v>2019</v>
      </c>
      <c r="B16" s="885"/>
      <c r="C16" s="683">
        <v>6010.6811165013451</v>
      </c>
      <c r="D16" s="682">
        <v>4243.2354214858224</v>
      </c>
      <c r="E16" s="877">
        <v>2632.3710868021894</v>
      </c>
      <c r="F16" s="683">
        <v>2579.7651829752485</v>
      </c>
      <c r="G16" s="681">
        <v>15466.065807764608</v>
      </c>
      <c r="H16" s="681">
        <v>8727.4714580277359</v>
      </c>
      <c r="I16" s="682">
        <v>41918.477568865375</v>
      </c>
      <c r="J16" s="906">
        <v>17399.551084633415</v>
      </c>
      <c r="K16" s="906">
        <v>21102.807526597131</v>
      </c>
      <c r="L16" s="1277">
        <v>6223.6711662691523</v>
      </c>
      <c r="M16" s="878">
        <v>95372.062573938616</v>
      </c>
      <c r="N16" s="892">
        <v>110838.15838170321</v>
      </c>
      <c r="O16" s="907">
        <v>22654.532529911383</v>
      </c>
      <c r="P16" s="382"/>
      <c r="Q16" s="354"/>
      <c r="R16" s="354"/>
    </row>
    <row r="17" spans="1:18" s="889" customFormat="1" ht="14.25" customHeight="1">
      <c r="A17" s="884">
        <v>2020</v>
      </c>
      <c r="B17" s="885"/>
      <c r="C17" s="683">
        <v>6016.8077566676593</v>
      </c>
      <c r="D17" s="682">
        <v>5272.2612619515094</v>
      </c>
      <c r="E17" s="877">
        <v>2417.0435880272876</v>
      </c>
      <c r="F17" s="683">
        <v>2115.0103790412591</v>
      </c>
      <c r="G17" s="681">
        <v>15821.099381571818</v>
      </c>
      <c r="H17" s="681">
        <v>7108.4601407631117</v>
      </c>
      <c r="I17" s="682">
        <v>42558.178215633314</v>
      </c>
      <c r="J17" s="906">
        <v>17840.455292799801</v>
      </c>
      <c r="K17" s="906">
        <v>23333.27764461566</v>
      </c>
      <c r="L17" s="1277">
        <v>6417.1589040640201</v>
      </c>
      <c r="M17" s="878">
        <v>97257.653300501712</v>
      </c>
      <c r="N17" s="892">
        <v>113078.75268207354</v>
      </c>
      <c r="O17" s="907">
        <v>17910.917764677652</v>
      </c>
      <c r="P17" s="382"/>
      <c r="Q17" s="354"/>
      <c r="R17" s="354"/>
    </row>
    <row r="18" spans="1:18" s="889" customFormat="1" ht="14.25" customHeight="1">
      <c r="A18" s="884">
        <v>2021</v>
      </c>
      <c r="B18" s="885"/>
      <c r="C18" s="683">
        <v>7715.4358029330979</v>
      </c>
      <c r="D18" s="682">
        <v>4658.8252680358237</v>
      </c>
      <c r="E18" s="877">
        <v>2995.6509263517369</v>
      </c>
      <c r="F18" s="683">
        <v>1862.3682902639407</v>
      </c>
      <c r="G18" s="681">
        <v>17232.280287584599</v>
      </c>
      <c r="H18" s="681">
        <v>9475.1649271294482</v>
      </c>
      <c r="I18" s="682">
        <v>41373.559931209311</v>
      </c>
      <c r="J18" s="906">
        <v>18324.062489974323</v>
      </c>
      <c r="K18" s="906">
        <v>26048.76247141455</v>
      </c>
      <c r="L18" s="1277">
        <v>5648.6510886388469</v>
      </c>
      <c r="M18" s="878">
        <v>100870.38579488648</v>
      </c>
      <c r="N18" s="892">
        <v>118102.66608247109</v>
      </c>
      <c r="O18" s="907">
        <v>19771.152572751202</v>
      </c>
      <c r="P18" s="382"/>
      <c r="Q18" s="354"/>
      <c r="R18" s="354"/>
    </row>
    <row r="19" spans="1:18" s="483" customFormat="1" ht="14.25" customHeight="1">
      <c r="A19" s="1782">
        <v>2022</v>
      </c>
      <c r="B19" s="1783"/>
      <c r="C19" s="1515">
        <v>8329.5350610913702</v>
      </c>
      <c r="D19" s="1765">
        <v>4236.5812216210361</v>
      </c>
      <c r="E19" s="1764">
        <v>2360.5355732011167</v>
      </c>
      <c r="F19" s="1515">
        <v>2992.264217080075</v>
      </c>
      <c r="G19" s="1498">
        <v>17918.896072993597</v>
      </c>
      <c r="H19" s="1498">
        <v>11476.164838517727</v>
      </c>
      <c r="I19" s="1765">
        <v>40413.058258887067</v>
      </c>
      <c r="J19" s="1528">
        <v>18697.95525202914</v>
      </c>
      <c r="K19" s="1528">
        <v>27348.976651489342</v>
      </c>
      <c r="L19" s="1766">
        <v>6517.5942624886275</v>
      </c>
      <c r="M19" s="1812">
        <v>104453.89427641191</v>
      </c>
      <c r="N19" s="1799">
        <v>122372.79034940488</v>
      </c>
      <c r="O19" s="1854">
        <v>21333.636765461961</v>
      </c>
      <c r="P19" s="1855"/>
      <c r="Q19" s="1856"/>
      <c r="R19" s="1856"/>
    </row>
    <row r="20" spans="1:18" s="483" customFormat="1" ht="14.25" customHeight="1">
      <c r="A20" s="1782">
        <v>2023</v>
      </c>
      <c r="B20" s="1783"/>
      <c r="C20" s="1515">
        <v>9028.3279197883876</v>
      </c>
      <c r="D20" s="1765">
        <v>4910.3452185124352</v>
      </c>
      <c r="E20" s="1764">
        <v>3626.9625969247177</v>
      </c>
      <c r="F20" s="1515">
        <v>3036.4568704455642</v>
      </c>
      <c r="G20" s="1498">
        <v>20602.092605671103</v>
      </c>
      <c r="H20" s="1498">
        <v>16567.89711744224</v>
      </c>
      <c r="I20" s="1765">
        <v>39392.398475628332</v>
      </c>
      <c r="J20" s="1528">
        <v>22502.594316631552</v>
      </c>
      <c r="K20" s="1528">
        <v>28635.147083542506</v>
      </c>
      <c r="L20" s="1766">
        <v>3751.6867078935034</v>
      </c>
      <c r="M20" s="1812">
        <v>110849.72370113814</v>
      </c>
      <c r="N20" s="1799">
        <v>131451.81630680925</v>
      </c>
      <c r="O20" s="1854">
        <v>23727.515596664703</v>
      </c>
      <c r="P20" s="1855"/>
      <c r="Q20" s="1856"/>
      <c r="R20" s="1856"/>
    </row>
    <row r="21" spans="1:18" s="483" customFormat="1" ht="14.25" customHeight="1">
      <c r="A21" s="1782">
        <v>2024</v>
      </c>
      <c r="B21" s="1783"/>
      <c r="C21" s="1515">
        <v>8002.6120563905697</v>
      </c>
      <c r="D21" s="1765">
        <v>4519.1191233347436</v>
      </c>
      <c r="E21" s="1764">
        <v>3623.0376929119725</v>
      </c>
      <c r="F21" s="1515">
        <v>2310.0619159484722</v>
      </c>
      <c r="G21" s="1498">
        <v>18454.830788585754</v>
      </c>
      <c r="H21" s="1498">
        <v>16347.792456020787</v>
      </c>
      <c r="I21" s="1765">
        <v>38754.020044443867</v>
      </c>
      <c r="J21" s="1528">
        <v>29903.121546682778</v>
      </c>
      <c r="K21" s="1528">
        <v>27444.558393767202</v>
      </c>
      <c r="L21" s="1766">
        <v>5993.8257631123452</v>
      </c>
      <c r="M21" s="1812">
        <v>118443.30820402698</v>
      </c>
      <c r="N21" s="1799">
        <v>136898.13899261274</v>
      </c>
      <c r="O21" s="1854">
        <v>22479.046840470521</v>
      </c>
      <c r="P21" s="1855"/>
      <c r="Q21" s="1856"/>
      <c r="R21" s="1856"/>
    </row>
    <row r="22" spans="1:18" s="483" customFormat="1" ht="14.25" customHeight="1">
      <c r="A22" s="2058">
        <v>2025</v>
      </c>
      <c r="B22" s="2200"/>
      <c r="C22" s="2208">
        <f t="shared" ref="C22:O22" si="0">C29</f>
        <v>8933.2713827847765</v>
      </c>
      <c r="D22" s="2213">
        <f t="shared" si="0"/>
        <v>5548.9178154084348</v>
      </c>
      <c r="E22" s="2180">
        <f t="shared" si="0"/>
        <v>3569.1726260175833</v>
      </c>
      <c r="F22" s="2208">
        <f t="shared" si="0"/>
        <v>2912.7807648467365</v>
      </c>
      <c r="G22" s="2207">
        <f t="shared" si="0"/>
        <v>20964.162589057531</v>
      </c>
      <c r="H22" s="2207">
        <f t="shared" si="0"/>
        <v>16089.656221460513</v>
      </c>
      <c r="I22" s="2213">
        <f t="shared" si="0"/>
        <v>36881.902471683512</v>
      </c>
      <c r="J22" s="2172">
        <f t="shared" si="0"/>
        <v>28873.240399667273</v>
      </c>
      <c r="K22" s="2172">
        <f t="shared" si="0"/>
        <v>28689.918251051429</v>
      </c>
      <c r="L22" s="2214">
        <f t="shared" si="0"/>
        <v>3272.0270588101685</v>
      </c>
      <c r="M22" s="2215">
        <f t="shared" si="0"/>
        <v>113806.74440267289</v>
      </c>
      <c r="N22" s="2216">
        <f t="shared" si="0"/>
        <v>134770.88699173043</v>
      </c>
      <c r="O22" s="2217">
        <f t="shared" si="0"/>
        <v>25718.763670048385</v>
      </c>
      <c r="P22" s="1855"/>
      <c r="Q22" s="1856"/>
      <c r="R22" s="1856"/>
    </row>
    <row r="23" spans="1:18" s="889" customFormat="1" ht="21" customHeight="1">
      <c r="A23" s="884">
        <v>2024</v>
      </c>
      <c r="B23" s="885" t="s">
        <v>243</v>
      </c>
      <c r="C23" s="683">
        <v>8588.8259317737866</v>
      </c>
      <c r="D23" s="682">
        <v>5106.1332907207852</v>
      </c>
      <c r="E23" s="877">
        <v>3505.6587789738073</v>
      </c>
      <c r="F23" s="683">
        <v>3358.0647992046588</v>
      </c>
      <c r="G23" s="681">
        <v>20558.672800673037</v>
      </c>
      <c r="H23" s="681">
        <v>17004.856441129232</v>
      </c>
      <c r="I23" s="682">
        <v>37859.080584865136</v>
      </c>
      <c r="J23" s="906">
        <v>27552.34189452654</v>
      </c>
      <c r="K23" s="906">
        <v>26523.91998334559</v>
      </c>
      <c r="L23" s="2303">
        <v>4582.4944605554365</v>
      </c>
      <c r="M23" s="878">
        <v>113522.70336442193</v>
      </c>
      <c r="N23" s="892">
        <v>134081.37616509496</v>
      </c>
      <c r="O23" s="907">
        <v>20664.005589440574</v>
      </c>
      <c r="P23" s="1855"/>
      <c r="Q23" s="1856"/>
      <c r="R23" s="1856"/>
    </row>
    <row r="24" spans="1:18" s="889" customFormat="1" ht="15" customHeight="1">
      <c r="A24" s="884"/>
      <c r="B24" s="885" t="s">
        <v>240</v>
      </c>
      <c r="C24" s="683">
        <v>9131.6996989528361</v>
      </c>
      <c r="D24" s="682">
        <v>5085.2032497204418</v>
      </c>
      <c r="E24" s="877">
        <v>3907.598101088538</v>
      </c>
      <c r="F24" s="683">
        <v>2864.9636186773178</v>
      </c>
      <c r="G24" s="681">
        <v>20989.464668439134</v>
      </c>
      <c r="H24" s="681">
        <v>16708.802178249312</v>
      </c>
      <c r="I24" s="682">
        <v>39246.346082745709</v>
      </c>
      <c r="J24" s="906">
        <v>28648.086956890525</v>
      </c>
      <c r="K24" s="906">
        <v>28641.25279428756</v>
      </c>
      <c r="L24" s="2303">
        <v>5036.7396885757553</v>
      </c>
      <c r="M24" s="878">
        <v>118281.24770074888</v>
      </c>
      <c r="N24" s="892">
        <v>139270.712369188</v>
      </c>
      <c r="O24" s="907">
        <v>21374.804588007199</v>
      </c>
      <c r="P24" s="1855"/>
      <c r="Q24" s="1856"/>
      <c r="R24" s="1856"/>
    </row>
    <row r="25" spans="1:18" s="889" customFormat="1" ht="15" customHeight="1">
      <c r="A25" s="884"/>
      <c r="B25" s="885" t="s">
        <v>241</v>
      </c>
      <c r="C25" s="683">
        <v>8002.6120563905697</v>
      </c>
      <c r="D25" s="682">
        <v>4519.1191233347436</v>
      </c>
      <c r="E25" s="877">
        <v>3623.0376929119725</v>
      </c>
      <c r="F25" s="683">
        <v>2310.0619159484722</v>
      </c>
      <c r="G25" s="681">
        <v>18454.830788585754</v>
      </c>
      <c r="H25" s="681">
        <v>16347.792456020787</v>
      </c>
      <c r="I25" s="682">
        <v>38754.020044443867</v>
      </c>
      <c r="J25" s="906">
        <v>29903.121546682778</v>
      </c>
      <c r="K25" s="906">
        <v>27444.558393767202</v>
      </c>
      <c r="L25" s="2303">
        <v>5993.8257631123452</v>
      </c>
      <c r="M25" s="878">
        <v>118443.30820402698</v>
      </c>
      <c r="N25" s="892">
        <v>136898.13899261274</v>
      </c>
      <c r="O25" s="907">
        <v>22479.046840470521</v>
      </c>
      <c r="P25" s="1855"/>
      <c r="Q25" s="1856"/>
      <c r="R25" s="1856"/>
    </row>
    <row r="26" spans="1:18" s="889" customFormat="1" ht="21" customHeight="1">
      <c r="A26" s="884">
        <v>2025</v>
      </c>
      <c r="B26" s="885" t="s">
        <v>242</v>
      </c>
      <c r="C26" s="683">
        <v>8873.8914206040536</v>
      </c>
      <c r="D26" s="682">
        <v>5229.9873581610073</v>
      </c>
      <c r="E26" s="877">
        <v>3588.3432869505241</v>
      </c>
      <c r="F26" s="683">
        <v>2648.2092627432503</v>
      </c>
      <c r="G26" s="681">
        <v>20340.431328458832</v>
      </c>
      <c r="H26" s="681">
        <v>17216.564824006979</v>
      </c>
      <c r="I26" s="682">
        <v>39203.002646233173</v>
      </c>
      <c r="J26" s="906">
        <v>29021.962016119225</v>
      </c>
      <c r="K26" s="906">
        <v>26935.222471327976</v>
      </c>
      <c r="L26" s="2303">
        <v>4520.3929872339704</v>
      </c>
      <c r="M26" s="878">
        <v>116897.17494492134</v>
      </c>
      <c r="N26" s="892">
        <v>137237.55627338018</v>
      </c>
      <c r="O26" s="907">
        <v>22335.120889017962</v>
      </c>
      <c r="P26" s="1855"/>
      <c r="Q26" s="1856"/>
      <c r="R26" s="1856"/>
    </row>
    <row r="27" spans="1:18" s="889" customFormat="1" ht="15" customHeight="1">
      <c r="A27" s="884"/>
      <c r="B27" s="885" t="s">
        <v>243</v>
      </c>
      <c r="C27" s="683">
        <v>9415.2162114783514</v>
      </c>
      <c r="D27" s="682">
        <v>5167.2097018437189</v>
      </c>
      <c r="E27" s="877">
        <v>3631.0999595116045</v>
      </c>
      <c r="F27" s="683">
        <v>2970.2594857680319</v>
      </c>
      <c r="G27" s="681">
        <v>21183.775358601706</v>
      </c>
      <c r="H27" s="681">
        <v>17353.625206253291</v>
      </c>
      <c r="I27" s="682">
        <v>37983.634096894952</v>
      </c>
      <c r="J27" s="906">
        <v>28284.320661768532</v>
      </c>
      <c r="K27" s="906">
        <v>28404.513620144295</v>
      </c>
      <c r="L27" s="2303">
        <v>3305.7554573632647</v>
      </c>
      <c r="M27" s="878">
        <v>115331.83904242434</v>
      </c>
      <c r="N27" s="892">
        <v>136515.61440102605</v>
      </c>
      <c r="O27" s="907">
        <v>24272.231577560895</v>
      </c>
      <c r="P27" s="1855"/>
      <c r="Q27" s="1856"/>
      <c r="R27" s="1856"/>
    </row>
    <row r="28" spans="1:18" s="889" customFormat="1" ht="15" customHeight="1">
      <c r="A28" s="884"/>
      <c r="B28" s="885" t="s">
        <v>240</v>
      </c>
      <c r="C28" s="683">
        <f t="shared" ref="C28:O28" si="1">C35</f>
        <v>9049.8115529334882</v>
      </c>
      <c r="D28" s="682">
        <f t="shared" si="1"/>
        <v>6025.0473908533331</v>
      </c>
      <c r="E28" s="877">
        <f t="shared" si="1"/>
        <v>3184.0584243445792</v>
      </c>
      <c r="F28" s="683">
        <f t="shared" si="1"/>
        <v>3395.6283133407878</v>
      </c>
      <c r="G28" s="681">
        <f t="shared" si="1"/>
        <v>21654.545681472191</v>
      </c>
      <c r="H28" s="681">
        <f t="shared" si="1"/>
        <v>18326.456455561616</v>
      </c>
      <c r="I28" s="682">
        <f t="shared" si="1"/>
        <v>38660.0490303365</v>
      </c>
      <c r="J28" s="906">
        <f t="shared" si="1"/>
        <v>26809.259298279896</v>
      </c>
      <c r="K28" s="906">
        <f t="shared" si="1"/>
        <v>30623.437138230693</v>
      </c>
      <c r="L28" s="2303">
        <f t="shared" si="1"/>
        <v>3162.494932506811</v>
      </c>
      <c r="M28" s="878">
        <f t="shared" si="1"/>
        <v>117581.69685491553</v>
      </c>
      <c r="N28" s="892">
        <f t="shared" si="1"/>
        <v>139236.24253638773</v>
      </c>
      <c r="O28" s="907">
        <f t="shared" si="1"/>
        <v>26588.657580456889</v>
      </c>
      <c r="P28" s="1855"/>
      <c r="Q28" s="1856"/>
      <c r="R28" s="1856"/>
    </row>
    <row r="29" spans="1:18" s="889" customFormat="1" ht="15" customHeight="1">
      <c r="A29" s="884"/>
      <c r="B29" s="885" t="s">
        <v>241</v>
      </c>
      <c r="C29" s="683">
        <f t="shared" ref="C29:O29" si="2">C38</f>
        <v>8933.2713827847765</v>
      </c>
      <c r="D29" s="682">
        <f t="shared" si="2"/>
        <v>5548.9178154084348</v>
      </c>
      <c r="E29" s="877">
        <f t="shared" si="2"/>
        <v>3569.1726260175833</v>
      </c>
      <c r="F29" s="683">
        <f t="shared" si="2"/>
        <v>2912.7807648467365</v>
      </c>
      <c r="G29" s="681">
        <f t="shared" si="2"/>
        <v>20964.162589057531</v>
      </c>
      <c r="H29" s="681">
        <f t="shared" si="2"/>
        <v>16089.656221460513</v>
      </c>
      <c r="I29" s="682">
        <f t="shared" si="2"/>
        <v>36881.902471683512</v>
      </c>
      <c r="J29" s="906">
        <f t="shared" si="2"/>
        <v>28873.240399667273</v>
      </c>
      <c r="K29" s="906">
        <f t="shared" si="2"/>
        <v>28689.918251051429</v>
      </c>
      <c r="L29" s="2303">
        <f t="shared" si="2"/>
        <v>3272.0270588101685</v>
      </c>
      <c r="M29" s="878">
        <f t="shared" si="2"/>
        <v>113806.74440267289</v>
      </c>
      <c r="N29" s="892">
        <f t="shared" si="2"/>
        <v>134770.88699173043</v>
      </c>
      <c r="O29" s="907">
        <f t="shared" si="2"/>
        <v>25718.763670048385</v>
      </c>
      <c r="P29" s="1855"/>
      <c r="Q29" s="1856"/>
      <c r="R29" s="1856"/>
    </row>
    <row r="30" spans="1:18" s="889" customFormat="1" ht="21" customHeight="1">
      <c r="A30" s="1681">
        <v>2026</v>
      </c>
      <c r="B30" s="1687" t="s">
        <v>242</v>
      </c>
      <c r="C30" s="1767">
        <f t="shared" ref="C30:O30" si="3">C41</f>
        <v>9490.3828536676992</v>
      </c>
      <c r="D30" s="1768">
        <f t="shared" si="3"/>
        <v>6116.9397068512908</v>
      </c>
      <c r="E30" s="1686">
        <f t="shared" si="3"/>
        <v>3656.7414566553789</v>
      </c>
      <c r="F30" s="1767">
        <f t="shared" si="3"/>
        <v>3089.3696058990458</v>
      </c>
      <c r="G30" s="1769">
        <f t="shared" si="3"/>
        <v>22353.443623073414</v>
      </c>
      <c r="H30" s="1769">
        <f t="shared" si="3"/>
        <v>16861.848471573201</v>
      </c>
      <c r="I30" s="1768">
        <f t="shared" si="3"/>
        <v>35730.982750425246</v>
      </c>
      <c r="J30" s="1683">
        <f t="shared" si="3"/>
        <v>24643.272583790756</v>
      </c>
      <c r="K30" s="1683">
        <f t="shared" si="3"/>
        <v>29105.004950575476</v>
      </c>
      <c r="L30" s="2428">
        <f t="shared" si="3"/>
        <v>3617.0553201375242</v>
      </c>
      <c r="M30" s="1770">
        <f t="shared" si="3"/>
        <v>109958.1640765022</v>
      </c>
      <c r="N30" s="1771">
        <f t="shared" si="3"/>
        <v>132311.6076995756</v>
      </c>
      <c r="O30" s="1772">
        <f t="shared" si="3"/>
        <v>27027.255587424661</v>
      </c>
      <c r="P30" s="1855"/>
      <c r="Q30" s="1856"/>
      <c r="R30" s="1856"/>
    </row>
    <row r="31" spans="1:18" s="483" customFormat="1" ht="21" customHeight="1">
      <c r="A31" s="1782">
        <v>2025</v>
      </c>
      <c r="B31" s="1783" t="s">
        <v>427</v>
      </c>
      <c r="C31" s="1515">
        <v>9216.8496070242472</v>
      </c>
      <c r="D31" s="1893">
        <v>5547.7272986537355</v>
      </c>
      <c r="E31" s="1764">
        <v>3690.8954273903191</v>
      </c>
      <c r="F31" s="1515">
        <v>3051.0525359630583</v>
      </c>
      <c r="G31" s="1498">
        <v>21506.52486903136</v>
      </c>
      <c r="H31" s="1498">
        <v>17106.55817940546</v>
      </c>
      <c r="I31" s="1765">
        <v>37632.327460335684</v>
      </c>
      <c r="J31" s="1528">
        <v>22921.996986067155</v>
      </c>
      <c r="K31" s="1528">
        <v>27283.012373926991</v>
      </c>
      <c r="L31" s="1766">
        <v>3536.8920474077772</v>
      </c>
      <c r="M31" s="1812">
        <v>108480.76704714305</v>
      </c>
      <c r="N31" s="1799">
        <v>129987.29191617441</v>
      </c>
      <c r="O31" s="1854">
        <v>23076.574455815004</v>
      </c>
      <c r="P31" s="1855">
        <v>0</v>
      </c>
      <c r="Q31" s="1856">
        <v>8.6401996668428183E-12</v>
      </c>
      <c r="R31" s="1856">
        <v>0</v>
      </c>
    </row>
    <row r="32" spans="1:18" s="483" customFormat="1" ht="15" customHeight="1">
      <c r="A32" s="1782"/>
      <c r="B32" s="1783" t="s">
        <v>428</v>
      </c>
      <c r="C32" s="1515">
        <f>SUM('[49]1'!$C$68:$D$68)+SUM('[49]1'!$C$69:$D$69)+SUM('[49]1'!$C$72:$D$72)+SUM('[49]1'!$C$95:$D$95)</f>
        <v>9415.2162114783514</v>
      </c>
      <c r="D32" s="1893">
        <f>SUM('[49]1'!$C$79:$D$83)+SUM('[49]1'!$C$89:$D$89)+SUM('[49]1'!$C$92:$D$92)</f>
        <v>5167.2097018437189</v>
      </c>
      <c r="E32" s="1764">
        <f>SUM('[49]1'!$C$77:$D$78)+SUM('[49]1'!$C$86:$D$86)</f>
        <v>3631.0999595116045</v>
      </c>
      <c r="F32" s="1462">
        <f>SUM('[49]1'!$C$93:$D$93)+SUM('[49]1'!$C$96:$D$97)+0.01</f>
        <v>2970.2594857680319</v>
      </c>
      <c r="G32" s="1498">
        <f>SUM('[49]1'!$C$98:$D$98)</f>
        <v>21183.775358601706</v>
      </c>
      <c r="H32" s="1498">
        <f>SUM('[49]1'!$E$69:$P$69)+SUM('[49]1'!$E$72:$P$72)</f>
        <v>17353.625206253291</v>
      </c>
      <c r="I32" s="1765">
        <f>SUM('[49]1'!$E$76:$P$76)</f>
        <v>37983.634096894952</v>
      </c>
      <c r="J32" s="1528">
        <f>SUM('[49]1'!$E$84:$P$84)</f>
        <v>28284.320661768532</v>
      </c>
      <c r="K32" s="1528">
        <f>SUM('[49]1'!$E$95:$P$95)</f>
        <v>28404.513620144295</v>
      </c>
      <c r="L32" s="2452">
        <f>SUM('[49]1'!$E$93:$P$93)+SUM('[49]1'!$E$94:$P$94)+SUM('[49]1'!$E$97:$P$97)+0.01</f>
        <v>3305.7554573632647</v>
      </c>
      <c r="M32" s="1812">
        <f>SUM('[49]1'!$E$98:$P$98)</f>
        <v>115331.83904242434</v>
      </c>
      <c r="N32" s="1799">
        <f>'[49]1'!$Q$98</f>
        <v>136515.61440102605</v>
      </c>
      <c r="O32" s="1854">
        <f>'[49]1'!$Q$100</f>
        <v>24272.231577560895</v>
      </c>
      <c r="P32" s="1855">
        <f t="shared" ref="P32" si="4">ROUND(G32,1)-ROUND(C32,1)-ROUND(D32,1)-ROUND(E32,1)-ROUND(F32,1)</f>
        <v>0</v>
      </c>
      <c r="Q32" s="1856">
        <f t="shared" ref="Q32" si="5">ROUND(M32,1)-ROUND(H32,1)-ROUND(I32,1)-ROUND(J32,1)-ROUND(K32,1)-ROUND(L32,1)</f>
        <v>1.3642420526593924E-11</v>
      </c>
      <c r="R32" s="1856">
        <f t="shared" ref="R32" si="6">ROUND(N32,1)-ROUND(G32,1)-ROUND(M32,1)</f>
        <v>0</v>
      </c>
    </row>
    <row r="33" spans="1:18" s="483" customFormat="1" ht="15" customHeight="1">
      <c r="A33" s="1782"/>
      <c r="B33" s="1783" t="s">
        <v>429</v>
      </c>
      <c r="C33" s="1515">
        <f>SUM('[50]1'!$C$68:$D$68)+SUM('[50]1'!$C$69:$D$69)+SUM('[50]1'!$C$72:$D$72)+SUM('[50]1'!$C$95:$D$95)</f>
        <v>9761.289898379544</v>
      </c>
      <c r="D33" s="1893">
        <f>SUM('[50]1'!$C$79:$D$83)+SUM('[50]1'!$C$89:$D$89)+SUM('[50]1'!$C$92:$D$92)</f>
        <v>5635.8578515917479</v>
      </c>
      <c r="E33" s="1764">
        <f>SUM('[50]1'!$C$77:$D$78)+SUM('[50]1'!$C$86:$D$86)</f>
        <v>3921.0061499108556</v>
      </c>
      <c r="F33" s="1515">
        <f>SUM('[50]1'!$C$93:$D$93)+SUM('[50]1'!$C$96:$D$97)</f>
        <v>2883.5475067261418</v>
      </c>
      <c r="G33" s="1498">
        <f>SUM('[50]1'!$C$98:$D$98)</f>
        <v>22201.701406608292</v>
      </c>
      <c r="H33" s="1498">
        <f>SUM('[50]1'!$E$69:$P$69)+SUM('[50]1'!$E$72:$P$72)</f>
        <v>17323.870696267153</v>
      </c>
      <c r="I33" s="1765">
        <f>SUM('[50]1'!$E$76:$P$76)</f>
        <v>37630.033890739986</v>
      </c>
      <c r="J33" s="1528">
        <f>SUM('[50]1'!$E$84:$P$84)</f>
        <v>20936.756907955591</v>
      </c>
      <c r="K33" s="1528">
        <f>SUM('[50]1'!$E$95:$P$95)</f>
        <v>28538.57736990173</v>
      </c>
      <c r="L33" s="2452">
        <f>SUM('[50]1'!$E$93:$P$93)+SUM('[50]1'!$E$94:$P$94)+SUM('[50]1'!$E$97:$P$97)-0.01</f>
        <v>3139.5418205318056</v>
      </c>
      <c r="M33" s="1812">
        <f>SUM('[50]1'!$E$98:$P$98)</f>
        <v>107568.79068539626</v>
      </c>
      <c r="N33" s="1799">
        <f>'[50]1'!$Q$98</f>
        <v>129770.49209200454</v>
      </c>
      <c r="O33" s="1854">
        <f>'[50]1'!$Q$100</f>
        <v>26561.349801618082</v>
      </c>
      <c r="P33" s="1855">
        <f t="shared" ref="P33" si="7">ROUND(G33,1)-ROUND(C33,1)-ROUND(D33,1)-ROUND(E33,1)-ROUND(F33,1)</f>
        <v>0</v>
      </c>
      <c r="Q33" s="1856">
        <f t="shared" ref="Q33" si="8">ROUND(M33,1)-ROUND(H33,1)-ROUND(I33,1)-ROUND(J33,1)-ROUND(K33,1)-ROUND(L33,1)</f>
        <v>-3.637978807091713E-12</v>
      </c>
      <c r="R33" s="1856">
        <f t="shared" ref="R33" si="9">ROUND(N33,1)-ROUND(G33,1)-ROUND(M33,1)</f>
        <v>0</v>
      </c>
    </row>
    <row r="34" spans="1:18" s="483" customFormat="1" ht="15" customHeight="1">
      <c r="A34" s="1782"/>
      <c r="B34" s="1783" t="s">
        <v>430</v>
      </c>
      <c r="C34" s="1515">
        <f>SUM('[51]1'!$C$68:$D$68)+SUM('[51]1'!$C$69:$D$69)+SUM('[51]1'!$C$72:$D$72)+SUM('[51]1'!$C$95:$D$95)</f>
        <v>9476.9193341828486</v>
      </c>
      <c r="D34" s="1893">
        <f>SUM('[51]1'!$C$79:$D$83)+SUM('[51]1'!$C$89:$D$89)+SUM('[51]1'!$C$92:$D$92)</f>
        <v>6127.482120943263</v>
      </c>
      <c r="E34" s="1764">
        <f>SUM('[51]1'!$C$77:$D$78)+SUM('[51]1'!$C$86:$D$86)</f>
        <v>3392.1845544615353</v>
      </c>
      <c r="F34" s="1515">
        <f>SUM('[51]1'!$C$93:$D$93)+SUM('[51]1'!$C$96:$D$97)</f>
        <v>3107.41664882024</v>
      </c>
      <c r="G34" s="1498">
        <f>SUM('[51]1'!$C$98:$D$98)</f>
        <v>22104.002658407891</v>
      </c>
      <c r="H34" s="676">
        <f>SUM('[51]1'!$E$69:$P$69)+SUM('[51]1'!$E$72:$P$72)-0.01</f>
        <v>18486.742167858716</v>
      </c>
      <c r="I34" s="1765">
        <f>SUM('[51]1'!$E$76:$P$76)</f>
        <v>38033.81186876414</v>
      </c>
      <c r="J34" s="1528">
        <f>SUM('[51]1'!$E$84:$P$84)</f>
        <v>20325.366531294279</v>
      </c>
      <c r="K34" s="1528">
        <f>SUM('[51]1'!$E$95:$P$95)</f>
        <v>26893.80955664377</v>
      </c>
      <c r="L34" s="1766">
        <f>SUM('[51]1'!$E$93:$P$93)+SUM('[51]1'!$E$94:$P$94)+SUM('[51]1'!$E$97:$P$97)</f>
        <v>3255.5652782067823</v>
      </c>
      <c r="M34" s="1812">
        <f>SUM('[51]1'!$E$98:$P$98)</f>
        <v>106995.30540276767</v>
      </c>
      <c r="N34" s="1799">
        <f>'[51]1'!$Q$98</f>
        <v>129099.30806117557</v>
      </c>
      <c r="O34" s="1854">
        <f>'[51]1'!$Q$100</f>
        <v>24781.917896501389</v>
      </c>
      <c r="P34" s="1855">
        <f t="shared" ref="P34" si="10">ROUND(G34,1)-ROUND(C34,1)-ROUND(D34,1)-ROUND(E34,1)-ROUND(F34,1)</f>
        <v>0</v>
      </c>
      <c r="Q34" s="1856">
        <f t="shared" ref="Q34" si="11">ROUND(M34,1)-ROUND(H34,1)-ROUND(I34,1)-ROUND(J34,1)-ROUND(K34,1)-ROUND(L34,1)</f>
        <v>0</v>
      </c>
      <c r="R34" s="1856">
        <f t="shared" ref="R34" si="12">ROUND(N34,1)-ROUND(G34,1)-ROUND(M34,1)</f>
        <v>0</v>
      </c>
    </row>
    <row r="35" spans="1:18" s="483" customFormat="1" ht="15" customHeight="1">
      <c r="A35" s="1782"/>
      <c r="B35" s="1783" t="s">
        <v>431</v>
      </c>
      <c r="C35" s="1515">
        <f>SUM('[52]1'!$C$68:$D$68)+SUM('[52]1'!$C$69:$D$69)+SUM('[52]1'!$C$72:$D$72)+SUM('[52]1'!$C$95:$D$95)</f>
        <v>9049.8115529334882</v>
      </c>
      <c r="D35" s="1893">
        <f>SUM('[52]1'!$C$79:$D$83)+SUM('[52]1'!$C$89:$D$89)+SUM('[52]1'!$C$92:$D$92)</f>
        <v>6025.0473908533331</v>
      </c>
      <c r="E35" s="1764">
        <f>SUM('[52]1'!$C$77:$D$78)+SUM('[52]1'!$C$86:$D$86)</f>
        <v>3184.0584243445792</v>
      </c>
      <c r="F35" s="1515">
        <f>SUM('[52]1'!$C$93:$D$93)+SUM('[52]1'!$C$96:$D$97)</f>
        <v>3395.6283133407878</v>
      </c>
      <c r="G35" s="1498">
        <f>SUM('[52]1'!$C$98:$D$98)</f>
        <v>21654.545681472191</v>
      </c>
      <c r="H35" s="1498">
        <f>SUM('[52]1'!$E$69:$P$69)+SUM('[52]1'!$E$72:$P$72)</f>
        <v>18326.456455561616</v>
      </c>
      <c r="I35" s="1765">
        <f>SUM('[52]1'!$E$76:$P$76)</f>
        <v>38660.0490303365</v>
      </c>
      <c r="J35" s="1528">
        <f>SUM('[52]1'!$E$84:$P$84)</f>
        <v>26809.259298279896</v>
      </c>
      <c r="K35" s="1528">
        <f>SUM('[52]1'!$E$95:$P$95)</f>
        <v>30623.437138230693</v>
      </c>
      <c r="L35" s="1766">
        <f>SUM('[52]1'!$E$93:$P$93)+SUM('[52]1'!$E$94:$P$94)+SUM('[52]1'!$E$97:$P$97)</f>
        <v>3162.494932506811</v>
      </c>
      <c r="M35" s="1812">
        <f>SUM('[52]1'!$E$98:$P$98)</f>
        <v>117581.69685491553</v>
      </c>
      <c r="N35" s="1799">
        <f>'[52]1'!$Q$98</f>
        <v>139236.24253638773</v>
      </c>
      <c r="O35" s="1854">
        <f>'[52]1'!$Q$100</f>
        <v>26588.657580456889</v>
      </c>
      <c r="P35" s="1855">
        <f t="shared" ref="P35" si="13">ROUND(G35,1)-ROUND(C35,1)-ROUND(D35,1)-ROUND(E35,1)-ROUND(F35,1)</f>
        <v>0</v>
      </c>
      <c r="Q35" s="1856">
        <f t="shared" ref="Q35" si="14">ROUND(M35,1)-ROUND(H35,1)-ROUND(I35,1)-ROUND(J35,1)-ROUND(K35,1)-ROUND(L35,1)</f>
        <v>-7.2759576141834259E-12</v>
      </c>
      <c r="R35" s="1856">
        <f t="shared" ref="R35" si="15">ROUND(N35,1)-ROUND(G35,1)-ROUND(M35,1)</f>
        <v>0</v>
      </c>
    </row>
    <row r="36" spans="1:18" s="483" customFormat="1" ht="15" customHeight="1">
      <c r="A36" s="1782"/>
      <c r="B36" s="1783" t="s">
        <v>420</v>
      </c>
      <c r="C36" s="1515">
        <f>SUM('[53]1'!$C$68:$D$68)+SUM('[53]1'!$C$69:$D$69)+SUM('[53]1'!$C$72:$D$72)+SUM('[53]1'!$C$95:$D$95)</f>
        <v>9352.822413002028</v>
      </c>
      <c r="D36" s="2492">
        <f>SUM('[53]1'!$C$79:$D$83)+SUM('[53]1'!$C$89:$D$89)+SUM('[53]1'!$C$92:$D$92)+0.02</f>
        <v>5497.1619171269049</v>
      </c>
      <c r="E36" s="1764">
        <f>SUM('[53]1'!$C$77:$D$78)+SUM('[53]1'!$C$86:$D$86)</f>
        <v>3510.8987257669683</v>
      </c>
      <c r="F36" s="1515">
        <f>SUM('[53]1'!$C$93:$D$93)+SUM('[53]1'!$C$96:$D$97)</f>
        <v>2839.931678673373</v>
      </c>
      <c r="G36" s="1498">
        <f>SUM('[53]1'!$C$98:$D$98)</f>
        <v>21200.79473456927</v>
      </c>
      <c r="H36" s="1498">
        <f>SUM('[53]1'!$E$69:$P$69)+SUM('[53]1'!$E$72:$P$72)</f>
        <v>17218.578507458511</v>
      </c>
      <c r="I36" s="1765">
        <f>SUM('[53]1'!$E$76:$P$76)</f>
        <v>37412.58929166352</v>
      </c>
      <c r="J36" s="1528">
        <f>SUM('[53]1'!$E$84:$P$84)</f>
        <v>26719.836345298274</v>
      </c>
      <c r="K36" s="1528">
        <f>SUM('[53]1'!$E$95:$P$95)</f>
        <v>28986.466045385765</v>
      </c>
      <c r="L36" s="1766">
        <f>SUM('[53]1'!$E$93:$P$93)+SUM('[53]1'!$E$94:$P$94)+SUM('[53]1'!$E$97:$P$97)</f>
        <v>3484.7109608898677</v>
      </c>
      <c r="M36" s="1812">
        <f>SUM('[53]1'!$E$98:$P$98)</f>
        <v>113822.18115069592</v>
      </c>
      <c r="N36" s="1799">
        <f>'[53]1'!$Q$98</f>
        <v>135022.97588526522</v>
      </c>
      <c r="O36" s="1854">
        <f>'[53]1'!$Q$100</f>
        <v>25680.421303162453</v>
      </c>
      <c r="P36" s="1855">
        <f t="shared" ref="P36" si="16">ROUND(G36,1)-ROUND(C36,1)-ROUND(D36,1)-ROUND(E36,1)-ROUND(F36,1)</f>
        <v>0</v>
      </c>
      <c r="Q36" s="1856">
        <f t="shared" ref="Q36" si="17">ROUND(M36,1)-ROUND(H36,1)-ROUND(I36,1)-ROUND(J36,1)-ROUND(K36,1)-ROUND(L36,1)</f>
        <v>8.1854523159563541E-12</v>
      </c>
      <c r="R36" s="1856">
        <f t="shared" ref="R36" si="18">ROUND(N36,1)-ROUND(G36,1)-ROUND(M36,1)</f>
        <v>0</v>
      </c>
    </row>
    <row r="37" spans="1:18" s="483" customFormat="1" ht="15" customHeight="1">
      <c r="A37" s="1782"/>
      <c r="B37" s="1783" t="s">
        <v>421</v>
      </c>
      <c r="C37" s="1515">
        <f>SUM('[54]1'!$C$68:$D$68)+SUM('[54]1'!$C$69:$D$69)+SUM('[54]1'!$C$72:$D$72)+SUM('[54]1'!$C$95:$D$95)</f>
        <v>9247.5659366966956</v>
      </c>
      <c r="D37" s="1893">
        <f>SUM('[54]1'!$C$79:$D$83)+SUM('[54]1'!$C$89:$D$89)+SUM('[54]1'!$C$92:$D$92)</f>
        <v>5423.7175579236828</v>
      </c>
      <c r="E37" s="1764">
        <f>SUM('[54]1'!$C$77:$D$78)+SUM('[54]1'!$C$86:$D$86)</f>
        <v>3413.8777329593199</v>
      </c>
      <c r="F37" s="1515">
        <f>SUM('[54]1'!$C$93:$D$93)+SUM('[54]1'!$C$96:$D$97)</f>
        <v>2870.7120539647108</v>
      </c>
      <c r="G37" s="1498">
        <f>SUM('[54]1'!$C$98:$D$98)</f>
        <v>20955.873281544413</v>
      </c>
      <c r="H37" s="1498">
        <f>SUM('[54]1'!$E$69:$P$69)+SUM('[54]1'!$E$72:$P$72)</f>
        <v>17413.758915810678</v>
      </c>
      <c r="I37" s="1765">
        <f>SUM('[54]1'!$E$76:$P$76)</f>
        <v>36503.549282614586</v>
      </c>
      <c r="J37" s="1528">
        <f>SUM('[54]1'!$E$84:$P$84)</f>
        <v>28355.791873822131</v>
      </c>
      <c r="K37" s="1528">
        <f>SUM('[54]1'!$E$95:$P$95)</f>
        <v>28448.730524439474</v>
      </c>
      <c r="L37" s="1766">
        <f>SUM('[54]1'!$E$93:$P$93)+SUM('[54]1'!$E$94:$P$94)+SUM('[54]1'!$E$97:$P$97)</f>
        <v>3469.0594328096399</v>
      </c>
      <c r="M37" s="1812">
        <f>SUM('[54]1'!$E$98:$P$98)</f>
        <v>114190.89002949651</v>
      </c>
      <c r="N37" s="1799">
        <f>'[54]1'!$Q$98</f>
        <v>135146.76331104094</v>
      </c>
      <c r="O37" s="1854">
        <f>'[54]1'!$Q$100</f>
        <v>25492.604902642073</v>
      </c>
      <c r="P37" s="1855">
        <f t="shared" ref="P37" si="19">ROUND(G37,1)-ROUND(C37,1)-ROUND(D37,1)-ROUND(E37,1)-ROUND(F37,1)</f>
        <v>0</v>
      </c>
      <c r="Q37" s="1856">
        <f t="shared" ref="Q37" si="20">ROUND(M37,1)-ROUND(H37,1)-ROUND(I37,1)-ROUND(J37,1)-ROUND(K37,1)-ROUND(L37,1)</f>
        <v>-8.6401996668428183E-12</v>
      </c>
      <c r="R37" s="1856">
        <f t="shared" ref="R37" si="21">ROUND(N37,1)-ROUND(G37,1)-ROUND(M37,1)</f>
        <v>0</v>
      </c>
    </row>
    <row r="38" spans="1:18" s="483" customFormat="1" ht="15" customHeight="1">
      <c r="A38" s="1782"/>
      <c r="B38" s="1783" t="s">
        <v>422</v>
      </c>
      <c r="C38" s="1515">
        <f>SUM('[55]1'!$C$68:$D$68)+SUM('[55]1'!$C$69:$D$69)+SUM('[55]1'!$C$72:$D$72)+SUM('[55]1'!$C$95:$D$95)</f>
        <v>8933.2713827847765</v>
      </c>
      <c r="D38" s="1893">
        <f>SUM('[55]1'!$C$79:$D$83)+SUM('[55]1'!$C$89:$D$89)+SUM('[55]1'!$C$92:$D$92)</f>
        <v>5548.9178154084348</v>
      </c>
      <c r="E38" s="1764">
        <f>SUM('[55]1'!$C$77:$D$78)+SUM('[55]1'!$C$86:$D$86)</f>
        <v>3569.1726260175833</v>
      </c>
      <c r="F38" s="1515">
        <f>SUM('[55]1'!$C$93:$D$93)+SUM('[55]1'!$C$96:$D$97)</f>
        <v>2912.7807648467365</v>
      </c>
      <c r="G38" s="676">
        <f>SUM('[55]1'!$C$98:$D$98)+0.02</f>
        <v>20964.162589057531</v>
      </c>
      <c r="H38" s="1498">
        <f>SUM('[55]1'!$E$69:$P$69)+SUM('[55]1'!$E$72:$P$72)</f>
        <v>16089.656221460513</v>
      </c>
      <c r="I38" s="1765">
        <f>SUM('[55]1'!$E$76:$P$76)</f>
        <v>36881.902471683512</v>
      </c>
      <c r="J38" s="1528">
        <f>SUM('[55]1'!$E$84:$P$84)</f>
        <v>28873.240399667273</v>
      </c>
      <c r="K38" s="1528">
        <f>SUM('[55]1'!$E$95:$P$95)</f>
        <v>28689.918251051429</v>
      </c>
      <c r="L38" s="1766">
        <f>SUM('[55]1'!$E$93:$P$93)+SUM('[55]1'!$E$94:$P$94)+SUM('[55]1'!$E$97:$P$97)</f>
        <v>3272.0270588101685</v>
      </c>
      <c r="M38" s="1812">
        <f>SUM('[55]1'!$E$98:$P$98)</f>
        <v>113806.74440267289</v>
      </c>
      <c r="N38" s="1799">
        <f>'[55]1'!$Q$98</f>
        <v>134770.88699173043</v>
      </c>
      <c r="O38" s="1854">
        <f>'[55]1'!$Q$100</f>
        <v>25718.763670048385</v>
      </c>
      <c r="P38" s="1855">
        <f t="shared" ref="P38" si="22">ROUND(G38,1)-ROUND(C38,1)-ROUND(D38,1)-ROUND(E38,1)-ROUND(F38,1)</f>
        <v>0</v>
      </c>
      <c r="Q38" s="1856">
        <f t="shared" ref="Q38" si="23">ROUND(M38,1)-ROUND(H38,1)-ROUND(I38,1)-ROUND(J38,1)-ROUND(K38,1)-ROUND(L38,1)</f>
        <v>-3.637978807091713E-12</v>
      </c>
      <c r="R38" s="1856">
        <f t="shared" ref="R38" si="24">ROUND(N38,1)-ROUND(G38,1)-ROUND(M38,1)</f>
        <v>0</v>
      </c>
    </row>
    <row r="39" spans="1:18" s="483" customFormat="1" ht="21" customHeight="1">
      <c r="A39" s="1782">
        <v>2026</v>
      </c>
      <c r="B39" s="1783" t="s">
        <v>423</v>
      </c>
      <c r="C39" s="1515">
        <f>SUM('[56]1'!$C$68:$D$68)+SUM('[56]1'!$C$69:$D$69)+SUM('[56]1'!$C$72:$D$72)+SUM('[56]1'!$C$95:$D$95)</f>
        <v>9275.3526268326605</v>
      </c>
      <c r="D39" s="1893">
        <f>SUM('[56]1'!$C$79:$D$83)+SUM('[56]1'!$C$89:$D$89)+SUM('[56]1'!$C$92:$D$92)</f>
        <v>5773.1017690207836</v>
      </c>
      <c r="E39" s="1764">
        <f>SUM('[56]1'!$C$77:$D$78)+SUM('[56]1'!$C$86:$D$86)</f>
        <v>3668.7848036626046</v>
      </c>
      <c r="F39" s="1462">
        <f>SUM('[56]1'!$C$93:$D$93)+SUM('[56]1'!$C$96:$D$97)-0.03</f>
        <v>2918.5446350325715</v>
      </c>
      <c r="G39" s="1498">
        <f>SUM('[56]1'!$C$98:$D$98)</f>
        <v>21635.813834548622</v>
      </c>
      <c r="H39" s="1498">
        <f>SUM('[56]1'!$E$69:$P$69)+SUM('[56]1'!$E$72:$P$72)</f>
        <v>17894.369987264949</v>
      </c>
      <c r="I39" s="1765">
        <f>SUM('[56]1'!$E$76:$P$76)</f>
        <v>36538.645935476306</v>
      </c>
      <c r="J39" s="1528">
        <f>SUM('[56]1'!$E$84:$P$84)</f>
        <v>20839.051167935755</v>
      </c>
      <c r="K39" s="1528">
        <f>SUM('[56]1'!$E$95:$P$95)</f>
        <v>29657.02670621232</v>
      </c>
      <c r="L39" s="1766">
        <f>SUM('[56]1'!$E$93:$P$93)+SUM('[56]1'!$E$94:$P$94)+SUM('[56]1'!$E$97:$P$97)</f>
        <v>3311.8928022028495</v>
      </c>
      <c r="M39" s="1812">
        <f>SUM('[56]1'!$E$98:$P$98)</f>
        <v>108240.98659909218</v>
      </c>
      <c r="N39" s="1799">
        <f>'[56]1'!$Q$98</f>
        <v>129876.8004336408</v>
      </c>
      <c r="O39" s="1854">
        <f>'[56]1'!$Q$100</f>
        <v>26381.104950669087</v>
      </c>
      <c r="P39" s="1855">
        <f t="shared" ref="P39" si="25">ROUND(G39,1)-ROUND(C39,1)-ROUND(D39,1)-ROUND(E39,1)-ROUND(F39,1)</f>
        <v>0</v>
      </c>
      <c r="Q39" s="1856">
        <f t="shared" ref="Q39" si="26">ROUND(M39,1)-ROUND(H39,1)-ROUND(I39,1)-ROUND(J39,1)-ROUND(K39,1)-ROUND(L39,1)</f>
        <v>8.6401996668428183E-12</v>
      </c>
      <c r="R39" s="1856">
        <f t="shared" ref="R39" si="27">ROUND(N39,1)-ROUND(G39,1)-ROUND(M39,1)</f>
        <v>0</v>
      </c>
    </row>
    <row r="40" spans="1:18" s="483" customFormat="1" ht="15" customHeight="1">
      <c r="A40" s="1782"/>
      <c r="B40" s="1783" t="s">
        <v>424</v>
      </c>
      <c r="C40" s="1515">
        <f>SUM('[57]1'!$C$68:$D$68)+SUM('[57]1'!$C$69:$D$69)+SUM('[57]1'!$C$72:$D$72)+SUM('[57]1'!$C$95:$D$95)</f>
        <v>9543.9276512897268</v>
      </c>
      <c r="D40" s="1893">
        <f>SUM('[57]1'!$C$79:$D$83)+SUM('[57]1'!$C$89:$D$89)+SUM('[57]1'!$C$92:$D$92)</f>
        <v>5802.655569054763</v>
      </c>
      <c r="E40" s="1764">
        <f>SUM('[57]1'!$C$77:$D$78)+SUM('[57]1'!$C$86:$D$86)</f>
        <v>3835.6776296156058</v>
      </c>
      <c r="F40" s="1462">
        <f>SUM('[57]1'!$C$93:$D$93)+SUM('[57]1'!$C$96:$D$97)+0.02</f>
        <v>3056.8616450952763</v>
      </c>
      <c r="G40" s="676">
        <f>SUM('[57]1'!$C$98:$D$98)+0.05</f>
        <v>22239.152495055372</v>
      </c>
      <c r="H40" s="1498">
        <f>SUM('[57]1'!$E$69:$P$69)+SUM('[57]1'!$E$72:$P$72)</f>
        <v>17202.572663394338</v>
      </c>
      <c r="I40" s="1765">
        <f>SUM('[57]1'!$E$76:$P$76)</f>
        <v>34710.544202297038</v>
      </c>
      <c r="J40" s="1528">
        <f>SUM('[57]1'!$E$84:$P$84)</f>
        <v>20596.478110169119</v>
      </c>
      <c r="K40" s="1528">
        <f>SUM('[57]1'!$E$95:$P$95)</f>
        <v>29615.795655700618</v>
      </c>
      <c r="L40" s="1766">
        <f>SUM('[57]1'!$E$93:$P$93)+SUM('[57]1'!$E$94:$P$94)+SUM('[57]1'!$E$97:$P$97)</f>
        <v>3250.6185537129527</v>
      </c>
      <c r="M40" s="1812">
        <f>SUM('[57]1'!$E$98:$P$98)</f>
        <v>105376.00918527407</v>
      </c>
      <c r="N40" s="2523">
        <f>'[57]1'!$Q$98+0.05</f>
        <v>127615.16168032943</v>
      </c>
      <c r="O40" s="1854">
        <f>'[57]1'!$Q$100</f>
        <v>27448.290948012749</v>
      </c>
      <c r="P40" s="1855">
        <f t="shared" ref="P40" si="28">ROUND(G40,1)-ROUND(C40,1)-ROUND(D40,1)-ROUND(E40,1)-ROUND(F40,1)</f>
        <v>0</v>
      </c>
      <c r="Q40" s="1856">
        <f t="shared" ref="Q40" si="29">ROUND(M40,1)-ROUND(H40,1)-ROUND(I40,1)-ROUND(J40,1)-ROUND(K40,1)-ROUND(L40,1)</f>
        <v>-5.0022208597511053E-12</v>
      </c>
      <c r="R40" s="1856">
        <f t="shared" ref="R40" si="30">ROUND(N40,1)-ROUND(G40,1)-ROUND(M40,1)</f>
        <v>0</v>
      </c>
    </row>
    <row r="41" spans="1:18" s="483" customFormat="1" ht="15" customHeight="1">
      <c r="A41" s="1782"/>
      <c r="B41" s="1783" t="s">
        <v>425</v>
      </c>
      <c r="C41" s="1515">
        <f>SUM('[58]1'!$C$68:$D$68)+SUM('[58]1'!$C$69:$D$69)+SUM('[58]1'!$C$72:$D$72)+SUM('[58]1'!$C$95:$D$95)</f>
        <v>9490.3828536676992</v>
      </c>
      <c r="D41" s="1893">
        <f>SUM('[58]1'!$C$79:$D$83)+SUM('[58]1'!$C$89:$D$89)+SUM('[58]1'!$C$92:$D$92)</f>
        <v>6116.9397068512908</v>
      </c>
      <c r="E41" s="2525">
        <f>SUM('[58]1'!$C$77:$D$78)+SUM('[58]1'!$C$86:$D$86)-0.01</f>
        <v>3656.7414566553789</v>
      </c>
      <c r="F41" s="1515">
        <f>SUM('[58]1'!$C$93:$D$93)+SUM('[58]1'!$C$96:$D$97)</f>
        <v>3089.3696058990458</v>
      </c>
      <c r="G41" s="1498">
        <f>SUM('[58]1'!$C$98:$D$98)</f>
        <v>22353.443623073414</v>
      </c>
      <c r="H41" s="1498">
        <f>SUM('[58]1'!$E$69:$P$69)+SUM('[58]1'!$E$72:$P$72)</f>
        <v>16861.848471573201</v>
      </c>
      <c r="I41" s="1765">
        <f>SUM('[58]1'!$E$76:$P$76)</f>
        <v>35730.982750425246</v>
      </c>
      <c r="J41" s="1528">
        <f>SUM('[58]1'!$E$84:$P$84)</f>
        <v>24643.272583790756</v>
      </c>
      <c r="K41" s="1528">
        <f>SUM('[58]1'!$E$95:$P$95)</f>
        <v>29105.004950575476</v>
      </c>
      <c r="L41" s="1766">
        <f>SUM('[58]1'!$E$93:$P$93)+SUM('[58]1'!$E$94:$P$94)+SUM('[58]1'!$E$97:$P$97)</f>
        <v>3617.0553201375242</v>
      </c>
      <c r="M41" s="1812">
        <f>SUM('[58]1'!$E$98:$P$98)</f>
        <v>109958.1640765022</v>
      </c>
      <c r="N41" s="1799">
        <f>'[58]1'!$Q$98</f>
        <v>132311.6076995756</v>
      </c>
      <c r="O41" s="1854">
        <f>'[58]1'!$Q$100</f>
        <v>27027.255587424661</v>
      </c>
      <c r="P41" s="1855">
        <f t="shared" ref="P41" si="31">ROUND(G41,1)-ROUND(C41,1)-ROUND(D41,1)-ROUND(E41,1)-ROUND(F41,1)</f>
        <v>0</v>
      </c>
      <c r="Q41" s="1856">
        <f t="shared" ref="Q41" si="32">ROUND(M41,1)-ROUND(H41,1)-ROUND(I41,1)-ROUND(J41,1)-ROUND(K41,1)-ROUND(L41,1)</f>
        <v>-5.0022208597511053E-12</v>
      </c>
      <c r="R41" s="1856">
        <f t="shared" ref="R41" si="33">ROUND(N41,1)-ROUND(G41,1)-ROUND(M41,1)</f>
        <v>0</v>
      </c>
    </row>
    <row r="42" spans="1:18" s="483" customFormat="1" ht="15" customHeight="1">
      <c r="A42" s="1782"/>
      <c r="B42" s="1783" t="s">
        <v>426</v>
      </c>
      <c r="C42" s="1515">
        <f>SUM('[59]1'!$C$68:$D$68)+SUM('[59]1'!$C$69:$D$69)+SUM('[59]1'!$C$72:$D$72)+SUM('[59]1'!$C$95:$D$95)</f>
        <v>9078.6912317062124</v>
      </c>
      <c r="D42" s="1893">
        <f>SUM('[59]1'!$C$79:$D$83)+SUM('[59]1'!$C$89:$D$89)+SUM('[59]1'!$C$92:$D$92)</f>
        <v>6277.0208875426524</v>
      </c>
      <c r="E42" s="1764">
        <f>SUM('[59]1'!$C$77:$D$78)+SUM('[59]1'!$C$86:$D$86)</f>
        <v>4005.0579716918528</v>
      </c>
      <c r="F42" s="1515">
        <f>SUM('[59]1'!$C$93:$D$93)+SUM('[59]1'!$C$96:$D$97)</f>
        <v>3029.4398170681602</v>
      </c>
      <c r="G42" s="1498">
        <f>SUM('[59]1'!$C$98:$D$98)</f>
        <v>22390.209908008877</v>
      </c>
      <c r="H42" s="1498">
        <f>SUM('[59]1'!$E$69:$P$69)+SUM('[59]1'!$E$72:$P$72)</f>
        <v>17216.395590679338</v>
      </c>
      <c r="I42" s="1765">
        <f>SUM('[59]1'!$E$76:$P$76)</f>
        <v>35236.72355114622</v>
      </c>
      <c r="J42" s="1528">
        <f>SUM('[59]1'!$E$84:$P$84)</f>
        <v>19742.634973977787</v>
      </c>
      <c r="K42" s="1528">
        <f>SUM('[59]1'!$E$95:$P$95)</f>
        <v>30630.172763862451</v>
      </c>
      <c r="L42" s="1766">
        <f>SUM('[59]1'!$E$93:$P$93)+SUM('[59]1'!$E$94:$P$94)+SUM('[59]1'!$E$97:$P$97)</f>
        <v>3461.3919145164123</v>
      </c>
      <c r="M42" s="1812">
        <f>SUM('[59]1'!$E$98:$P$98)</f>
        <v>106287.3187941822</v>
      </c>
      <c r="N42" s="1799">
        <f>'[59]1'!$Q$98</f>
        <v>128677.52870219108</v>
      </c>
      <c r="O42" s="1854">
        <f>'[59]1'!$Q$100</f>
        <v>28008.282958543568</v>
      </c>
      <c r="P42" s="1855">
        <f t="shared" ref="P42" si="34">ROUND(G42,1)-ROUND(C42,1)-ROUND(D42,1)-ROUND(E42,1)-ROUND(F42,1)</f>
        <v>0</v>
      </c>
      <c r="Q42" s="1856">
        <f t="shared" ref="Q42" si="35">ROUND(M42,1)-ROUND(H42,1)-ROUND(I42,1)-ROUND(J42,1)-ROUND(K42,1)-ROUND(L42,1)</f>
        <v>0</v>
      </c>
      <c r="R42" s="1856">
        <f t="shared" ref="R42" si="36">ROUND(N42,1)-ROUND(G42,1)-ROUND(M42,1)</f>
        <v>0</v>
      </c>
    </row>
    <row r="43" spans="1:18" s="483" customFormat="1" ht="15" customHeight="1">
      <c r="A43" s="1782"/>
      <c r="B43" s="1783" t="s">
        <v>427</v>
      </c>
      <c r="C43" s="1462">
        <f>SUM('[60]1'!$C$68:$D$68)+SUM('[60]1'!$C$69:$D$69)+SUM('[60]1'!$C$72:$D$72)+SUM('[60]1'!$C$95:$D$95)+0.02</f>
        <v>9418.2575311408855</v>
      </c>
      <c r="D43" s="1893">
        <f>SUM('[60]1'!$C$79:$D$83)+SUM('[60]1'!$C$89:$D$89)+SUM('[60]1'!$C$92:$D$92)</f>
        <v>6453.9842857778331</v>
      </c>
      <c r="E43" s="1764">
        <f>SUM('[60]1'!$C$77:$D$78)+SUM('[60]1'!$C$86:$D$86)</f>
        <v>3778.0240205786668</v>
      </c>
      <c r="F43" s="1515">
        <f>SUM('[60]1'!$C$93:$D$93)+SUM('[60]1'!$C$96:$D$97)</f>
        <v>2949.198576723667</v>
      </c>
      <c r="G43" s="676">
        <f>SUM('[60]1'!$C$98:$D$98)+0.02</f>
        <v>22599.464414221053</v>
      </c>
      <c r="H43" s="1498">
        <f>SUM('[60]1'!$E$69:$P$69)+SUM('[60]1'!$E$72:$P$72)</f>
        <v>17385.32980659229</v>
      </c>
      <c r="I43" s="2556">
        <f>SUM('[60]1'!$E$76:$P$76)+0.02</f>
        <v>32062.157710015385</v>
      </c>
      <c r="J43" s="1528">
        <f>SUM('[60]1'!$E$84:$P$84)</f>
        <v>19732.458838374616</v>
      </c>
      <c r="K43" s="1528">
        <f>SUM('[60]1'!$E$95:$P$95)</f>
        <v>31371.232569964719</v>
      </c>
      <c r="L43" s="1766">
        <f>SUM('[60]1'!$E$93:$P$93)+SUM('[60]1'!$E$94:$P$94)+SUM('[60]1'!$E$97:$P$97)</f>
        <v>3584.6323612247415</v>
      </c>
      <c r="M43" s="1812">
        <f>SUM('[60]1'!$E$98:$P$98)</f>
        <v>104135.79128617173</v>
      </c>
      <c r="N43" s="2523">
        <f>'[60]1'!$Q$98+0.02</f>
        <v>126735.25570039281</v>
      </c>
      <c r="O43" s="1854">
        <f>'[60]1'!$Q$100</f>
        <v>24920.111571128051</v>
      </c>
      <c r="P43" s="1855">
        <f t="shared" ref="P43" si="37">ROUND(G43,1)-ROUND(C43,1)-ROUND(D43,1)-ROUND(E43,1)-ROUND(F43,1)</f>
        <v>0</v>
      </c>
      <c r="Q43" s="1856">
        <f t="shared" ref="Q43" si="38">ROUND(M43,1)-ROUND(H43,1)-ROUND(I43,1)-ROUND(J43,1)-ROUND(K43,1)-ROUND(L43,1)</f>
        <v>0</v>
      </c>
      <c r="R43" s="1856">
        <f t="shared" ref="R43" si="39">ROUND(N43,1)-ROUND(G43,1)-ROUND(M43,1)</f>
        <v>0</v>
      </c>
    </row>
    <row r="44" spans="1:18" ht="20.25" customHeight="1">
      <c r="A44" s="1362" t="s">
        <v>1078</v>
      </c>
      <c r="B44" s="1362"/>
      <c r="C44" s="1362"/>
      <c r="D44" s="1362"/>
      <c r="E44" s="1362"/>
      <c r="F44" s="1362"/>
      <c r="G44" s="1362"/>
      <c r="H44" s="1362"/>
      <c r="I44" s="1362"/>
      <c r="J44" s="600"/>
      <c r="K44" s="1362"/>
      <c r="L44" s="1362"/>
      <c r="M44" s="1988"/>
      <c r="N44" s="1988"/>
      <c r="O44" s="601" t="s">
        <v>1079</v>
      </c>
      <c r="P44" s="895"/>
      <c r="Q44" s="895"/>
      <c r="R44" s="895"/>
    </row>
    <row r="45" spans="1:18" ht="14.25" customHeight="1">
      <c r="A45" s="895" t="s">
        <v>1080</v>
      </c>
      <c r="B45" s="895"/>
      <c r="C45" s="895"/>
      <c r="D45" s="895"/>
      <c r="E45" s="895"/>
      <c r="F45" s="895"/>
      <c r="G45" s="895"/>
      <c r="H45" s="895"/>
      <c r="I45" s="895"/>
      <c r="J45" s="602"/>
      <c r="K45" s="1657"/>
      <c r="L45" s="603"/>
      <c r="M45" s="895"/>
      <c r="N45" s="895"/>
      <c r="O45" s="604" t="s">
        <v>1081</v>
      </c>
      <c r="P45" s="895"/>
      <c r="Q45" s="895"/>
      <c r="R45" s="895"/>
    </row>
    <row r="46" spans="1:18">
      <c r="A46" s="895"/>
      <c r="B46" s="1989"/>
      <c r="C46" s="1990"/>
      <c r="D46" s="1482"/>
      <c r="E46" s="1482"/>
      <c r="F46" s="1482"/>
      <c r="G46" s="1482"/>
      <c r="H46" s="1482"/>
      <c r="I46" s="1482"/>
      <c r="J46" s="1482"/>
      <c r="K46" s="1482"/>
      <c r="L46" s="1482"/>
      <c r="M46" s="1991"/>
      <c r="N46" s="1991"/>
      <c r="O46" s="1991"/>
      <c r="P46" s="895"/>
      <c r="Q46" s="895"/>
      <c r="R46" s="895"/>
    </row>
    <row r="47" spans="1:18" ht="14">
      <c r="A47" s="1245" t="s">
        <v>1082</v>
      </c>
      <c r="B47" s="1245"/>
      <c r="C47" s="1245"/>
      <c r="D47" s="1245"/>
      <c r="E47" s="1245"/>
      <c r="F47" s="1245"/>
      <c r="G47" s="1245"/>
      <c r="H47" s="1245"/>
      <c r="I47" s="1245"/>
      <c r="J47" s="1245"/>
      <c r="K47" s="1245"/>
      <c r="L47" s="1245"/>
      <c r="M47" s="1245"/>
      <c r="N47" s="1245"/>
      <c r="O47" s="1245"/>
      <c r="P47" s="895"/>
      <c r="Q47" s="895"/>
      <c r="R47" s="895"/>
    </row>
    <row r="48" spans="1:18">
      <c r="A48" s="602"/>
      <c r="B48" s="895"/>
      <c r="C48" s="895"/>
      <c r="D48" s="895"/>
      <c r="E48" s="895"/>
      <c r="F48" s="895"/>
      <c r="G48" s="895"/>
      <c r="H48" s="895"/>
      <c r="I48" s="895"/>
      <c r="J48" s="895"/>
      <c r="K48" s="895"/>
      <c r="L48" s="895"/>
      <c r="M48" s="895"/>
      <c r="N48" s="895"/>
      <c r="O48" s="895"/>
      <c r="P48" s="895"/>
      <c r="Q48" s="895"/>
      <c r="R48" s="895"/>
    </row>
    <row r="49" spans="1:1">
      <c r="A49" s="605"/>
    </row>
  </sheetData>
  <phoneticPr fontId="0" type="noConversion"/>
  <printOptions horizontalCentered="1" verticalCentered="1"/>
  <pageMargins left="0" right="0" top="0" bottom="0" header="0.511811023622047" footer="0.511811023622047"/>
  <pageSetup paperSize="9" scale="7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8">
    <tabColor rgb="FFFF0000"/>
  </sheetPr>
  <dimension ref="A1:R49"/>
  <sheetViews>
    <sheetView zoomScale="80" zoomScaleNormal="80" workbookViewId="0">
      <pane ySplit="12" topLeftCell="A38" activePane="bottomLeft" state="frozen"/>
      <selection activeCell="B44" sqref="B44"/>
      <selection pane="bottomLeft" activeCell="J34" sqref="J34"/>
    </sheetView>
  </sheetViews>
  <sheetFormatPr defaultColWidth="7.81640625" defaultRowHeight="12.5"/>
  <cols>
    <col min="1" max="2" width="9.26953125" style="449" customWidth="1"/>
    <col min="3" max="3" width="10.7265625" style="449" customWidth="1"/>
    <col min="4" max="4" width="12.7265625" style="449" customWidth="1"/>
    <col min="5" max="5" width="14" style="449" customWidth="1"/>
    <col min="6" max="6" width="9.7265625" style="449" customWidth="1"/>
    <col min="7" max="7" width="12" style="449" customWidth="1"/>
    <col min="8" max="8" width="11.453125" style="449" customWidth="1"/>
    <col min="9" max="9" width="12.7265625" style="449" customWidth="1"/>
    <col min="10" max="10" width="13.7265625" style="449" customWidth="1"/>
    <col min="11" max="11" width="14" style="449" customWidth="1"/>
    <col min="12" max="12" width="12.453125" style="449" customWidth="1"/>
    <col min="13" max="13" width="14.7265625" style="449" customWidth="1"/>
    <col min="14" max="14" width="12.7265625" style="449" customWidth="1"/>
    <col min="15" max="15" width="13.7265625" style="449" customWidth="1"/>
    <col min="16" max="16384" width="7.81640625" style="449"/>
  </cols>
  <sheetData>
    <row r="1" spans="1:18" s="915" customFormat="1" ht="18">
      <c r="A1" s="1091" t="s">
        <v>1083</v>
      </c>
      <c r="B1" s="1113"/>
      <c r="C1" s="1114"/>
      <c r="D1" s="1114"/>
      <c r="E1" s="1114"/>
      <c r="F1" s="1114"/>
      <c r="G1" s="1114"/>
      <c r="H1" s="1114"/>
      <c r="I1" s="1114"/>
      <c r="J1" s="1114"/>
      <c r="K1" s="1114"/>
      <c r="L1" s="1114"/>
      <c r="M1" s="1114"/>
      <c r="N1" s="1114"/>
      <c r="O1" s="1114"/>
    </row>
    <row r="2" spans="1:18" s="915" customFormat="1" ht="18">
      <c r="A2" s="1036" t="s">
        <v>1084</v>
      </c>
      <c r="B2" s="1113"/>
      <c r="C2" s="1114"/>
      <c r="D2" s="1114"/>
      <c r="E2" s="1114"/>
      <c r="F2" s="1114"/>
      <c r="G2" s="1114"/>
      <c r="H2" s="1114"/>
      <c r="I2" s="1114"/>
      <c r="J2" s="1114"/>
      <c r="K2" s="1114"/>
      <c r="L2" s="1114"/>
      <c r="M2" s="1114"/>
      <c r="N2" s="1114"/>
      <c r="O2" s="1114"/>
    </row>
    <row r="3" spans="1:18" s="915" customFormat="1" ht="18">
      <c r="A3" s="1091" t="s">
        <v>1073</v>
      </c>
      <c r="B3" s="1113"/>
      <c r="C3" s="1114"/>
      <c r="D3" s="1114"/>
      <c r="E3" s="1114"/>
      <c r="F3" s="1114"/>
      <c r="G3" s="1114"/>
      <c r="H3" s="1114"/>
      <c r="I3" s="1114"/>
      <c r="J3" s="1114"/>
      <c r="K3" s="1114"/>
      <c r="L3" s="1114"/>
      <c r="M3" s="1114"/>
      <c r="N3" s="1114"/>
      <c r="O3" s="1114"/>
    </row>
    <row r="4" spans="1:18" s="915" customFormat="1" ht="18">
      <c r="A4" s="1036" t="s">
        <v>382</v>
      </c>
      <c r="B4" s="1113"/>
      <c r="C4" s="1114"/>
      <c r="D4" s="1114"/>
      <c r="E4" s="1114"/>
      <c r="F4" s="1114"/>
      <c r="G4" s="1114"/>
      <c r="H4" s="1114"/>
      <c r="I4" s="1114"/>
      <c r="J4" s="1114"/>
      <c r="K4" s="1114"/>
      <c r="L4" s="1114"/>
      <c r="M4" s="1114"/>
      <c r="N4" s="1114"/>
      <c r="O4" s="1114"/>
    </row>
    <row r="5" spans="1:18" s="915" customFormat="1" ht="18">
      <c r="A5" s="1091" t="s">
        <v>381</v>
      </c>
      <c r="B5" s="1113"/>
      <c r="C5" s="1114"/>
      <c r="D5" s="1114"/>
      <c r="E5" s="1114"/>
      <c r="F5" s="1114"/>
      <c r="G5" s="1114"/>
      <c r="H5" s="1114"/>
      <c r="I5" s="1114"/>
      <c r="J5" s="1114"/>
      <c r="K5" s="1114"/>
      <c r="L5" s="1114"/>
      <c r="M5" s="1114"/>
      <c r="N5" s="1114"/>
      <c r="O5" s="1114"/>
    </row>
    <row r="6" spans="1:18" ht="15.5">
      <c r="A6" s="571" t="s">
        <v>784</v>
      </c>
      <c r="B6" s="606"/>
      <c r="O6" s="516" t="s">
        <v>785</v>
      </c>
    </row>
    <row r="7" spans="1:18" s="1196" customFormat="1" ht="18" customHeight="1">
      <c r="A7" s="1187"/>
      <c r="B7" s="1188"/>
      <c r="C7" s="1189" t="s">
        <v>832</v>
      </c>
      <c r="D7" s="1190"/>
      <c r="E7" s="1190"/>
      <c r="F7" s="1190"/>
      <c r="G7" s="1191" t="s">
        <v>833</v>
      </c>
      <c r="H7" s="1192" t="s">
        <v>1066</v>
      </c>
      <c r="I7" s="1190"/>
      <c r="J7" s="1190"/>
      <c r="K7" s="1190"/>
      <c r="L7" s="1190"/>
      <c r="M7" s="1193" t="s">
        <v>1067</v>
      </c>
      <c r="N7" s="1194"/>
      <c r="O7" s="1195" t="s">
        <v>834</v>
      </c>
    </row>
    <row r="8" spans="1:18" s="575" customFormat="1" ht="18" customHeight="1">
      <c r="A8" s="574"/>
      <c r="C8" s="576"/>
      <c r="D8" s="577" t="s">
        <v>510</v>
      </c>
      <c r="E8" s="577"/>
      <c r="F8" s="578"/>
      <c r="G8" s="579"/>
      <c r="H8" s="574"/>
      <c r="I8" s="580"/>
      <c r="J8" s="580"/>
      <c r="K8" s="607" t="s">
        <v>1041</v>
      </c>
      <c r="L8" s="581"/>
      <c r="M8" s="582"/>
      <c r="N8" s="586" t="s">
        <v>835</v>
      </c>
      <c r="O8" s="573" t="s">
        <v>808</v>
      </c>
    </row>
    <row r="9" spans="1:18" s="575" customFormat="1" ht="18" customHeight="1">
      <c r="A9" s="530" t="s">
        <v>387</v>
      </c>
      <c r="B9" s="531"/>
      <c r="C9" s="576" t="s">
        <v>441</v>
      </c>
      <c r="D9" s="584" t="s">
        <v>787</v>
      </c>
      <c r="E9" s="577" t="s">
        <v>398</v>
      </c>
      <c r="F9" s="577" t="s">
        <v>399</v>
      </c>
      <c r="G9" s="585" t="s">
        <v>1069</v>
      </c>
      <c r="H9" s="576" t="s">
        <v>441</v>
      </c>
      <c r="I9" s="577" t="s">
        <v>854</v>
      </c>
      <c r="J9" s="577" t="s">
        <v>815</v>
      </c>
      <c r="K9" s="577" t="s">
        <v>1043</v>
      </c>
      <c r="L9" s="585" t="s">
        <v>399</v>
      </c>
      <c r="M9" s="585" t="s">
        <v>390</v>
      </c>
      <c r="N9" s="586" t="s">
        <v>382</v>
      </c>
      <c r="O9" s="587" t="s">
        <v>811</v>
      </c>
    </row>
    <row r="10" spans="1:18" s="575" customFormat="1" ht="18" customHeight="1">
      <c r="A10" s="588" t="s">
        <v>395</v>
      </c>
      <c r="B10" s="589"/>
      <c r="C10" s="591"/>
      <c r="D10" s="590" t="s">
        <v>790</v>
      </c>
      <c r="E10" s="590" t="s">
        <v>476</v>
      </c>
      <c r="F10" s="590"/>
      <c r="G10" s="590"/>
      <c r="H10" s="591"/>
      <c r="I10" s="589"/>
      <c r="J10" s="592"/>
      <c r="K10" s="590" t="s">
        <v>1047</v>
      </c>
      <c r="L10" s="590"/>
      <c r="M10" s="590"/>
      <c r="N10" s="593" t="s">
        <v>400</v>
      </c>
      <c r="O10" s="587" t="s">
        <v>1076</v>
      </c>
    </row>
    <row r="11" spans="1:18" s="575" customFormat="1" ht="18" customHeight="1">
      <c r="A11" s="588"/>
      <c r="B11" s="589"/>
      <c r="C11" s="591" t="s">
        <v>413</v>
      </c>
      <c r="D11" s="590" t="s">
        <v>792</v>
      </c>
      <c r="E11" s="590" t="s">
        <v>516</v>
      </c>
      <c r="F11" s="590" t="s">
        <v>407</v>
      </c>
      <c r="G11" s="590" t="s">
        <v>400</v>
      </c>
      <c r="H11" s="591" t="s">
        <v>413</v>
      </c>
      <c r="I11" s="590" t="s">
        <v>792</v>
      </c>
      <c r="J11" s="590" t="s">
        <v>822</v>
      </c>
      <c r="K11" s="590" t="s">
        <v>1052</v>
      </c>
      <c r="L11" s="590" t="s">
        <v>407</v>
      </c>
      <c r="M11" s="590" t="s">
        <v>400</v>
      </c>
      <c r="N11" s="593" t="s">
        <v>381</v>
      </c>
      <c r="O11" s="587" t="s">
        <v>8</v>
      </c>
    </row>
    <row r="12" spans="1:18" s="575" customFormat="1" ht="18" customHeight="1">
      <c r="A12" s="594"/>
      <c r="B12" s="595"/>
      <c r="C12" s="596" t="s">
        <v>819</v>
      </c>
      <c r="D12" s="205"/>
      <c r="E12" s="205"/>
      <c r="F12" s="205" t="s">
        <v>820</v>
      </c>
      <c r="G12" s="608"/>
      <c r="H12" s="609"/>
      <c r="I12" s="608"/>
      <c r="J12" s="608"/>
      <c r="K12" s="608"/>
      <c r="L12" s="205" t="s">
        <v>820</v>
      </c>
      <c r="M12" s="608"/>
      <c r="N12" s="610"/>
      <c r="O12" s="205" t="s">
        <v>1085</v>
      </c>
    </row>
    <row r="13" spans="1:18" s="274" customFormat="1" ht="20.25" customHeight="1">
      <c r="A13" s="263">
        <v>2016</v>
      </c>
      <c r="B13" s="273"/>
      <c r="C13" s="255">
        <v>5472.3688273343332</v>
      </c>
      <c r="D13" s="393">
        <v>621.10597751084401</v>
      </c>
      <c r="E13" s="391">
        <v>170.37068374842158</v>
      </c>
      <c r="F13" s="1272">
        <v>3986.2553988007721</v>
      </c>
      <c r="G13" s="223">
        <v>10250.150887394373</v>
      </c>
      <c r="H13" s="223">
        <v>29375.981750743947</v>
      </c>
      <c r="I13" s="254">
        <v>22800.963024890541</v>
      </c>
      <c r="J13" s="390">
        <v>889.49317901572408</v>
      </c>
      <c r="K13" s="262">
        <v>23243.034781728056</v>
      </c>
      <c r="L13" s="223">
        <v>16476.189297391775</v>
      </c>
      <c r="M13" s="481">
        <v>92785.662033770044</v>
      </c>
      <c r="N13" s="254">
        <v>103035.86292116441</v>
      </c>
      <c r="O13" s="277">
        <v>45198.819711732496</v>
      </c>
      <c r="P13" s="370">
        <v>5.0000000002000888E-2</v>
      </c>
      <c r="Q13" s="383">
        <v>0</v>
      </c>
      <c r="R13" s="370">
        <v>5.0000000002910383E-2</v>
      </c>
    </row>
    <row r="14" spans="1:18" s="276" customFormat="1" ht="14.25" customHeight="1">
      <c r="A14" s="265">
        <v>2017</v>
      </c>
      <c r="B14" s="275"/>
      <c r="C14" s="345">
        <v>5025.098498332788</v>
      </c>
      <c r="D14" s="394">
        <v>872.4821147620022</v>
      </c>
      <c r="E14" s="392">
        <v>201.86325861635936</v>
      </c>
      <c r="F14" s="1273">
        <v>4310.0438679272957</v>
      </c>
      <c r="G14" s="346">
        <v>10409.487739638445</v>
      </c>
      <c r="H14" s="346">
        <v>27334.166198318475</v>
      </c>
      <c r="I14" s="344">
        <v>22452.848351277913</v>
      </c>
      <c r="J14" s="389">
        <v>536.98968766308599</v>
      </c>
      <c r="K14" s="349">
        <v>26363.573125527524</v>
      </c>
      <c r="L14" s="346">
        <v>16865.395555478983</v>
      </c>
      <c r="M14" s="482">
        <v>93552.972918265994</v>
      </c>
      <c r="N14" s="348">
        <v>103962.46065790442</v>
      </c>
      <c r="O14" s="347">
        <v>35096.268653169369</v>
      </c>
      <c r="P14" s="370">
        <v>0</v>
      </c>
      <c r="Q14" s="383">
        <v>0</v>
      </c>
      <c r="R14" s="370">
        <v>0</v>
      </c>
    </row>
    <row r="15" spans="1:18" s="889" customFormat="1" ht="14.25" customHeight="1">
      <c r="A15" s="884">
        <v>2018</v>
      </c>
      <c r="B15" s="885"/>
      <c r="C15" s="864">
        <v>4895.4357257052889</v>
      </c>
      <c r="D15" s="865">
        <v>1122.3581754469355</v>
      </c>
      <c r="E15" s="866">
        <v>98.556526336243039</v>
      </c>
      <c r="F15" s="1274">
        <v>4354.6995856818785</v>
      </c>
      <c r="G15" s="681">
        <v>10471.060013170347</v>
      </c>
      <c r="H15" s="681">
        <v>28238.359348410253</v>
      </c>
      <c r="I15" s="683">
        <v>21561.610907274004</v>
      </c>
      <c r="J15" s="867">
        <v>3.1446406811759999</v>
      </c>
      <c r="K15" s="868">
        <v>28716.625204093187</v>
      </c>
      <c r="L15" s="681">
        <v>17038.901911210534</v>
      </c>
      <c r="M15" s="685">
        <v>95558.643011669163</v>
      </c>
      <c r="N15" s="869">
        <v>106029.67378658651</v>
      </c>
      <c r="O15" s="870">
        <v>29736.504306127077</v>
      </c>
      <c r="P15" s="354">
        <v>1.0000000000218279E-2</v>
      </c>
      <c r="Q15" s="1489">
        <v>1.000000014755642E-3</v>
      </c>
      <c r="R15" s="354">
        <v>-2.923825298785232E-2</v>
      </c>
    </row>
    <row r="16" spans="1:18" s="889" customFormat="1" ht="14.25" customHeight="1">
      <c r="A16" s="884">
        <v>2019</v>
      </c>
      <c r="B16" s="885"/>
      <c r="C16" s="864">
        <v>5562.5000579657335</v>
      </c>
      <c r="D16" s="865">
        <v>807.22339510005702</v>
      </c>
      <c r="E16" s="866">
        <v>390.16756657750477</v>
      </c>
      <c r="F16" s="1274">
        <v>5104.2828140965767</v>
      </c>
      <c r="G16" s="681">
        <v>11864.173826929073</v>
      </c>
      <c r="H16" s="681">
        <v>30443.485140361805</v>
      </c>
      <c r="I16" s="683">
        <v>22182.69966964583</v>
      </c>
      <c r="J16" s="867">
        <v>538.57512067803589</v>
      </c>
      <c r="K16" s="868">
        <v>30907.858002213099</v>
      </c>
      <c r="L16" s="681">
        <v>14901.316629968631</v>
      </c>
      <c r="M16" s="685">
        <v>98973.964562867404</v>
      </c>
      <c r="N16" s="869">
        <v>110838.15874899647</v>
      </c>
      <c r="O16" s="870">
        <v>21905.784079995654</v>
      </c>
      <c r="P16" s="354">
        <v>-6.8107992774457671E-6</v>
      </c>
      <c r="Q16" s="1489">
        <v>3.0000000002473826E-2</v>
      </c>
      <c r="R16" s="354">
        <v>2.0359200003440492E-2</v>
      </c>
    </row>
    <row r="17" spans="1:18" s="889" customFormat="1" ht="14.25" customHeight="1">
      <c r="A17" s="884">
        <v>2020</v>
      </c>
      <c r="B17" s="885"/>
      <c r="C17" s="864">
        <v>6276.0517736601141</v>
      </c>
      <c r="D17" s="865">
        <v>1025.9470837554898</v>
      </c>
      <c r="E17" s="866">
        <v>232.98780029725</v>
      </c>
      <c r="F17" s="1274">
        <v>5186.2304370686579</v>
      </c>
      <c r="G17" s="681">
        <v>12721.217087969811</v>
      </c>
      <c r="H17" s="681">
        <v>27354.185960194889</v>
      </c>
      <c r="I17" s="683">
        <v>20540.836072600301</v>
      </c>
      <c r="J17" s="867">
        <v>1039.355257824702</v>
      </c>
      <c r="K17" s="868">
        <v>35455.621751979386</v>
      </c>
      <c r="L17" s="681">
        <v>15967.56302868453</v>
      </c>
      <c r="M17" s="685">
        <v>100357.55207128383</v>
      </c>
      <c r="N17" s="869">
        <v>113078.75915925363</v>
      </c>
      <c r="O17" s="870">
        <v>19623.44810467762</v>
      </c>
      <c r="P17" s="354">
        <v>-6.811700586695224E-6</v>
      </c>
      <c r="Q17" s="1489">
        <v>-9.9999999692954589E-3</v>
      </c>
      <c r="R17" s="354">
        <v>-1.0000000009313226E-2</v>
      </c>
    </row>
    <row r="18" spans="1:18" s="889" customFormat="1" ht="14.25" customHeight="1">
      <c r="A18" s="884">
        <v>2021</v>
      </c>
      <c r="B18" s="885"/>
      <c r="C18" s="864">
        <v>7446.8269517946537</v>
      </c>
      <c r="D18" s="865">
        <v>979.91857482335399</v>
      </c>
      <c r="E18" s="866">
        <v>274.95735178982557</v>
      </c>
      <c r="F18" s="1274">
        <v>4786.1033037429697</v>
      </c>
      <c r="G18" s="681">
        <v>13487.806182150804</v>
      </c>
      <c r="H18" s="681">
        <v>33274.908926279531</v>
      </c>
      <c r="I18" s="683">
        <v>21472.523485089674</v>
      </c>
      <c r="J18" s="867">
        <v>512.21777705204897</v>
      </c>
      <c r="K18" s="868">
        <v>35091.9181507795</v>
      </c>
      <c r="L18" s="681">
        <v>14263.40893625649</v>
      </c>
      <c r="M18" s="685">
        <v>104614.92727545711</v>
      </c>
      <c r="N18" s="869">
        <v>118102.73345760684</v>
      </c>
      <c r="O18" s="870">
        <v>20834.975574016094</v>
      </c>
      <c r="P18" s="354">
        <v>0</v>
      </c>
      <c r="Q18" s="1489">
        <v>-5.0000000132058631E-2</v>
      </c>
      <c r="R18" s="354">
        <v>-1.076841726899147E-9</v>
      </c>
    </row>
    <row r="19" spans="1:18" s="483" customFormat="1" ht="14.25" customHeight="1">
      <c r="A19" s="1782">
        <v>2022</v>
      </c>
      <c r="B19" s="1783"/>
      <c r="C19" s="1857">
        <v>6701.2014015622372</v>
      </c>
      <c r="D19" s="1499">
        <v>1889.2183679958953</v>
      </c>
      <c r="E19" s="1497">
        <v>204.64350780293682</v>
      </c>
      <c r="F19" s="1534">
        <v>6934.5698676018192</v>
      </c>
      <c r="G19" s="1498">
        <v>15729.633144962887</v>
      </c>
      <c r="H19" s="1498">
        <v>31645.955667460843</v>
      </c>
      <c r="I19" s="1515">
        <v>25442.095881477835</v>
      </c>
      <c r="J19" s="1612">
        <v>546.68189714289201</v>
      </c>
      <c r="K19" s="1521">
        <v>36231.340790781469</v>
      </c>
      <c r="L19" s="1498">
        <v>12777.099732181703</v>
      </c>
      <c r="M19" s="1432">
        <v>106643.20396904464</v>
      </c>
      <c r="N19" s="1500">
        <v>122372.83711400752</v>
      </c>
      <c r="O19" s="1780">
        <v>21483.751969947483</v>
      </c>
      <c r="P19" s="1856">
        <v>0</v>
      </c>
      <c r="Q19" s="1858">
        <v>2.9999999891515472E-2</v>
      </c>
      <c r="R19" s="1856">
        <v>0</v>
      </c>
    </row>
    <row r="20" spans="1:18" s="483" customFormat="1" ht="14.25" customHeight="1">
      <c r="A20" s="1782">
        <v>2023</v>
      </c>
      <c r="B20" s="1783"/>
      <c r="C20" s="1857">
        <v>6950.2727625431671</v>
      </c>
      <c r="D20" s="1499">
        <v>1771.0204096518075</v>
      </c>
      <c r="E20" s="1497">
        <v>47.981840089883526</v>
      </c>
      <c r="F20" s="1534">
        <v>5082.7434989219764</v>
      </c>
      <c r="G20" s="1498">
        <v>13852.018511206836</v>
      </c>
      <c r="H20" s="1498">
        <v>35737.846895121016</v>
      </c>
      <c r="I20" s="1515">
        <v>27551.833813543555</v>
      </c>
      <c r="J20" s="1612">
        <v>515.99999999952001</v>
      </c>
      <c r="K20" s="1521">
        <v>42834.75713933941</v>
      </c>
      <c r="L20" s="1498">
        <v>10959.423351313453</v>
      </c>
      <c r="M20" s="1432">
        <v>117599.84119931694</v>
      </c>
      <c r="N20" s="1500">
        <v>131451.83971052378</v>
      </c>
      <c r="O20" s="1780">
        <v>23958.947154089299</v>
      </c>
      <c r="P20" s="1856">
        <v>0</v>
      </c>
      <c r="Q20" s="1858">
        <v>-2.0000000018626451E-2</v>
      </c>
      <c r="R20" s="1856">
        <v>-2.0000000004074536E-2</v>
      </c>
    </row>
    <row r="21" spans="1:18" s="483" customFormat="1" ht="14.25" customHeight="1">
      <c r="A21" s="1782">
        <v>2024</v>
      </c>
      <c r="B21" s="1783"/>
      <c r="C21" s="1857">
        <v>6899.4600072129961</v>
      </c>
      <c r="D21" s="1499">
        <v>1045.9441128210117</v>
      </c>
      <c r="E21" s="1497">
        <v>120.87282053140629</v>
      </c>
      <c r="F21" s="1534">
        <v>4766.0053601959016</v>
      </c>
      <c r="G21" s="1498">
        <v>12832.282300761315</v>
      </c>
      <c r="H21" s="1498">
        <v>41124.759756934851</v>
      </c>
      <c r="I21" s="1515">
        <v>24574.611961686849</v>
      </c>
      <c r="J21" s="1612">
        <v>587.00125878951997</v>
      </c>
      <c r="K21" s="1521">
        <v>45289.749663294875</v>
      </c>
      <c r="L21" s="1498">
        <v>12489.696948405232</v>
      </c>
      <c r="M21" s="1432">
        <v>124065.80958911133</v>
      </c>
      <c r="N21" s="1500">
        <v>136898.09188987262</v>
      </c>
      <c r="O21" s="1780">
        <v>21863.933704486044</v>
      </c>
      <c r="P21" s="1855">
        <v>0</v>
      </c>
      <c r="Q21" s="1856">
        <v>0</v>
      </c>
      <c r="R21" s="1856">
        <v>0</v>
      </c>
    </row>
    <row r="22" spans="1:18" s="483" customFormat="1" ht="14.25" customHeight="1">
      <c r="A22" s="2058">
        <v>2025</v>
      </c>
      <c r="B22" s="2200"/>
      <c r="C22" s="2203">
        <f t="shared" ref="C22:O22" si="0">C29</f>
        <v>7555.1266632723409</v>
      </c>
      <c r="D22" s="2204">
        <f t="shared" si="0"/>
        <v>1108.2456790579668</v>
      </c>
      <c r="E22" s="2205">
        <f t="shared" si="0"/>
        <v>153.56208195117091</v>
      </c>
      <c r="F22" s="2206">
        <f t="shared" si="0"/>
        <v>4805.1415465594364</v>
      </c>
      <c r="G22" s="2207">
        <f t="shared" si="0"/>
        <v>13622.025970840916</v>
      </c>
      <c r="H22" s="2207">
        <f t="shared" si="0"/>
        <v>35608.384554123171</v>
      </c>
      <c r="I22" s="2208">
        <f t="shared" si="0"/>
        <v>29745.999944120391</v>
      </c>
      <c r="J22" s="2209">
        <f t="shared" si="0"/>
        <v>2.1742879289999999E-2</v>
      </c>
      <c r="K22" s="2210">
        <f t="shared" si="0"/>
        <v>43462.857661784205</v>
      </c>
      <c r="L22" s="2207">
        <f t="shared" si="0"/>
        <v>12331.612675009197</v>
      </c>
      <c r="M22" s="2202">
        <f t="shared" si="0"/>
        <v>121148.87657791626</v>
      </c>
      <c r="N22" s="2211">
        <f t="shared" si="0"/>
        <v>134770.94254875719</v>
      </c>
      <c r="O22" s="2212">
        <f t="shared" si="0"/>
        <v>25078.559345434871</v>
      </c>
      <c r="P22" s="1855">
        <f t="shared" ref="P22" si="1">ROUND(G22,1)-ROUND(C22,1)-ROUND(D22,1)-ROUND(E22,1)-ROUND(F22,1)</f>
        <v>0</v>
      </c>
      <c r="Q22" s="1856">
        <f t="shared" ref="Q22" si="2">ROUND(M22,1)-ROUND(H22,1)-ROUND(I22,1)-ROUND(J22,1)-ROUND(K22,1)-ROUND(L22,1)</f>
        <v>0</v>
      </c>
      <c r="R22" s="1856">
        <f t="shared" ref="R22" si="3">ROUND(N22,1)-ROUND(G22,1)-ROUND(M22,1)</f>
        <v>0</v>
      </c>
    </row>
    <row r="23" spans="1:18" s="889" customFormat="1" ht="21" customHeight="1">
      <c r="A23" s="884">
        <v>2024</v>
      </c>
      <c r="B23" s="885" t="s">
        <v>243</v>
      </c>
      <c r="C23" s="864">
        <v>6724.8166292387341</v>
      </c>
      <c r="D23" s="865">
        <v>1540.6508436123847</v>
      </c>
      <c r="E23" s="866">
        <v>106.19418148303306</v>
      </c>
      <c r="F23" s="1274">
        <v>5207.5251450115866</v>
      </c>
      <c r="G23" s="681">
        <v>13579.18679934574</v>
      </c>
      <c r="H23" s="681">
        <v>37590.88448328447</v>
      </c>
      <c r="I23" s="683">
        <v>26554.969580612807</v>
      </c>
      <c r="J23" s="867">
        <v>515.99999999952001</v>
      </c>
      <c r="K23" s="868">
        <v>45116.905166067736</v>
      </c>
      <c r="L23" s="681">
        <v>10723.441424759365</v>
      </c>
      <c r="M23" s="685">
        <v>120502.21065472389</v>
      </c>
      <c r="N23" s="869">
        <v>134081.39745406964</v>
      </c>
      <c r="O23" s="870">
        <v>20727.231556652056</v>
      </c>
      <c r="P23" s="354">
        <v>0</v>
      </c>
      <c r="Q23" s="1489">
        <v>1.0000000003856258E-2</v>
      </c>
      <c r="R23" s="354">
        <v>0</v>
      </c>
    </row>
    <row r="24" spans="1:18" s="889" customFormat="1" ht="15" customHeight="1">
      <c r="A24" s="884"/>
      <c r="B24" s="885" t="s">
        <v>240</v>
      </c>
      <c r="C24" s="864">
        <v>6887.5307608958428</v>
      </c>
      <c r="D24" s="865">
        <v>1461.205374060929</v>
      </c>
      <c r="E24" s="866">
        <v>110.50826549261909</v>
      </c>
      <c r="F24" s="1274">
        <v>5102.0633332173275</v>
      </c>
      <c r="G24" s="681">
        <v>13561.307733666717</v>
      </c>
      <c r="H24" s="681">
        <v>41078.469064863049</v>
      </c>
      <c r="I24" s="683">
        <v>27351.714303339781</v>
      </c>
      <c r="J24" s="867">
        <v>506.99999999952001</v>
      </c>
      <c r="K24" s="868">
        <v>44968.138252921912</v>
      </c>
      <c r="L24" s="681">
        <v>11804.142219719994</v>
      </c>
      <c r="M24" s="685">
        <v>125709.43384084424</v>
      </c>
      <c r="N24" s="869">
        <v>139270.74157451099</v>
      </c>
      <c r="O24" s="870">
        <v>21077.033532164696</v>
      </c>
      <c r="P24" s="354">
        <v>0</v>
      </c>
      <c r="Q24" s="1489">
        <v>-3.0000000013387762E-2</v>
      </c>
      <c r="R24" s="354">
        <v>0</v>
      </c>
    </row>
    <row r="25" spans="1:18" s="889" customFormat="1" ht="15" customHeight="1">
      <c r="A25" s="884"/>
      <c r="B25" s="885" t="s">
        <v>241</v>
      </c>
      <c r="C25" s="864">
        <v>6899.4600072129961</v>
      </c>
      <c r="D25" s="865">
        <v>1045.9441128210117</v>
      </c>
      <c r="E25" s="866">
        <v>120.87282053140629</v>
      </c>
      <c r="F25" s="1274">
        <v>4766.0053601959016</v>
      </c>
      <c r="G25" s="681">
        <v>12832.282300761315</v>
      </c>
      <c r="H25" s="681">
        <v>41124.759756934851</v>
      </c>
      <c r="I25" s="683">
        <v>24574.611961686849</v>
      </c>
      <c r="J25" s="867">
        <v>587.00125878951997</v>
      </c>
      <c r="K25" s="868">
        <v>45289.749663294875</v>
      </c>
      <c r="L25" s="681">
        <v>12489.696948405232</v>
      </c>
      <c r="M25" s="685">
        <v>124065.80958911133</v>
      </c>
      <c r="N25" s="869">
        <v>136898.09188987262</v>
      </c>
      <c r="O25" s="870">
        <v>21863.933704486044</v>
      </c>
      <c r="P25" s="354">
        <v>0</v>
      </c>
      <c r="Q25" s="1489">
        <v>-1.0000000002037268E-2</v>
      </c>
      <c r="R25" s="354">
        <v>0</v>
      </c>
    </row>
    <row r="26" spans="1:18" s="889" customFormat="1" ht="21" customHeight="1">
      <c r="A26" s="884">
        <v>2025</v>
      </c>
      <c r="B26" s="885" t="s">
        <v>242</v>
      </c>
      <c r="C26" s="864">
        <v>7513.4609848505697</v>
      </c>
      <c r="D26" s="865">
        <v>1122.4997514029253</v>
      </c>
      <c r="E26" s="866">
        <v>159.67617166095002</v>
      </c>
      <c r="F26" s="1274">
        <v>4361.280896042972</v>
      </c>
      <c r="G26" s="681">
        <v>13156.957803957415</v>
      </c>
      <c r="H26" s="681">
        <v>41849.169302501308</v>
      </c>
      <c r="I26" s="683">
        <v>21815.061335379087</v>
      </c>
      <c r="J26" s="867">
        <v>6.1844895200000001E-3</v>
      </c>
      <c r="K26" s="868">
        <v>48190.779437822996</v>
      </c>
      <c r="L26" s="681">
        <v>12225.500990302162</v>
      </c>
      <c r="M26" s="685">
        <v>124080.55725049507</v>
      </c>
      <c r="N26" s="869">
        <v>137237.59505445248</v>
      </c>
      <c r="O26" s="870">
        <v>21835.180425190221</v>
      </c>
      <c r="P26" s="354">
        <v>3.9999999998144631E-2</v>
      </c>
      <c r="Q26" s="1489">
        <v>4.0000000002692104E-2</v>
      </c>
      <c r="R26" s="1856">
        <v>0</v>
      </c>
    </row>
    <row r="27" spans="1:18" s="889" customFormat="1" ht="15" customHeight="1">
      <c r="A27" s="884"/>
      <c r="B27" s="885" t="s">
        <v>243</v>
      </c>
      <c r="C27" s="864">
        <v>7892.7024207622326</v>
      </c>
      <c r="D27" s="865">
        <v>1309.1001269300514</v>
      </c>
      <c r="E27" s="866">
        <v>98.380422964587439</v>
      </c>
      <c r="F27" s="1274">
        <v>4765.6972296660069</v>
      </c>
      <c r="G27" s="681">
        <v>14065.880200322879</v>
      </c>
      <c r="H27" s="681">
        <v>38980.461456075391</v>
      </c>
      <c r="I27" s="683">
        <v>23481.840676370841</v>
      </c>
      <c r="J27" s="867">
        <v>1.116491952E-2</v>
      </c>
      <c r="K27" s="868">
        <v>48101.707911515026</v>
      </c>
      <c r="L27" s="681">
        <v>11885.739663929979</v>
      </c>
      <c r="M27" s="685">
        <v>122449.74087281075</v>
      </c>
      <c r="N27" s="869">
        <v>136515.64107313362</v>
      </c>
      <c r="O27" s="870">
        <v>24382.8500593719</v>
      </c>
      <c r="P27" s="1855">
        <v>0</v>
      </c>
      <c r="Q27" s="1856">
        <v>0</v>
      </c>
      <c r="R27" s="1856">
        <v>0</v>
      </c>
    </row>
    <row r="28" spans="1:18" s="889" customFormat="1" ht="15" customHeight="1">
      <c r="A28" s="884"/>
      <c r="B28" s="885" t="s">
        <v>240</v>
      </c>
      <c r="C28" s="864">
        <f t="shared" ref="C28:O28" si="4">C35</f>
        <v>7442.6807921737054</v>
      </c>
      <c r="D28" s="865">
        <f t="shared" si="4"/>
        <v>1193.6301460218151</v>
      </c>
      <c r="E28" s="866">
        <f t="shared" si="4"/>
        <v>136.23547568592198</v>
      </c>
      <c r="F28" s="1274">
        <f t="shared" si="4"/>
        <v>4871.7976460485552</v>
      </c>
      <c r="G28" s="681">
        <f t="shared" si="4"/>
        <v>13644.344059929999</v>
      </c>
      <c r="H28" s="681">
        <f t="shared" si="4"/>
        <v>37188.202355567068</v>
      </c>
      <c r="I28" s="683">
        <f t="shared" si="4"/>
        <v>28502.369242941299</v>
      </c>
      <c r="J28" s="867">
        <f t="shared" si="4"/>
        <v>1.6200079520000001E-2</v>
      </c>
      <c r="K28" s="868">
        <f t="shared" si="4"/>
        <v>47147.847304741539</v>
      </c>
      <c r="L28" s="681">
        <f t="shared" si="4"/>
        <v>12753.484343713328</v>
      </c>
      <c r="M28" s="685">
        <f t="shared" si="4"/>
        <v>125591.91944704275</v>
      </c>
      <c r="N28" s="869">
        <f t="shared" si="4"/>
        <v>139236.24350697277</v>
      </c>
      <c r="O28" s="870">
        <f t="shared" si="4"/>
        <v>26048.131780299052</v>
      </c>
      <c r="P28" s="1855">
        <f t="shared" ref="P28" si="5">ROUND(G28,1)-ROUND(C28,1)-ROUND(D28,1)-ROUND(E28,1)-ROUND(F28,1)</f>
        <v>0</v>
      </c>
      <c r="Q28" s="1856">
        <f t="shared" ref="Q28" si="6">ROUND(M28,1)-ROUND(H28,1)-ROUND(I28,1)-ROUND(J28,1)-ROUND(K28,1)-ROUND(L28,1)</f>
        <v>0</v>
      </c>
      <c r="R28" s="1856">
        <f t="shared" ref="R28" si="7">ROUND(N28,1)-ROUND(G28,1)-ROUND(M28,1)</f>
        <v>0</v>
      </c>
    </row>
    <row r="29" spans="1:18" s="889" customFormat="1" ht="15" customHeight="1">
      <c r="A29" s="884"/>
      <c r="B29" s="885" t="s">
        <v>241</v>
      </c>
      <c r="C29" s="864">
        <f t="shared" ref="C29:O29" si="8">C38</f>
        <v>7555.1266632723409</v>
      </c>
      <c r="D29" s="865">
        <f t="shared" si="8"/>
        <v>1108.2456790579668</v>
      </c>
      <c r="E29" s="866">
        <f t="shared" si="8"/>
        <v>153.56208195117091</v>
      </c>
      <c r="F29" s="1274">
        <f t="shared" si="8"/>
        <v>4805.1415465594364</v>
      </c>
      <c r="G29" s="681">
        <f t="shared" si="8"/>
        <v>13622.025970840916</v>
      </c>
      <c r="H29" s="681">
        <f t="shared" si="8"/>
        <v>35608.384554123171</v>
      </c>
      <c r="I29" s="683">
        <f t="shared" si="8"/>
        <v>29745.999944120391</v>
      </c>
      <c r="J29" s="867">
        <f t="shared" si="8"/>
        <v>2.1742879289999999E-2</v>
      </c>
      <c r="K29" s="868">
        <f t="shared" si="8"/>
        <v>43462.857661784205</v>
      </c>
      <c r="L29" s="681">
        <f t="shared" si="8"/>
        <v>12331.612675009197</v>
      </c>
      <c r="M29" s="685">
        <f t="shared" si="8"/>
        <v>121148.87657791626</v>
      </c>
      <c r="N29" s="869">
        <f t="shared" si="8"/>
        <v>134770.94254875719</v>
      </c>
      <c r="O29" s="870">
        <f t="shared" si="8"/>
        <v>25078.559345434871</v>
      </c>
      <c r="P29" s="1855">
        <f t="shared" ref="P29" si="9">ROUND(G29,1)-ROUND(C29,1)-ROUND(D29,1)-ROUND(E29,1)-ROUND(F29,1)</f>
        <v>0</v>
      </c>
      <c r="Q29" s="1856">
        <f t="shared" ref="Q29" si="10">ROUND(M29,1)-ROUND(H29,1)-ROUND(I29,1)-ROUND(J29,1)-ROUND(K29,1)-ROUND(L29,1)</f>
        <v>0</v>
      </c>
      <c r="R29" s="1856">
        <f t="shared" ref="R29" si="11">ROUND(N29,1)-ROUND(G29,1)-ROUND(M29,1)</f>
        <v>0</v>
      </c>
    </row>
    <row r="30" spans="1:18" s="889" customFormat="1" ht="21" customHeight="1">
      <c r="A30" s="1681">
        <v>2026</v>
      </c>
      <c r="B30" s="1687" t="s">
        <v>242</v>
      </c>
      <c r="C30" s="1773">
        <f t="shared" ref="C30:O30" si="12">C41</f>
        <v>8547.8734501970084</v>
      </c>
      <c r="D30" s="1774">
        <f t="shared" si="12"/>
        <v>1004.9491471638297</v>
      </c>
      <c r="E30" s="1715">
        <f t="shared" si="12"/>
        <v>168.65935127734576</v>
      </c>
      <c r="F30" s="1775">
        <f t="shared" si="12"/>
        <v>4940.6199866816241</v>
      </c>
      <c r="G30" s="1769">
        <f t="shared" si="12"/>
        <v>14662.091935319808</v>
      </c>
      <c r="H30" s="1769">
        <f t="shared" si="12"/>
        <v>35217.459279859839</v>
      </c>
      <c r="I30" s="1767">
        <f t="shared" si="12"/>
        <v>23628.802379453671</v>
      </c>
      <c r="J30" s="1716">
        <f t="shared" si="12"/>
        <v>2.8300278120000001E-2</v>
      </c>
      <c r="K30" s="1776">
        <f t="shared" si="12"/>
        <v>46379.85884371549</v>
      </c>
      <c r="L30" s="1769">
        <f t="shared" si="12"/>
        <v>12423.285703592539</v>
      </c>
      <c r="M30" s="1777">
        <f t="shared" si="12"/>
        <v>117649.46450689966</v>
      </c>
      <c r="N30" s="1778">
        <f t="shared" si="12"/>
        <v>132311.56644221945</v>
      </c>
      <c r="O30" s="1779">
        <f t="shared" si="12"/>
        <v>26505.367325115571</v>
      </c>
      <c r="P30" s="354">
        <f t="shared" ref="P30" si="13">ROUND(G30,1)-ROUND(C30,1)-ROUND(D30,1)-ROUND(E30,1)-ROUND(F30,1)</f>
        <v>0</v>
      </c>
      <c r="Q30" s="1489">
        <f t="shared" ref="Q30" si="14">ROUND(M30,1)-ROUND(H30,1)-ROUND(I30,1)-ROUND(J30,1)-ROUND(K30,1)-ROUND(L30,1)</f>
        <v>0</v>
      </c>
      <c r="R30" s="1856">
        <f t="shared" ref="R30" si="15">ROUND(N30,1)-ROUND(G30,1)-ROUND(M30,1)</f>
        <v>0</v>
      </c>
    </row>
    <row r="31" spans="1:18" s="483" customFormat="1" ht="21" customHeight="1">
      <c r="A31" s="1782">
        <v>2025</v>
      </c>
      <c r="B31" s="1783" t="s">
        <v>427</v>
      </c>
      <c r="C31" s="1857">
        <v>8030.7683085740664</v>
      </c>
      <c r="D31" s="1499">
        <v>1060.7454849396445</v>
      </c>
      <c r="E31" s="1497">
        <v>98.868950788632958</v>
      </c>
      <c r="F31" s="1534">
        <v>4455.8212413221427</v>
      </c>
      <c r="G31" s="1498">
        <v>13646.203985624488</v>
      </c>
      <c r="H31" s="1498">
        <v>38126.327198945772</v>
      </c>
      <c r="I31" s="1515">
        <v>20119.171184611288</v>
      </c>
      <c r="J31" s="2481">
        <v>0</v>
      </c>
      <c r="K31" s="1521">
        <v>46096.266970517827</v>
      </c>
      <c r="L31" s="1498">
        <v>11999.340911123389</v>
      </c>
      <c r="M31" s="1432">
        <v>116341.12626519827</v>
      </c>
      <c r="N31" s="1500">
        <v>129987.33025082276</v>
      </c>
      <c r="O31" s="1780">
        <v>23180.340705302002</v>
      </c>
      <c r="P31" s="1855">
        <v>0</v>
      </c>
      <c r="Q31" s="1856">
        <v>0</v>
      </c>
      <c r="R31" s="1856">
        <v>0</v>
      </c>
    </row>
    <row r="32" spans="1:18" s="483" customFormat="1" ht="15" customHeight="1">
      <c r="A32" s="1782"/>
      <c r="B32" s="1783" t="s">
        <v>428</v>
      </c>
      <c r="C32" s="1857">
        <f>SUM('[49]1'!$C$14:$D$14)+SUM('[49]1'!$C$18:$D$18)+SUM('[49]1'!$C$30:$D$30)+SUM('[49]1'!$C$33:$D$33)</f>
        <v>7892.7024207622326</v>
      </c>
      <c r="D32" s="1499">
        <f>SUM('[49]1'!$C$25:$D$29)</f>
        <v>1309.1001269300514</v>
      </c>
      <c r="E32" s="1497">
        <f>SUM('[49]1'!$C$23:$D$24)</f>
        <v>98.380422964587439</v>
      </c>
      <c r="F32" s="1534">
        <f>SUM('[49]1'!$C$31:$D$31)+SUM('[49]1'!$C$34:$D$34)+SUM('[49]1'!$C$36:$D$36)+SUM('[49]1'!$C$37:$D$37)</f>
        <v>4765.6972296660069</v>
      </c>
      <c r="G32" s="1498">
        <f>SUM('[49]1'!$C$38:$D$38)</f>
        <v>14065.880200322879</v>
      </c>
      <c r="H32" s="1498">
        <f>SUM('[49]1'!$E$14:$P$14)+SUM('[49]1'!$E$18:$P$18)</f>
        <v>38980.461456075391</v>
      </c>
      <c r="I32" s="1515">
        <f>SUM('[49]1'!$E$22:$P$22)</f>
        <v>23481.840676370841</v>
      </c>
      <c r="J32" s="2481">
        <f>SUM('[49]1'!$E$30:$P$30)</f>
        <v>1.116491952E-2</v>
      </c>
      <c r="K32" s="1521">
        <f>SUM('[49]1'!$E$33:$P$33)</f>
        <v>48101.707911515026</v>
      </c>
      <c r="L32" s="1498">
        <f>SUM('[49]1'!$E$31:$P$31)+SUM('[49]1'!$E$32:$P$32)+SUM('[49]1'!$E$34:$P$34)+SUM('[49]1'!$E$36:$P$36)+SUM('[49]1'!$E$37:$P$37)</f>
        <v>11885.739663929979</v>
      </c>
      <c r="M32" s="1241">
        <f>SUM('[49]1'!$E$38:$P$38)-0.02</f>
        <v>122449.74087281075</v>
      </c>
      <c r="N32" s="1500">
        <f>'[49]1'!$Q$38</f>
        <v>136515.64107313362</v>
      </c>
      <c r="O32" s="1780">
        <f>'[49]1'!$Q$40</f>
        <v>24382.8500593719</v>
      </c>
      <c r="P32" s="1855">
        <f t="shared" ref="P32" si="16">ROUND(G32,1)-ROUND(C32,1)-ROUND(D32,1)-ROUND(E32,1)-ROUND(F32,1)</f>
        <v>0</v>
      </c>
      <c r="Q32" s="1856">
        <f t="shared" ref="Q32" si="17">ROUND(M32,1)-ROUND(H32,1)-ROUND(I32,1)-ROUND(J32,1)-ROUND(K32,1)-ROUND(L32,1)</f>
        <v>0</v>
      </c>
      <c r="R32" s="1856">
        <f t="shared" ref="R32" si="18">ROUND(N32,1)-ROUND(G32,1)-ROUND(M32,1)</f>
        <v>0</v>
      </c>
    </row>
    <row r="33" spans="1:18" s="483" customFormat="1" ht="15" customHeight="1">
      <c r="A33" s="1782"/>
      <c r="B33" s="1783" t="s">
        <v>429</v>
      </c>
      <c r="C33" s="1857">
        <f>SUM('[50]1'!$C$14:$D$14)+SUM('[50]1'!$C$18:$D$18)+SUM('[50]1'!$C$30:$D$30)+SUM('[50]1'!$C$33:$D$33)</f>
        <v>8474.0557921989875</v>
      </c>
      <c r="D33" s="1499">
        <f>SUM('[50]1'!$C$25:$D$29)</f>
        <v>1181.5853702651186</v>
      </c>
      <c r="E33" s="1497">
        <f>SUM('[50]1'!$C$23:$D$24)</f>
        <v>106.19056620683146</v>
      </c>
      <c r="F33" s="2098">
        <f>SUM('[50]1'!$C$31:$D$31)+SUM('[50]1'!$C$34:$D$34)+SUM('[50]1'!$C$36:$D$36)+SUM('[50]1'!$C$37:$D$37)-0.02</f>
        <v>4800.0393890212399</v>
      </c>
      <c r="G33" s="1498">
        <f>SUM('[50]1'!$C$38:$D$38)</f>
        <v>14561.891117692179</v>
      </c>
      <c r="H33" s="1498">
        <f>SUM('[50]1'!$E$14:$P$14)+SUM('[50]1'!$E$18:$P$18)</f>
        <v>33863.503433180609</v>
      </c>
      <c r="I33" s="1515">
        <f>SUM('[50]1'!$E$22:$P$22)</f>
        <v>22287.899403542673</v>
      </c>
      <c r="J33" s="2481">
        <f>SUM('[50]1'!$E$30:$P$30)</f>
        <v>1.286154952E-2</v>
      </c>
      <c r="K33" s="1521">
        <f>SUM('[50]1'!$E$33:$P$33)</f>
        <v>46557.381609623146</v>
      </c>
      <c r="L33" s="1498">
        <f>SUM('[50]1'!$E$31:$P$31)+SUM('[50]1'!$E$32:$P$32)+SUM('[50]1'!$E$34:$P$34)+SUM('[50]1'!$E$36:$P$36)+SUM('[50]1'!$E$37:$P$37)</f>
        <v>12499.773211086887</v>
      </c>
      <c r="M33" s="1432">
        <f>SUM('[50]1'!$E$38:$P$38)</f>
        <v>115208.57051898283</v>
      </c>
      <c r="N33" s="1500">
        <f>'[50]1'!$Q$38</f>
        <v>129770.461636675</v>
      </c>
      <c r="O33" s="1780">
        <f>'[50]1'!$Q$40</f>
        <v>26125.566754999083</v>
      </c>
      <c r="P33" s="1855">
        <f t="shared" ref="P33" si="19">ROUND(G33,1)-ROUND(C33,1)-ROUND(D33,1)-ROUND(E33,1)-ROUND(F33,1)</f>
        <v>0</v>
      </c>
      <c r="Q33" s="1856">
        <f t="shared" ref="Q33" si="20">ROUND(M33,1)-ROUND(H33,1)-ROUND(I33,1)-ROUND(J33,1)-ROUND(K33,1)-ROUND(L33,1)</f>
        <v>0</v>
      </c>
      <c r="R33" s="1856">
        <f t="shared" ref="R33" si="21">ROUND(N33,1)-ROUND(G33,1)-ROUND(M33,1)</f>
        <v>0</v>
      </c>
    </row>
    <row r="34" spans="1:18" s="483" customFormat="1" ht="15" customHeight="1">
      <c r="A34" s="1782"/>
      <c r="B34" s="1783" t="s">
        <v>430</v>
      </c>
      <c r="C34" s="1857">
        <f>SUM('[51]1'!$C$14:$D$14)+SUM('[51]1'!$C$18:$D$18)+SUM('[51]1'!$C$30:$D$30)+SUM('[51]1'!$C$33:$D$33)</f>
        <v>8150.2857457939535</v>
      </c>
      <c r="D34" s="1499">
        <f>SUM('[51]1'!$C$25:$D$29)</f>
        <v>1193.9029637188416</v>
      </c>
      <c r="E34" s="1497">
        <f>SUM('[51]1'!$C$23:$D$24)</f>
        <v>162.27696617248989</v>
      </c>
      <c r="F34" s="1534">
        <f>SUM('[51]1'!$C$31:$D$31)+SUM('[51]1'!$C$34:$D$34)+SUM('[51]1'!$C$36:$D$36)+SUM('[51]1'!$C$37:$D$37)</f>
        <v>4942.2250925073113</v>
      </c>
      <c r="G34" s="1498">
        <f>SUM('[51]1'!$C$38:$D$38)</f>
        <v>14448.690768192597</v>
      </c>
      <c r="H34" s="1498">
        <f>SUM('[51]1'!$E$14:$P$14)+SUM('[51]1'!$E$18:$P$18)</f>
        <v>33838.598441314418</v>
      </c>
      <c r="I34" s="1515">
        <f>SUM('[51]1'!$E$22:$P$22)</f>
        <v>19498.873989211021</v>
      </c>
      <c r="J34" s="2481">
        <f>SUM('[51]1'!$E$30:$P$30)</f>
        <v>1.4558179520000001E-2</v>
      </c>
      <c r="K34" s="2487">
        <f>SUM('[51]1'!$E$33:$P$33)+0.03</f>
        <v>48691.757656186746</v>
      </c>
      <c r="L34" s="1498">
        <f>SUM('[51]1'!$E$31:$P$31)+SUM('[51]1'!$E$32:$P$32)+SUM('[51]1'!$E$34:$P$34)+SUM('[51]1'!$E$36:$P$36)+SUM('[51]1'!$E$37:$P$37)</f>
        <v>12621.306013729867</v>
      </c>
      <c r="M34" s="1241">
        <f>SUM('[51]1'!$E$38:$P$38)+0.03</f>
        <v>114650.55065862158</v>
      </c>
      <c r="N34" s="883">
        <f>'[51]1'!$Q$38+0.05</f>
        <v>129099.26142681418</v>
      </c>
      <c r="O34" s="1780">
        <f>'[51]1'!$Q$40</f>
        <v>24175.970558727797</v>
      </c>
      <c r="P34" s="1855">
        <f t="shared" ref="P34" si="22">ROUND(G34,1)-ROUND(C34,1)-ROUND(D34,1)-ROUND(E34,1)-ROUND(F34,1)</f>
        <v>0</v>
      </c>
      <c r="Q34" s="1856">
        <f t="shared" ref="Q34" si="23">ROUND(M34,1)-ROUND(H34,1)-ROUND(I34,1)-ROUND(J34,1)-ROUND(K34,1)-ROUND(L34,1)</f>
        <v>0</v>
      </c>
      <c r="R34" s="1856">
        <f t="shared" ref="R34" si="24">ROUND(N34,1)-ROUND(G34,1)-ROUND(M34,1)</f>
        <v>0</v>
      </c>
    </row>
    <row r="35" spans="1:18" s="483" customFormat="1" ht="15" customHeight="1">
      <c r="A35" s="1782"/>
      <c r="B35" s="1783" t="s">
        <v>431</v>
      </c>
      <c r="C35" s="1857">
        <f>SUM('[52]1'!$C$14:$D$14)+SUM('[52]1'!$C$18:$D$18)+SUM('[52]1'!$C$30:$D$30)+SUM('[52]1'!$C$33:$D$33)</f>
        <v>7442.6807921737054</v>
      </c>
      <c r="D35" s="1499">
        <f>SUM('[52]1'!$C$25:$D$29)</f>
        <v>1193.6301460218151</v>
      </c>
      <c r="E35" s="1497">
        <f>SUM('[52]1'!$C$23:$D$24)</f>
        <v>136.23547568592198</v>
      </c>
      <c r="F35" s="1534">
        <f>SUM('[52]1'!$C$31:$D$31)+SUM('[52]1'!$C$34:$D$34)+SUM('[52]1'!$C$36:$D$36)+SUM('[52]1'!$C$37:$D$37)</f>
        <v>4871.7976460485552</v>
      </c>
      <c r="G35" s="1498">
        <f>SUM('[52]1'!$C$38:$D$38)</f>
        <v>13644.344059929999</v>
      </c>
      <c r="H35" s="1498">
        <f>SUM('[52]1'!$E$14:$P$14)+SUM('[52]1'!$E$18:$P$18)</f>
        <v>37188.202355567068</v>
      </c>
      <c r="I35" s="1515">
        <f>SUM('[52]1'!$E$22:$P$22)</f>
        <v>28502.369242941299</v>
      </c>
      <c r="J35" s="2481">
        <f>SUM('[52]1'!$E$30:$P$30)</f>
        <v>1.6200079520000001E-2</v>
      </c>
      <c r="K35" s="1521">
        <f>SUM('[52]1'!$E$33:$P$33)</f>
        <v>47147.847304741539</v>
      </c>
      <c r="L35" s="1498">
        <f>SUM('[52]1'!$E$31:$P$31)+SUM('[52]1'!$E$32:$P$32)+SUM('[52]1'!$E$34:$P$34)+SUM('[52]1'!$E$36:$P$36)+SUM('[52]1'!$E$37:$P$37)</f>
        <v>12753.484343713328</v>
      </c>
      <c r="M35" s="1432">
        <f>SUM('[52]1'!$E$38:$P$38)</f>
        <v>125591.91944704275</v>
      </c>
      <c r="N35" s="883">
        <f>'[52]1'!$Q$38-0.02</f>
        <v>139236.24350697277</v>
      </c>
      <c r="O35" s="1780">
        <f>'[52]1'!$Q$40</f>
        <v>26048.131780299052</v>
      </c>
      <c r="P35" s="1855">
        <f t="shared" ref="P35" si="25">ROUND(G35,1)-ROUND(C35,1)-ROUND(D35,1)-ROUND(E35,1)-ROUND(F35,1)</f>
        <v>0</v>
      </c>
      <c r="Q35" s="1856">
        <f t="shared" ref="Q35" si="26">ROUND(M35,1)-ROUND(H35,1)-ROUND(I35,1)-ROUND(J35,1)-ROUND(K35,1)-ROUND(L35,1)</f>
        <v>0</v>
      </c>
      <c r="R35" s="1856">
        <f t="shared" ref="R35" si="27">ROUND(N35,1)-ROUND(G35,1)-ROUND(M35,1)</f>
        <v>0</v>
      </c>
    </row>
    <row r="36" spans="1:18" s="483" customFormat="1" ht="15" customHeight="1">
      <c r="A36" s="1782"/>
      <c r="B36" s="1783" t="s">
        <v>420</v>
      </c>
      <c r="C36" s="1857">
        <f>SUM('[53]1'!$C$14:$D$14)+SUM('[53]1'!$C$18:$D$18)+SUM('[53]1'!$C$30:$D$30)+SUM('[53]1'!$C$33:$D$33)</f>
        <v>7805.9593856890133</v>
      </c>
      <c r="D36" s="1499">
        <f>SUM('[53]1'!$C$25:$D$29)</f>
        <v>1210.6748294036515</v>
      </c>
      <c r="E36" s="1497">
        <f>SUM('[53]1'!$C$23:$D$24)</f>
        <v>154.57789995034858</v>
      </c>
      <c r="F36" s="2098">
        <f>SUM('[53]1'!$C$31:$D$31)+SUM('[53]1'!$C$34:$D$34)+SUM('[53]1'!$C$36:$D$36)+SUM('[53]1'!$C$37:$D$37)-0.02</f>
        <v>4945.1394676666259</v>
      </c>
      <c r="G36" s="1498">
        <f>SUM('[53]1'!$C$38:$D$38)</f>
        <v>14116.371582709642</v>
      </c>
      <c r="H36" s="676">
        <f>SUM('[53]1'!$E$14:$P$14)+SUM('[53]1'!$E$18:$P$18)+0.01</f>
        <v>35011.957937732564</v>
      </c>
      <c r="I36" s="1515">
        <f>SUM('[53]1'!$E$22:$P$22)</f>
        <v>28582.372938499913</v>
      </c>
      <c r="J36" s="2481">
        <f>SUM('[53]1'!$E$30:$P$30)</f>
        <v>1.7896709520000002E-2</v>
      </c>
      <c r="K36" s="1521">
        <f>SUM('[53]1'!$E$33:$P$33)</f>
        <v>44413.127083747924</v>
      </c>
      <c r="L36" s="1498">
        <f>SUM('[53]1'!$E$31:$P$31)+SUM('[53]1'!$E$32:$P$32)+SUM('[53]1'!$E$34:$P$34)+SUM('[53]1'!$E$36:$P$36)+SUM('[53]1'!$E$37:$P$37)</f>
        <v>12899.085753737345</v>
      </c>
      <c r="M36" s="1432">
        <f>SUM('[53]1'!$E$38:$P$38)</f>
        <v>120906.55161042727</v>
      </c>
      <c r="N36" s="883">
        <f>'[53]1'!$Q$38+0.03</f>
        <v>135022.9531931369</v>
      </c>
      <c r="O36" s="1780">
        <f>'[53]1'!$Q$40</f>
        <v>25298.06549210324</v>
      </c>
      <c r="P36" s="1855">
        <f t="shared" ref="P36" si="28">ROUND(G36,1)-ROUND(C36,1)-ROUND(D36,1)-ROUND(E36,1)-ROUND(F36,1)</f>
        <v>0</v>
      </c>
      <c r="Q36" s="1856">
        <f t="shared" ref="Q36" si="29">ROUND(M36,1)-ROUND(H36,1)-ROUND(I36,1)-ROUND(J36,1)-ROUND(K36,1)-ROUND(L36,1)</f>
        <v>0</v>
      </c>
      <c r="R36" s="1856">
        <f t="shared" ref="R36" si="30">ROUND(N36,1)-ROUND(G36,1)-ROUND(M36,1)</f>
        <v>0</v>
      </c>
    </row>
    <row r="37" spans="1:18" s="483" customFormat="1" ht="15" customHeight="1">
      <c r="A37" s="1782"/>
      <c r="B37" s="1783" t="s">
        <v>421</v>
      </c>
      <c r="C37" s="1857">
        <f>SUM('[54]1'!$C$14:$D$14)+SUM('[54]1'!$C$18:$D$18)+SUM('[54]1'!$C$30:$D$30)+SUM('[54]1'!$C$33:$D$33)</f>
        <v>7574.0007964771212</v>
      </c>
      <c r="D37" s="1499">
        <f>SUM('[54]1'!$C$25:$D$29)</f>
        <v>1232.5096806496572</v>
      </c>
      <c r="E37" s="1497">
        <f>SUM('[54]1'!$C$23:$D$24)</f>
        <v>165.80971464181036</v>
      </c>
      <c r="F37" s="1534">
        <f>SUM('[54]1'!$C$31:$D$31)+SUM('[54]1'!$C$34:$D$34)+SUM('[54]1'!$C$36:$D$36)+SUM('[54]1'!$C$37:$D$37)</f>
        <v>5057.3617623710388</v>
      </c>
      <c r="G37" s="1498">
        <f>SUM('[54]1'!$C$38:$D$38)</f>
        <v>14029.681954139627</v>
      </c>
      <c r="H37" s="1498">
        <f>SUM('[54]1'!$E$14:$P$14)+SUM('[54]1'!$E$18:$P$18)</f>
        <v>36018.894471399326</v>
      </c>
      <c r="I37" s="1515">
        <f>SUM('[54]1'!$E$22:$P$22)</f>
        <v>29607.174563070381</v>
      </c>
      <c r="J37" s="2481">
        <f>SUM('[54]1'!$E$30:$P$30)</f>
        <v>1.953860952E-2</v>
      </c>
      <c r="K37" s="1521">
        <f>SUM('[54]1'!$E$33:$P$33)</f>
        <v>42478.97305835427</v>
      </c>
      <c r="L37" s="676">
        <f>SUM('[54]1'!$E$31:$P$31)+SUM('[54]1'!$E$32:$P$32)+SUM('[54]1'!$E$34:$P$34)+SUM('[54]1'!$E$36:$P$36)+SUM('[54]1'!$E$37:$P$37)-0.01</f>
        <v>13012.042107133513</v>
      </c>
      <c r="M37" s="1432">
        <f>SUM('[54]1'!$E$38:$P$38)</f>
        <v>121117.11373856702</v>
      </c>
      <c r="N37" s="1500">
        <f>'[54]1'!$Q$38</f>
        <v>135146.79569270666</v>
      </c>
      <c r="O37" s="1780">
        <f>'[54]1'!$Q$40</f>
        <v>24872.061990308932</v>
      </c>
      <c r="P37" s="1855">
        <f t="shared" ref="P37" si="31">ROUND(G37,1)-ROUND(C37,1)-ROUND(D37,1)-ROUND(E37,1)-ROUND(F37,1)</f>
        <v>0</v>
      </c>
      <c r="Q37" s="1856">
        <f t="shared" ref="Q37" si="32">ROUND(M37,1)-ROUND(H37,1)-ROUND(I37,1)-ROUND(J37,1)-ROUND(K37,1)-ROUND(L37,1)</f>
        <v>1.4551915228366852E-11</v>
      </c>
      <c r="R37" s="1856">
        <f t="shared" ref="R37" si="33">ROUND(N37,1)-ROUND(G37,1)-ROUND(M37,1)</f>
        <v>0</v>
      </c>
    </row>
    <row r="38" spans="1:18" s="483" customFormat="1" ht="15" customHeight="1">
      <c r="A38" s="1782"/>
      <c r="B38" s="1783" t="s">
        <v>422</v>
      </c>
      <c r="C38" s="1857">
        <f>SUM('[55]1'!$C$14:$D$14)+SUM('[55]1'!$C$18:$D$18)+SUM('[55]1'!$C$30:$D$30)+SUM('[55]1'!$C$33:$D$33)</f>
        <v>7555.1266632723409</v>
      </c>
      <c r="D38" s="1499">
        <f>SUM('[55]1'!$C$25:$D$29)</f>
        <v>1108.2456790579668</v>
      </c>
      <c r="E38" s="1497">
        <f>SUM('[55]1'!$C$23:$D$24)</f>
        <v>153.56208195117091</v>
      </c>
      <c r="F38" s="1534">
        <f>SUM('[55]1'!$C$31:$D$31)+SUM('[55]1'!$C$34:$D$34)+SUM('[55]1'!$C$36:$D$36)+SUM('[55]1'!$C$37:$D$37)</f>
        <v>4805.1415465594364</v>
      </c>
      <c r="G38" s="676">
        <f>SUM('[55]1'!$C$38:$D$38)-0.05</f>
        <v>13622.025970840916</v>
      </c>
      <c r="H38" s="1498">
        <f>SUM('[55]1'!$E$14:$P$14)+SUM('[55]1'!$E$18:$P$18)</f>
        <v>35608.384554123171</v>
      </c>
      <c r="I38" s="1515">
        <f>SUM('[55]1'!$E$22:$P$22)</f>
        <v>29745.999944120391</v>
      </c>
      <c r="J38" s="2481">
        <f>SUM('[55]1'!$E$30:$P$30)</f>
        <v>2.1742879289999999E-2</v>
      </c>
      <c r="K38" s="1521">
        <f>SUM('[55]1'!$E$33:$P$33)</f>
        <v>43462.857661784205</v>
      </c>
      <c r="L38" s="1498">
        <f>SUM('[55]1'!$E$31:$P$31)+SUM('[55]1'!$E$32:$P$32)+SUM('[55]1'!$E$34:$P$34)+SUM('[55]1'!$E$36:$P$36)+SUM('[55]1'!$E$37:$P$37)</f>
        <v>12331.612675009197</v>
      </c>
      <c r="M38" s="1432">
        <f>SUM('[55]1'!$E$38:$P$38)</f>
        <v>121148.87657791626</v>
      </c>
      <c r="N38" s="883">
        <f>'[55]1'!$Q$38-0.01</f>
        <v>134770.94254875719</v>
      </c>
      <c r="O38" s="1780">
        <f>'[55]1'!$Q$40</f>
        <v>25078.559345434871</v>
      </c>
      <c r="P38" s="1855">
        <f t="shared" ref="P38" si="34">ROUND(G38,1)-ROUND(C38,1)-ROUND(D38,1)-ROUND(E38,1)-ROUND(F38,1)</f>
        <v>0</v>
      </c>
      <c r="Q38" s="1856">
        <f t="shared" ref="Q38" si="35">ROUND(M38,1)-ROUND(H38,1)-ROUND(I38,1)-ROUND(J38,1)-ROUND(K38,1)-ROUND(L38,1)</f>
        <v>0</v>
      </c>
      <c r="R38" s="1856">
        <f t="shared" ref="R38" si="36">ROUND(N38,1)-ROUND(G38,1)-ROUND(M38,1)</f>
        <v>0</v>
      </c>
    </row>
    <row r="39" spans="1:18" s="483" customFormat="1" ht="21" customHeight="1">
      <c r="A39" s="1782">
        <v>2026</v>
      </c>
      <c r="B39" s="1783" t="s">
        <v>423</v>
      </c>
      <c r="C39" s="1857">
        <f>SUM('[56]1'!$C$14:$D$14)+SUM('[56]1'!$C$18:$D$18)+SUM('[56]1'!$C$30:$D$30)+SUM('[56]1'!$C$33:$D$33)</f>
        <v>7474.4825128489756</v>
      </c>
      <c r="D39" s="1499">
        <f>SUM('[56]1'!$C$25:$D$29)</f>
        <v>1061.0963074349306</v>
      </c>
      <c r="E39" s="1497">
        <f>SUM('[56]1'!$C$23:$D$24)</f>
        <v>160.87216250510582</v>
      </c>
      <c r="F39" s="1534">
        <f>SUM('[56]1'!$C$31:$D$31)+SUM('[56]1'!$C$34:$D$34)+SUM('[56]1'!$C$36:$D$36)+SUM('[56]1'!$C$37:$D$37)</f>
        <v>5111.3170972634016</v>
      </c>
      <c r="G39" s="1498">
        <f>SUM('[56]1'!$C$38:$D$38)</f>
        <v>13807.768080052414</v>
      </c>
      <c r="H39" s="1498">
        <f>SUM('[56]1'!$E$14:$P$14)+SUM('[56]1'!$E$18:$P$18)</f>
        <v>32673.578839026202</v>
      </c>
      <c r="I39" s="1515">
        <f>SUM('[56]1'!$E$22:$P$22)</f>
        <v>24804.340232761686</v>
      </c>
      <c r="J39" s="2481">
        <f>SUM('[56]1'!$E$30:$P$30)</f>
        <v>2.4001538980000001E-2</v>
      </c>
      <c r="K39" s="1521">
        <f>SUM('[56]1'!$E$33:$P$33)</f>
        <v>45840.411283162539</v>
      </c>
      <c r="L39" s="676">
        <f>SUM('[56]1'!$E$31:$P$31)+SUM('[56]1'!$E$32:$P$32)+SUM('[56]1'!$E$34:$P$34)+SUM('[56]1'!$E$36:$P$36)+SUM('[56]1'!$E$37:$P$37)+0.02</f>
        <v>12750.655889128648</v>
      </c>
      <c r="M39" s="1432">
        <f>SUM('[56]1'!$E$38:$P$38)</f>
        <v>116068.99024561804</v>
      </c>
      <c r="N39" s="1500">
        <f>'[56]1'!$Q$38</f>
        <v>129876.75832567047</v>
      </c>
      <c r="O39" s="1780">
        <f>'[56]1'!$Q$40</f>
        <v>25726.890294632809</v>
      </c>
      <c r="P39" s="1855">
        <f t="shared" ref="P39" si="37">ROUND(G39,1)-ROUND(C39,1)-ROUND(D39,1)-ROUND(E39,1)-ROUND(F39,1)</f>
        <v>0</v>
      </c>
      <c r="Q39" s="1856">
        <f t="shared" ref="Q39" si="38">ROUND(M39,1)-ROUND(H39,1)-ROUND(I39,1)-ROUND(J39,1)-ROUND(K39,1)-ROUND(L39,1)</f>
        <v>0</v>
      </c>
      <c r="R39" s="1856">
        <f t="shared" ref="R39" si="39">ROUND(N39,1)-ROUND(G39,1)-ROUND(M39,1)</f>
        <v>0</v>
      </c>
    </row>
    <row r="40" spans="1:18" s="483" customFormat="1" ht="15" customHeight="1">
      <c r="A40" s="1782"/>
      <c r="B40" s="1783" t="s">
        <v>424</v>
      </c>
      <c r="C40" s="1857">
        <f>SUM('[57]1'!$C$14:$D$14)+SUM('[57]1'!$C$18:$D$18)+SUM('[57]1'!$C$30:$D$30)+SUM('[57]1'!$C$33:$D$33)</f>
        <v>8093.7371904896318</v>
      </c>
      <c r="D40" s="1499">
        <f>SUM('[57]1'!$C$25:$D$29)</f>
        <v>1045.1709255899877</v>
      </c>
      <c r="E40" s="1497">
        <f>SUM('[57]1'!$C$23:$D$24)</f>
        <v>204.72167335319369</v>
      </c>
      <c r="F40" s="1534">
        <f>SUM('[57]1'!$C$31:$D$31)+SUM('[57]1'!$C$34:$D$34)+SUM('[57]1'!$C$36:$D$36)+SUM('[57]1'!$C$37:$D$37)</f>
        <v>4985.6102767658103</v>
      </c>
      <c r="G40" s="1498">
        <f>SUM('[57]1'!$C$38:$D$38)</f>
        <v>14329.240066198623</v>
      </c>
      <c r="H40" s="1498">
        <f>SUM('[57]1'!$E$14:$P$14)+SUM('[57]1'!$E$18:$P$18)</f>
        <v>32067.944053695581</v>
      </c>
      <c r="I40" s="1515">
        <f>SUM('[57]1'!$E$22:$P$22)</f>
        <v>24137.879009593169</v>
      </c>
      <c r="J40" s="2481">
        <f>SUM('[57]1'!$E$30:$P$30)</f>
        <v>2.6041618700000001E-2</v>
      </c>
      <c r="K40" s="1521">
        <f>SUM('[57]1'!$E$33:$P$33)</f>
        <v>44832.895949494756</v>
      </c>
      <c r="L40" s="1498">
        <f>SUM('[57]1'!$E$31:$P$31)+SUM('[57]1'!$E$32:$P$32)+SUM('[57]1'!$E$34:$P$34)+SUM('[57]1'!$E$36:$P$36)+SUM('[57]1'!$E$37:$P$37)</f>
        <v>12247.256458524002</v>
      </c>
      <c r="M40" s="1432">
        <f>SUM('[57]1'!$E$38:$P$38)</f>
        <v>113286.0015129262</v>
      </c>
      <c r="N40" s="1500">
        <f>'[57]1'!$Q$38</f>
        <v>127615.24157912482</v>
      </c>
      <c r="O40" s="1780">
        <f>'[57]1'!$Q$40</f>
        <v>26896.738860754573</v>
      </c>
      <c r="P40" s="1855">
        <f t="shared" ref="P40" si="40">ROUND(G40,1)-ROUND(C40,1)-ROUND(D40,1)-ROUND(E40,1)-ROUND(F40,1)</f>
        <v>0</v>
      </c>
      <c r="Q40" s="1856">
        <f t="shared" ref="Q40" si="41">ROUND(M40,1)-ROUND(H40,1)-ROUND(I40,1)-ROUND(J40,1)-ROUND(K40,1)-ROUND(L40,1)</f>
        <v>0</v>
      </c>
      <c r="R40" s="1856">
        <f t="shared" ref="R40" si="42">ROUND(N40,1)-ROUND(G40,1)-ROUND(M40,1)</f>
        <v>0</v>
      </c>
    </row>
    <row r="41" spans="1:18" s="483" customFormat="1" ht="15" customHeight="1">
      <c r="A41" s="1782"/>
      <c r="B41" s="1783" t="s">
        <v>425</v>
      </c>
      <c r="C41" s="1857">
        <f>SUM('[58]1'!$C$14:$D$14)+SUM('[58]1'!$C$18:$D$18)+SUM('[58]1'!$C$30:$D$30)+SUM('[58]1'!$C$33:$D$33)</f>
        <v>8547.8734501970084</v>
      </c>
      <c r="D41" s="1499">
        <f>SUM('[58]1'!$C$25:$D$29)</f>
        <v>1004.9491471638297</v>
      </c>
      <c r="E41" s="2526">
        <f>SUM('[58]1'!$C$23:$D$24)+0.01</f>
        <v>168.65935127734576</v>
      </c>
      <c r="F41" s="1534">
        <f>SUM('[58]1'!$C$31:$D$31)+SUM('[58]1'!$C$34:$D$34)+SUM('[58]1'!$C$36:$D$36)+SUM('[58]1'!$C$37:$D$37)</f>
        <v>4940.6199866816241</v>
      </c>
      <c r="G41" s="1498">
        <f>SUM('[58]1'!$C$38:$D$38)</f>
        <v>14662.091935319808</v>
      </c>
      <c r="H41" s="676">
        <f>SUM('[58]1'!$E$14:$P$14)+SUM('[58]1'!$E$18:$P$18)+0.01</f>
        <v>35217.459279859839</v>
      </c>
      <c r="I41" s="1515">
        <f>SUM('[58]1'!$E$22:$P$22)</f>
        <v>23628.802379453671</v>
      </c>
      <c r="J41" s="2481">
        <f>SUM('[58]1'!$E$30:$P$30)</f>
        <v>2.8300278120000001E-2</v>
      </c>
      <c r="K41" s="1521">
        <f>SUM('[58]1'!$E$33:$P$33)</f>
        <v>46379.85884371549</v>
      </c>
      <c r="L41" s="1498">
        <f>SUM('[58]1'!$E$31:$P$31)+SUM('[58]1'!$E$32:$P$32)+SUM('[58]1'!$E$34:$P$34)+SUM('[58]1'!$E$36:$P$36)+SUM('[58]1'!$E$37:$P$37)</f>
        <v>12423.285703592539</v>
      </c>
      <c r="M41" s="1241">
        <f>SUM('[58]1'!$E$38:$P$38)+0.04</f>
        <v>117649.46450689966</v>
      </c>
      <c r="N41" s="883">
        <f>'[58]1'!$Q$38+0.05</f>
        <v>132311.56644221945</v>
      </c>
      <c r="O41" s="1780">
        <f>'[58]1'!$Q$40</f>
        <v>26505.367325115571</v>
      </c>
      <c r="P41" s="1855">
        <f t="shared" ref="P41" si="43">ROUND(G41,1)-ROUND(C41,1)-ROUND(D41,1)-ROUND(E41,1)-ROUND(F41,1)</f>
        <v>0</v>
      </c>
      <c r="Q41" s="1856">
        <f t="shared" ref="Q41" si="44">ROUND(M41,1)-ROUND(H41,1)-ROUND(I41,1)-ROUND(J41,1)-ROUND(K41,1)-ROUND(L41,1)</f>
        <v>0</v>
      </c>
      <c r="R41" s="1856">
        <f t="shared" ref="R41" si="45">ROUND(N41,1)-ROUND(G41,1)-ROUND(M41,1)</f>
        <v>0</v>
      </c>
    </row>
    <row r="42" spans="1:18" s="483" customFormat="1" ht="15" customHeight="1">
      <c r="A42" s="1782"/>
      <c r="B42" s="1783" t="s">
        <v>426</v>
      </c>
      <c r="C42" s="1857">
        <f>SUM('[59]1'!$C$14:$D$14)+SUM('[59]1'!$C$18:$D$18)+SUM('[59]1'!$C$30:$D$30)+SUM('[59]1'!$C$33:$D$33)</f>
        <v>8439.8389348312649</v>
      </c>
      <c r="D42" s="1499">
        <f>SUM('[59]1'!$C$25:$D$29)</f>
        <v>1535.8600098726736</v>
      </c>
      <c r="E42" s="1497">
        <f>SUM('[59]1'!$C$23:$D$24)</f>
        <v>165.7205656830256</v>
      </c>
      <c r="F42" s="1534">
        <f>SUM('[59]1'!$C$31:$D$31)+SUM('[59]1'!$C$34:$D$34)+SUM('[59]1'!$C$36:$D$36)+SUM('[59]1'!$C$37:$D$37)</f>
        <v>4843.6696788317749</v>
      </c>
      <c r="G42" s="1498">
        <f>SUM('[59]1'!$C$38:$D$38)</f>
        <v>14985.089189218739</v>
      </c>
      <c r="H42" s="1498">
        <f>SUM('[59]1'!$E$14:$P$14)+SUM('[59]1'!$E$18:$P$18)</f>
        <v>29622.572853360165</v>
      </c>
      <c r="I42" s="1515">
        <f>SUM('[59]1'!$E$22:$P$22)</f>
        <v>26325.971875988012</v>
      </c>
      <c r="J42" s="2481">
        <f>SUM('[59]1'!$E$30:$P$30)</f>
        <v>3.0486077520000002E-2</v>
      </c>
      <c r="K42" s="1521">
        <f>SUM('[59]1'!$E$33:$P$33)</f>
        <v>45436.882844925349</v>
      </c>
      <c r="L42" s="1498">
        <f>SUM('[59]1'!$E$31:$P$31)+SUM('[59]1'!$E$32:$P$32)+SUM('[59]1'!$E$34:$P$34)+SUM('[59]1'!$E$36:$P$36)+SUM('[59]1'!$E$37:$P$37)</f>
        <v>12306.854923168305</v>
      </c>
      <c r="M42" s="1241">
        <f>SUM('[59]1'!$E$38:$P$38)+0.04</f>
        <v>113692.35298351935</v>
      </c>
      <c r="N42" s="883">
        <f>'[59]1'!$Q$38+0.05</f>
        <v>128677.45217273811</v>
      </c>
      <c r="O42" s="1780">
        <f>'[59]1'!$Q$40</f>
        <v>27256.627265686082</v>
      </c>
      <c r="P42" s="1855">
        <f t="shared" ref="P42" si="46">ROUND(G42,1)-ROUND(C42,1)-ROUND(D42,1)-ROUND(E42,1)-ROUND(F42,1)</f>
        <v>0</v>
      </c>
      <c r="Q42" s="1856">
        <f t="shared" ref="Q42" si="47">ROUND(M42,1)-ROUND(H42,1)-ROUND(I42,1)-ROUND(J42,1)-ROUND(K42,1)-ROUND(L42,1)</f>
        <v>0</v>
      </c>
      <c r="R42" s="1856">
        <f t="shared" ref="R42" si="48">ROUND(N42,1)-ROUND(G42,1)-ROUND(M42,1)</f>
        <v>0</v>
      </c>
    </row>
    <row r="43" spans="1:18" s="483" customFormat="1" ht="15" customHeight="1">
      <c r="A43" s="1782"/>
      <c r="B43" s="1783" t="s">
        <v>427</v>
      </c>
      <c r="C43" s="1857">
        <f>SUM('[60]1'!$C$14:$D$14)+SUM('[60]1'!$C$18:$D$18)+SUM('[60]1'!$C$30:$D$30)+SUM('[60]1'!$C$33:$D$33)</f>
        <v>8388.1397066331538</v>
      </c>
      <c r="D43" s="1499">
        <f>SUM('[60]1'!$C$25:$D$29)</f>
        <v>1399.5690536010179</v>
      </c>
      <c r="E43" s="1497">
        <f>SUM('[60]1'!$C$23:$D$24)</f>
        <v>160.41583097848513</v>
      </c>
      <c r="F43" s="2098">
        <f>SUM('[60]1'!$C$31:$D$31)+SUM('[60]1'!$C$34:$D$34)+SUM('[60]1'!$C$36:$D$36)+SUM('[60]1'!$C$37:$D$37)+0.01</f>
        <v>4961.8566220970206</v>
      </c>
      <c r="G43" s="1498">
        <f>SUM('[60]1'!$C$38:$D$38)</f>
        <v>14909.971213309678</v>
      </c>
      <c r="H43" s="1498">
        <f>SUM('[60]1'!$E$14:$P$14)+SUM('[60]1'!$E$18:$P$18)</f>
        <v>28613.3879441137</v>
      </c>
      <c r="I43" s="1515">
        <f>SUM('[60]1'!$E$22:$P$22)</f>
        <v>26353.952180862067</v>
      </c>
      <c r="J43" s="2481">
        <f>SUM('[60]1'!$E$30:$P$30)</f>
        <v>3.2744736900000002E-2</v>
      </c>
      <c r="K43" s="1521">
        <f>SUM('[60]1'!$E$33:$P$33)</f>
        <v>44619.821230744434</v>
      </c>
      <c r="L43" s="1498">
        <f>SUM('[60]1'!$E$31:$P$31)+SUM('[60]1'!$E$32:$P$32)+SUM('[60]1'!$E$34:$P$34)+SUM('[60]1'!$E$36:$P$36)+SUM('[60]1'!$E$37:$P$37)</f>
        <v>12238.128619047429</v>
      </c>
      <c r="M43" s="1432">
        <f>SUM('[60]1'!$E$38:$P$38)</f>
        <v>111825.32271950453</v>
      </c>
      <c r="N43" s="1500">
        <f>'[60]1'!$Q$38</f>
        <v>126735.29393281421</v>
      </c>
      <c r="O43" s="1780">
        <f>'[60]1'!$Q$40</f>
        <v>24533.4078860019</v>
      </c>
      <c r="P43" s="1855">
        <f t="shared" ref="P43" si="49">ROUND(G43,1)-ROUND(C43,1)-ROUND(D43,1)-ROUND(E43,1)-ROUND(F43,1)</f>
        <v>0</v>
      </c>
      <c r="Q43" s="1856">
        <f t="shared" ref="Q43" si="50">ROUND(M43,1)-ROUND(H43,1)-ROUND(I43,1)-ROUND(J43,1)-ROUND(K43,1)-ROUND(L43,1)</f>
        <v>0</v>
      </c>
      <c r="R43" s="1856">
        <f t="shared" ref="R43" si="51">ROUND(N43,1)-ROUND(G43,1)-ROUND(M43,1)</f>
        <v>0</v>
      </c>
    </row>
    <row r="44" spans="1:18" s="570" customFormat="1" ht="20.25" customHeight="1">
      <c r="A44" s="1362" t="s">
        <v>1078</v>
      </c>
      <c r="B44" s="1362"/>
      <c r="C44" s="1362"/>
      <c r="D44" s="1362"/>
      <c r="E44" s="1362"/>
      <c r="F44" s="660"/>
      <c r="G44" s="660"/>
      <c r="H44" s="660"/>
      <c r="I44" s="1362"/>
      <c r="J44" s="1362"/>
      <c r="K44" s="1362"/>
      <c r="L44" s="1362"/>
      <c r="M44" s="1362"/>
      <c r="N44" s="1362"/>
      <c r="O44" s="601" t="s">
        <v>1086</v>
      </c>
      <c r="P44" s="895"/>
      <c r="Q44" s="895"/>
      <c r="R44" s="895"/>
    </row>
    <row r="45" spans="1:18" ht="14.25" customHeight="1">
      <c r="A45" s="895" t="s">
        <v>1087</v>
      </c>
      <c r="B45" s="606"/>
      <c r="C45" s="603"/>
      <c r="D45" s="603"/>
      <c r="E45" s="611"/>
      <c r="K45" s="612"/>
      <c r="L45" s="603"/>
      <c r="M45" s="603"/>
      <c r="N45" s="603"/>
      <c r="O45" s="604" t="s">
        <v>1088</v>
      </c>
    </row>
    <row r="46" spans="1:18">
      <c r="B46" s="602"/>
      <c r="C46" s="1309"/>
      <c r="D46" s="1309"/>
      <c r="E46" s="1309"/>
      <c r="F46" s="1309"/>
      <c r="G46" s="1309"/>
      <c r="H46" s="1309"/>
      <c r="I46" s="1309"/>
      <c r="J46" s="1309"/>
      <c r="K46" s="1309"/>
      <c r="L46" s="1309"/>
      <c r="M46" s="1309"/>
      <c r="N46" s="1309"/>
      <c r="O46" s="1309"/>
    </row>
    <row r="47" spans="1:18" ht="14">
      <c r="A47" s="613" t="s">
        <v>1089</v>
      </c>
      <c r="B47" s="602"/>
      <c r="C47" s="602"/>
      <c r="D47" s="602"/>
      <c r="E47" s="602"/>
      <c r="F47" s="602"/>
      <c r="G47" s="602"/>
      <c r="H47" s="602"/>
      <c r="I47" s="602"/>
      <c r="J47" s="602"/>
      <c r="K47" s="602"/>
      <c r="L47" s="602"/>
      <c r="M47" s="602"/>
      <c r="N47" s="602"/>
      <c r="O47" s="602"/>
    </row>
    <row r="48" spans="1:18">
      <c r="A48" s="606"/>
    </row>
    <row r="49" spans="1:1">
      <c r="A49" s="611"/>
    </row>
  </sheetData>
  <phoneticPr fontId="0" type="noConversion"/>
  <printOptions horizontalCentered="1" verticalCentered="1"/>
  <pageMargins left="0" right="0" top="0" bottom="0" header="0.511811023622047" footer="0.511811023622047"/>
  <pageSetup paperSize="9" scale="75"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tabColor rgb="FFFF0000"/>
  </sheetPr>
  <dimension ref="A1:V50"/>
  <sheetViews>
    <sheetView zoomScale="75" zoomScaleNormal="75" workbookViewId="0">
      <pane ySplit="12" topLeftCell="A36" activePane="bottomLeft" state="frozen"/>
      <selection activeCell="B44" sqref="B44"/>
      <selection pane="bottomLeft" activeCell="K43" sqref="K43"/>
    </sheetView>
  </sheetViews>
  <sheetFormatPr defaultColWidth="9.1796875" defaultRowHeight="12.5"/>
  <cols>
    <col min="1" max="2" width="9.7265625" style="18" customWidth="1"/>
    <col min="3" max="3" width="12.7265625" style="18" customWidth="1"/>
    <col min="4" max="4" width="11.81640625" style="18" customWidth="1"/>
    <col min="5" max="5" width="12.7265625" style="18" customWidth="1"/>
    <col min="6" max="6" width="11.7265625" style="18" customWidth="1"/>
    <col min="7" max="7" width="12.26953125" style="18" customWidth="1"/>
    <col min="8" max="8" width="10.7265625" style="18" customWidth="1"/>
    <col min="9" max="9" width="10.26953125" style="18" customWidth="1"/>
    <col min="10" max="10" width="13" style="18" customWidth="1"/>
    <col min="11" max="11" width="12.7265625" style="18" customWidth="1"/>
    <col min="12" max="12" width="13.453125" style="18" customWidth="1"/>
    <col min="13" max="13" width="12.7265625" style="18" customWidth="1"/>
    <col min="14" max="15" width="11.7265625" style="18" customWidth="1"/>
    <col min="16" max="16" width="10.7265625" style="18" customWidth="1"/>
    <col min="17" max="17" width="10.26953125" style="18" customWidth="1"/>
    <col min="18" max="18" width="8.26953125" style="18" customWidth="1"/>
    <col min="19" max="16384" width="9.1796875" style="18"/>
  </cols>
  <sheetData>
    <row r="1" spans="1:22" s="915" customFormat="1" ht="18">
      <c r="A1" s="1091" t="s">
        <v>1090</v>
      </c>
      <c r="B1" s="1113"/>
      <c r="C1" s="1113"/>
      <c r="D1" s="1113"/>
      <c r="E1" s="1113"/>
      <c r="F1" s="1113"/>
      <c r="G1" s="1113"/>
      <c r="H1" s="1113"/>
      <c r="I1" s="1113"/>
      <c r="J1" s="1113"/>
      <c r="K1" s="1113"/>
      <c r="L1" s="1113"/>
      <c r="M1" s="1113"/>
      <c r="N1" s="1113"/>
      <c r="O1" s="1113"/>
      <c r="P1" s="1113"/>
      <c r="Q1" s="1113"/>
    </row>
    <row r="2" spans="1:22" s="915" customFormat="1" ht="18">
      <c r="A2" s="1091" t="s">
        <v>1091</v>
      </c>
      <c r="B2" s="1113"/>
      <c r="C2" s="1113"/>
      <c r="D2" s="1113"/>
      <c r="E2" s="1113"/>
      <c r="F2" s="1113"/>
      <c r="G2" s="1113"/>
      <c r="H2" s="1113"/>
      <c r="I2" s="1113"/>
      <c r="J2" s="1113"/>
      <c r="K2" s="1113"/>
      <c r="L2" s="1113"/>
      <c r="M2" s="1113"/>
      <c r="N2" s="1113"/>
      <c r="O2" s="1113"/>
      <c r="P2" s="1113"/>
      <c r="Q2" s="1113"/>
    </row>
    <row r="3" spans="1:22" s="915" customFormat="1" ht="18">
      <c r="A3" s="1091" t="s">
        <v>1092</v>
      </c>
      <c r="B3" s="1113"/>
      <c r="C3" s="1113"/>
      <c r="D3" s="1113"/>
      <c r="E3" s="1113"/>
      <c r="F3" s="1113"/>
      <c r="G3" s="1113"/>
      <c r="H3" s="1113"/>
      <c r="I3" s="1113"/>
      <c r="J3" s="1113"/>
      <c r="K3" s="1113"/>
      <c r="L3" s="1113"/>
      <c r="M3" s="1113"/>
      <c r="N3" s="1113"/>
      <c r="O3" s="1113"/>
      <c r="P3" s="1113"/>
      <c r="Q3" s="1113"/>
    </row>
    <row r="4" spans="1:22" s="662" customFormat="1" ht="14">
      <c r="A4" s="662" t="s">
        <v>784</v>
      </c>
      <c r="B4" s="1147"/>
      <c r="Q4" s="1148" t="s">
        <v>785</v>
      </c>
    </row>
    <row r="5" spans="1:22" s="662" customFormat="1" ht="14" hidden="1">
      <c r="B5" s="1147"/>
      <c r="Q5" s="1148"/>
    </row>
    <row r="6" spans="1:22" s="274" customFormat="1" ht="14" hidden="1">
      <c r="B6" s="613"/>
      <c r="Q6" s="640"/>
    </row>
    <row r="7" spans="1:22" s="662" customFormat="1" ht="14" hidden="1">
      <c r="B7" s="1147"/>
      <c r="Q7" s="1148"/>
    </row>
    <row r="8" spans="1:22" s="166" customFormat="1" ht="23.9" customHeight="1">
      <c r="A8" s="176"/>
      <c r="B8" s="164"/>
      <c r="C8" s="630" t="s">
        <v>379</v>
      </c>
      <c r="D8" s="179"/>
      <c r="E8" s="186"/>
      <c r="F8" s="186"/>
      <c r="G8" s="186"/>
      <c r="H8" s="165"/>
      <c r="I8" s="631" t="s">
        <v>380</v>
      </c>
      <c r="J8" s="632"/>
      <c r="K8" s="630" t="s">
        <v>381</v>
      </c>
      <c r="L8" s="179"/>
      <c r="M8" s="186"/>
      <c r="N8" s="186"/>
      <c r="O8" s="186"/>
      <c r="P8" s="165"/>
      <c r="Q8" s="633" t="s">
        <v>382</v>
      </c>
    </row>
    <row r="9" spans="1:22" s="181" customFormat="1" ht="18" customHeight="1">
      <c r="A9" s="180"/>
      <c r="C9" s="196" t="s">
        <v>806</v>
      </c>
      <c r="D9" s="187" t="s">
        <v>964</v>
      </c>
      <c r="E9" s="182" t="s">
        <v>965</v>
      </c>
      <c r="F9" s="171"/>
      <c r="G9" s="182"/>
      <c r="H9" s="171"/>
      <c r="I9" s="182"/>
      <c r="J9" s="198"/>
      <c r="K9" s="187" t="s">
        <v>806</v>
      </c>
      <c r="L9" s="187" t="s">
        <v>964</v>
      </c>
      <c r="M9" s="182" t="s">
        <v>965</v>
      </c>
      <c r="N9" s="171"/>
      <c r="O9" s="182"/>
      <c r="P9" s="171"/>
      <c r="Q9" s="182"/>
    </row>
    <row r="10" spans="1:22" s="181" customFormat="1" ht="18" customHeight="1">
      <c r="A10" s="168" t="s">
        <v>387</v>
      </c>
      <c r="B10" s="170"/>
      <c r="C10" s="187" t="s">
        <v>966</v>
      </c>
      <c r="D10" s="187" t="s">
        <v>967</v>
      </c>
      <c r="E10" s="182" t="s">
        <v>511</v>
      </c>
      <c r="F10" s="167" t="s">
        <v>968</v>
      </c>
      <c r="G10" s="182" t="s">
        <v>969</v>
      </c>
      <c r="H10" s="182" t="s">
        <v>970</v>
      </c>
      <c r="I10" s="182" t="s">
        <v>399</v>
      </c>
      <c r="J10" s="198" t="s">
        <v>390</v>
      </c>
      <c r="K10" s="187" t="s">
        <v>966</v>
      </c>
      <c r="L10" s="187" t="s">
        <v>967</v>
      </c>
      <c r="M10" s="182" t="s">
        <v>511</v>
      </c>
      <c r="N10" s="167" t="s">
        <v>968</v>
      </c>
      <c r="O10" s="182" t="s">
        <v>969</v>
      </c>
      <c r="P10" s="182" t="s">
        <v>970</v>
      </c>
      <c r="Q10" s="182" t="s">
        <v>399</v>
      </c>
    </row>
    <row r="11" spans="1:22" s="169" customFormat="1" ht="18" customHeight="1">
      <c r="A11" s="183" t="s">
        <v>395</v>
      </c>
      <c r="B11" s="170"/>
      <c r="C11" s="294" t="s">
        <v>971</v>
      </c>
      <c r="D11" s="296" t="s">
        <v>972</v>
      </c>
      <c r="E11" s="297" t="s">
        <v>973</v>
      </c>
      <c r="F11" s="298" t="s">
        <v>974</v>
      </c>
      <c r="G11" s="298" t="s">
        <v>975</v>
      </c>
      <c r="H11" s="298" t="s">
        <v>976</v>
      </c>
      <c r="I11" s="298" t="s">
        <v>407</v>
      </c>
      <c r="J11" s="299" t="s">
        <v>400</v>
      </c>
      <c r="K11" s="294" t="s">
        <v>971</v>
      </c>
      <c r="L11" s="296" t="s">
        <v>972</v>
      </c>
      <c r="M11" s="300" t="s">
        <v>973</v>
      </c>
      <c r="N11" s="298" t="s">
        <v>974</v>
      </c>
      <c r="O11" s="298" t="s">
        <v>975</v>
      </c>
      <c r="P11" s="298" t="s">
        <v>976</v>
      </c>
      <c r="Q11" s="298" t="s">
        <v>407</v>
      </c>
    </row>
    <row r="12" spans="1:22" s="169" customFormat="1" ht="18" customHeight="1">
      <c r="A12" s="184"/>
      <c r="B12" s="175"/>
      <c r="C12" s="295" t="s">
        <v>977</v>
      </c>
      <c r="D12" s="295"/>
      <c r="E12" s="301" t="s">
        <v>978</v>
      </c>
      <c r="F12" s="302" t="s">
        <v>820</v>
      </c>
      <c r="G12" s="302"/>
      <c r="H12" s="302"/>
      <c r="I12" s="302"/>
      <c r="J12" s="303"/>
      <c r="K12" s="295" t="s">
        <v>977</v>
      </c>
      <c r="L12" s="295"/>
      <c r="M12" s="302" t="s">
        <v>978</v>
      </c>
      <c r="N12" s="302" t="s">
        <v>820</v>
      </c>
      <c r="O12" s="302"/>
      <c r="P12" s="302"/>
      <c r="Q12" s="302"/>
    </row>
    <row r="13" spans="1:22" s="667" customFormat="1" ht="26.25" customHeight="1">
      <c r="A13" s="664">
        <v>2016</v>
      </c>
      <c r="B13" s="665"/>
      <c r="C13" s="668">
        <v>9620.0926435942747</v>
      </c>
      <c r="D13" s="668">
        <v>35628.362652639815</v>
      </c>
      <c r="E13" s="669">
        <v>3800.7115319418758</v>
      </c>
      <c r="F13" s="669">
        <v>10678.919490214055</v>
      </c>
      <c r="G13" s="669">
        <v>32488.160560878317</v>
      </c>
      <c r="H13" s="669">
        <v>9304.8609894770616</v>
      </c>
      <c r="I13" s="669">
        <v>1514.720391042651</v>
      </c>
      <c r="J13" s="671">
        <v>103035.87825978805</v>
      </c>
      <c r="K13" s="669">
        <v>10250.17044221769</v>
      </c>
      <c r="L13" s="669">
        <v>35519.263043730811</v>
      </c>
      <c r="M13" s="669">
        <v>14444.59264873529</v>
      </c>
      <c r="N13" s="669">
        <v>4743.1327945661342</v>
      </c>
      <c r="O13" s="669">
        <v>28560.65591595303</v>
      </c>
      <c r="P13" s="669">
        <v>7839.9956002011704</v>
      </c>
      <c r="Q13" s="669">
        <v>1677.9694593298279</v>
      </c>
      <c r="R13" s="1006"/>
      <c r="S13" s="1006"/>
      <c r="T13" s="666"/>
      <c r="U13" s="666"/>
    </row>
    <row r="14" spans="1:22" s="666" customFormat="1" ht="18" customHeight="1">
      <c r="A14" s="664">
        <v>2017</v>
      </c>
      <c r="B14" s="665"/>
      <c r="C14" s="668">
        <v>9844.24222375524</v>
      </c>
      <c r="D14" s="668">
        <v>33126.256780167256</v>
      </c>
      <c r="E14" s="669">
        <v>4168.2348022354199</v>
      </c>
      <c r="F14" s="669">
        <v>10569.579162837721</v>
      </c>
      <c r="G14" s="669">
        <v>35092.905676263479</v>
      </c>
      <c r="H14" s="669">
        <v>9587.1617198524</v>
      </c>
      <c r="I14" s="669">
        <v>1574.087909003021</v>
      </c>
      <c r="J14" s="671">
        <v>103962.51127411453</v>
      </c>
      <c r="K14" s="668">
        <v>10409.521183392748</v>
      </c>
      <c r="L14" s="668">
        <v>35759.500057336394</v>
      </c>
      <c r="M14" s="669">
        <v>13628.657402771465</v>
      </c>
      <c r="N14" s="669">
        <v>5112.7767069530146</v>
      </c>
      <c r="O14" s="669">
        <v>29598.016284512483</v>
      </c>
      <c r="P14" s="669">
        <v>7491.356933333579</v>
      </c>
      <c r="Q14" s="669">
        <v>1962.5603251505449</v>
      </c>
      <c r="R14" s="1006"/>
      <c r="S14" s="1006"/>
      <c r="V14" s="667"/>
    </row>
    <row r="15" spans="1:22" s="666" customFormat="1" ht="18.75" customHeight="1">
      <c r="A15" s="664">
        <v>2018</v>
      </c>
      <c r="B15" s="665"/>
      <c r="C15" s="668">
        <v>12077.914251640086</v>
      </c>
      <c r="D15" s="668">
        <v>31562.776179447024</v>
      </c>
      <c r="E15" s="669">
        <v>4773.7616580048834</v>
      </c>
      <c r="F15" s="669">
        <v>10533.217437483518</v>
      </c>
      <c r="G15" s="669">
        <v>36673.279975916616</v>
      </c>
      <c r="H15" s="669">
        <v>8910.7207628212709</v>
      </c>
      <c r="I15" s="669">
        <v>1498.0145586533108</v>
      </c>
      <c r="J15" s="671">
        <v>106029.65770123522</v>
      </c>
      <c r="K15" s="668">
        <v>10471.096219403946</v>
      </c>
      <c r="L15" s="668">
        <v>37836.374171146585</v>
      </c>
      <c r="M15" s="669">
        <v>14681.524209703142</v>
      </c>
      <c r="N15" s="669">
        <v>3868.0836081053767</v>
      </c>
      <c r="O15" s="669">
        <v>30792.373769888953</v>
      </c>
      <c r="P15" s="669">
        <v>6888.8544178847615</v>
      </c>
      <c r="Q15" s="669">
        <v>1491.3177001323547</v>
      </c>
      <c r="R15" s="1006"/>
      <c r="S15" s="1006"/>
      <c r="V15" s="667"/>
    </row>
    <row r="16" spans="1:22" s="666" customFormat="1" ht="18.75" customHeight="1">
      <c r="A16" s="664">
        <v>2019</v>
      </c>
      <c r="B16" s="665"/>
      <c r="C16" s="668">
        <v>15466.11398654036</v>
      </c>
      <c r="D16" s="668">
        <v>34604.630668385471</v>
      </c>
      <c r="E16" s="669">
        <v>5815.1032999513063</v>
      </c>
      <c r="F16" s="669">
        <v>11262.057416418067</v>
      </c>
      <c r="G16" s="669">
        <v>33090.057462544639</v>
      </c>
      <c r="H16" s="669">
        <v>9169.9627471668682</v>
      </c>
      <c r="I16" s="669">
        <v>1430.2022193663402</v>
      </c>
      <c r="J16" s="671">
        <v>110838.18752805212</v>
      </c>
      <c r="K16" s="668">
        <v>11864.184531017187</v>
      </c>
      <c r="L16" s="668">
        <v>39835.566284914938</v>
      </c>
      <c r="M16" s="669">
        <v>16254.078350112821</v>
      </c>
      <c r="N16" s="669">
        <v>3950.1455906395749</v>
      </c>
      <c r="O16" s="669">
        <v>28963.415519977938</v>
      </c>
      <c r="P16" s="669">
        <v>8583.7159069612644</v>
      </c>
      <c r="Q16" s="669">
        <v>1387.1047027411375</v>
      </c>
      <c r="R16" s="1006"/>
      <c r="S16" s="1006"/>
      <c r="V16" s="667"/>
    </row>
    <row r="17" spans="1:22" s="666" customFormat="1" ht="18.75" customHeight="1">
      <c r="A17" s="664">
        <v>2020</v>
      </c>
      <c r="B17" s="665"/>
      <c r="C17" s="668">
        <v>15821.056189443967</v>
      </c>
      <c r="D17" s="668">
        <v>35403.49673238019</v>
      </c>
      <c r="E17" s="669">
        <v>6665.1332840062032</v>
      </c>
      <c r="F17" s="669">
        <v>10614.704865499925</v>
      </c>
      <c r="G17" s="669">
        <v>35377.000773867308</v>
      </c>
      <c r="H17" s="669">
        <v>8309.1085102788657</v>
      </c>
      <c r="I17" s="669">
        <v>888.32756427042807</v>
      </c>
      <c r="J17" s="671">
        <v>113078.81791974689</v>
      </c>
      <c r="K17" s="668">
        <v>12721.160295358735</v>
      </c>
      <c r="L17" s="668">
        <v>38636.61603863418</v>
      </c>
      <c r="M17" s="669">
        <v>15979.57119451642</v>
      </c>
      <c r="N17" s="669">
        <v>3449.8327935026441</v>
      </c>
      <c r="O17" s="669">
        <v>29690.479487100576</v>
      </c>
      <c r="P17" s="669">
        <v>11204.755276296166</v>
      </c>
      <c r="Q17" s="669">
        <v>1396.3378250969299</v>
      </c>
      <c r="R17" s="1006"/>
      <c r="S17" s="1006"/>
      <c r="V17" s="667"/>
    </row>
    <row r="18" spans="1:22" s="666" customFormat="1" ht="18.75" customHeight="1">
      <c r="A18" s="664">
        <v>2021</v>
      </c>
      <c r="B18" s="665"/>
      <c r="C18" s="668">
        <v>17232.250294437839</v>
      </c>
      <c r="D18" s="668">
        <v>37816.937517521808</v>
      </c>
      <c r="E18" s="669">
        <v>6597.2441783317772</v>
      </c>
      <c r="F18" s="669">
        <v>13146.72354362742</v>
      </c>
      <c r="G18" s="669">
        <v>33701.445760711256</v>
      </c>
      <c r="H18" s="669">
        <v>8571.3019052397322</v>
      </c>
      <c r="I18" s="669">
        <v>1036.9022766760979</v>
      </c>
      <c r="J18" s="671">
        <v>118102.72547654592</v>
      </c>
      <c r="K18" s="668">
        <v>13487.836237614387</v>
      </c>
      <c r="L18" s="668">
        <v>42140.460067706321</v>
      </c>
      <c r="M18" s="669">
        <v>16020.487424521098</v>
      </c>
      <c r="N18" s="669">
        <v>3488.9284750895104</v>
      </c>
      <c r="O18" s="669">
        <v>28158.109593526573</v>
      </c>
      <c r="P18" s="669">
        <v>13617.13459206289</v>
      </c>
      <c r="Q18" s="669">
        <v>1189.7600800865393</v>
      </c>
      <c r="R18" s="1006"/>
      <c r="S18" s="1006"/>
      <c r="V18" s="667"/>
    </row>
    <row r="19" spans="1:22" s="2199" customFormat="1" ht="18.75" customHeight="1">
      <c r="A19" s="1983">
        <v>2022</v>
      </c>
      <c r="B19" s="1984"/>
      <c r="C19" s="674">
        <v>17918.865992248684</v>
      </c>
      <c r="D19" s="675">
        <v>33356.105829162763</v>
      </c>
      <c r="E19" s="675">
        <v>8131.2431153442039</v>
      </c>
      <c r="F19" s="675">
        <v>14985.727752316634</v>
      </c>
      <c r="G19" s="675">
        <v>38214.106658238976</v>
      </c>
      <c r="H19" s="675">
        <v>8426.0853144536104</v>
      </c>
      <c r="I19" s="675">
        <v>1340.6563423761206</v>
      </c>
      <c r="J19" s="1461">
        <v>122372.75100414098</v>
      </c>
      <c r="K19" s="674">
        <v>15729.629426910031</v>
      </c>
      <c r="L19" s="674">
        <v>47343.271135242088</v>
      </c>
      <c r="M19" s="675">
        <v>14963.600810858712</v>
      </c>
      <c r="N19" s="675">
        <v>4658.5725418305619</v>
      </c>
      <c r="O19" s="675">
        <v>28646.121283434823</v>
      </c>
      <c r="P19" s="675">
        <v>9248.2592560979247</v>
      </c>
      <c r="Q19" s="675">
        <v>1783.254370203701</v>
      </c>
      <c r="R19" s="618"/>
      <c r="S19" s="618"/>
      <c r="V19" s="185"/>
    </row>
    <row r="20" spans="1:22" s="2199" customFormat="1" ht="18.75" customHeight="1">
      <c r="A20" s="1983">
        <v>2023</v>
      </c>
      <c r="B20" s="1984"/>
      <c r="C20" s="674">
        <v>20602.069929909991</v>
      </c>
      <c r="D20" s="674">
        <v>32440.658075935993</v>
      </c>
      <c r="E20" s="675">
        <v>7581.6086716217669</v>
      </c>
      <c r="F20" s="675">
        <v>19864.403147399196</v>
      </c>
      <c r="G20" s="675">
        <v>40819.090283766287</v>
      </c>
      <c r="H20" s="675">
        <v>8437.0987123190589</v>
      </c>
      <c r="I20" s="675">
        <v>1706.8409748305712</v>
      </c>
      <c r="J20" s="1461">
        <v>131451.76979578286</v>
      </c>
      <c r="K20" s="674">
        <v>13851.958579643491</v>
      </c>
      <c r="L20" s="674">
        <v>54235.289352198204</v>
      </c>
      <c r="M20" s="675">
        <v>15277.660284697569</v>
      </c>
      <c r="N20" s="675">
        <v>3098.8971894289048</v>
      </c>
      <c r="O20" s="675">
        <v>33728.836004678269</v>
      </c>
      <c r="P20" s="675">
        <v>8914.7858874932699</v>
      </c>
      <c r="Q20" s="675">
        <v>2344.3424976431561</v>
      </c>
      <c r="R20" s="618"/>
      <c r="S20" s="618"/>
      <c r="V20" s="185"/>
    </row>
    <row r="21" spans="1:22" s="2199" customFormat="1" ht="18.75" customHeight="1">
      <c r="A21" s="1983">
        <v>2024</v>
      </c>
      <c r="B21" s="1984"/>
      <c r="C21" s="674">
        <v>18454.797295045304</v>
      </c>
      <c r="D21" s="674">
        <v>33833.516129427946</v>
      </c>
      <c r="E21" s="675">
        <v>7434.4302888134898</v>
      </c>
      <c r="F21" s="675">
        <v>25824.764246881081</v>
      </c>
      <c r="G21" s="675">
        <v>39759.67449198087</v>
      </c>
      <c r="H21" s="675">
        <v>9444.0319557111234</v>
      </c>
      <c r="I21" s="675">
        <v>2146.9239109154732</v>
      </c>
      <c r="J21" s="1461">
        <v>136898.13831877531</v>
      </c>
      <c r="K21" s="674">
        <v>12832.276220607526</v>
      </c>
      <c r="L21" s="674">
        <v>54630.770053255779</v>
      </c>
      <c r="M21" s="675">
        <v>15464.724053867181</v>
      </c>
      <c r="N21" s="675">
        <v>2750.5711804065463</v>
      </c>
      <c r="O21" s="675">
        <v>40087.708392642358</v>
      </c>
      <c r="P21" s="675">
        <v>10199.528509374772</v>
      </c>
      <c r="Q21" s="675">
        <v>932.5399086211587</v>
      </c>
      <c r="R21" s="618"/>
      <c r="S21" s="618"/>
      <c r="V21" s="185"/>
    </row>
    <row r="22" spans="1:22" s="2199" customFormat="1" ht="18.75" customHeight="1">
      <c r="A22" s="2194">
        <v>2025</v>
      </c>
      <c r="B22" s="2195"/>
      <c r="C22" s="2196">
        <f t="shared" ref="C22:Q22" si="0">C29</f>
        <v>20964.240476939278</v>
      </c>
      <c r="D22" s="2196">
        <f t="shared" si="0"/>
        <v>35922.565407561458</v>
      </c>
      <c r="E22" s="2197">
        <f t="shared" si="0"/>
        <v>7066.8387394313377</v>
      </c>
      <c r="F22" s="2197">
        <f t="shared" si="0"/>
        <v>23154.421330201782</v>
      </c>
      <c r="G22" s="2197">
        <f t="shared" si="0"/>
        <v>35503.356000880718</v>
      </c>
      <c r="H22" s="2197">
        <f t="shared" si="0"/>
        <v>9974.3055717502557</v>
      </c>
      <c r="I22" s="2197">
        <f t="shared" si="0"/>
        <v>2185.1580406963199</v>
      </c>
      <c r="J22" s="2198">
        <f t="shared" si="0"/>
        <v>134770.85556746114</v>
      </c>
      <c r="K22" s="2196">
        <f t="shared" si="0"/>
        <v>13622.040616389029</v>
      </c>
      <c r="L22" s="2196">
        <f t="shared" si="0"/>
        <v>56672.102235477381</v>
      </c>
      <c r="M22" s="2197">
        <f t="shared" si="0"/>
        <v>15091.472485567936</v>
      </c>
      <c r="N22" s="2197">
        <f t="shared" si="0"/>
        <v>2048.5689656357167</v>
      </c>
      <c r="O22" s="2197">
        <f t="shared" si="0"/>
        <v>36033.331119809933</v>
      </c>
      <c r="P22" s="2197">
        <f t="shared" si="0"/>
        <v>10537.910583640933</v>
      </c>
      <c r="Q22" s="2197">
        <f t="shared" si="0"/>
        <v>765.4595609402179</v>
      </c>
      <c r="R22" s="618"/>
      <c r="S22" s="618"/>
      <c r="V22" s="185"/>
    </row>
    <row r="23" spans="1:22" s="666" customFormat="1" ht="21" customHeight="1">
      <c r="A23" s="664">
        <v>2024</v>
      </c>
      <c r="B23" s="665" t="s">
        <v>243</v>
      </c>
      <c r="C23" s="668">
        <v>20558.724855364679</v>
      </c>
      <c r="D23" s="668">
        <v>32919.390544133465</v>
      </c>
      <c r="E23" s="669">
        <v>7642.8985026219107</v>
      </c>
      <c r="F23" s="669">
        <v>20883.671734533535</v>
      </c>
      <c r="G23" s="669">
        <v>41212.384684806908</v>
      </c>
      <c r="H23" s="669">
        <v>8943.7119827157258</v>
      </c>
      <c r="I23" s="669">
        <v>1920.6126000948716</v>
      </c>
      <c r="J23" s="671">
        <v>134081.39490427109</v>
      </c>
      <c r="K23" s="668">
        <v>13579.174632176859</v>
      </c>
      <c r="L23" s="668">
        <v>51365.480649140896</v>
      </c>
      <c r="M23" s="669">
        <v>15919.605518126962</v>
      </c>
      <c r="N23" s="669">
        <v>3290.0865920648384</v>
      </c>
      <c r="O23" s="669">
        <v>38248.011779358669</v>
      </c>
      <c r="P23" s="669">
        <v>9114.1386101029457</v>
      </c>
      <c r="Q23" s="669">
        <v>2564.8971232999174</v>
      </c>
      <c r="R23" s="1006"/>
      <c r="S23" s="1006"/>
      <c r="V23" s="667"/>
    </row>
    <row r="24" spans="1:22" s="666" customFormat="1" ht="15" customHeight="1">
      <c r="A24" s="664"/>
      <c r="B24" s="665" t="s">
        <v>240</v>
      </c>
      <c r="C24" s="668">
        <v>20989.508404360276</v>
      </c>
      <c r="D24" s="668">
        <v>34888.721952740678</v>
      </c>
      <c r="E24" s="669">
        <v>7174.7439461866716</v>
      </c>
      <c r="F24" s="669">
        <v>21953.429404928087</v>
      </c>
      <c r="G24" s="669">
        <v>42627.417675537086</v>
      </c>
      <c r="H24" s="669">
        <v>9280.5381744141614</v>
      </c>
      <c r="I24" s="669">
        <v>2356.4945269202753</v>
      </c>
      <c r="J24" s="671">
        <v>139270.65408508724</v>
      </c>
      <c r="K24" s="668">
        <v>13561.328294938699</v>
      </c>
      <c r="L24" s="668">
        <v>55460.18217343124</v>
      </c>
      <c r="M24" s="669">
        <v>15790.058139156188</v>
      </c>
      <c r="N24" s="669">
        <v>3399.8785775303604</v>
      </c>
      <c r="O24" s="669">
        <v>39759.304505752254</v>
      </c>
      <c r="P24" s="669">
        <v>8695.3940038431065</v>
      </c>
      <c r="Q24" s="669">
        <v>2604.508390435396</v>
      </c>
      <c r="R24" s="1006"/>
      <c r="S24" s="1006"/>
      <c r="V24" s="667"/>
    </row>
    <row r="25" spans="1:22" s="666" customFormat="1" ht="15" customHeight="1">
      <c r="A25" s="664"/>
      <c r="B25" s="665" t="s">
        <v>241</v>
      </c>
      <c r="C25" s="668">
        <v>18454.797295045304</v>
      </c>
      <c r="D25" s="668">
        <v>33833.516129427946</v>
      </c>
      <c r="E25" s="669">
        <v>7434.4302888134898</v>
      </c>
      <c r="F25" s="669">
        <v>25824.764246881081</v>
      </c>
      <c r="G25" s="669">
        <v>39759.67449198087</v>
      </c>
      <c r="H25" s="669">
        <v>9444.0319557111234</v>
      </c>
      <c r="I25" s="669">
        <v>2146.9239109154732</v>
      </c>
      <c r="J25" s="671">
        <v>136898.13831877531</v>
      </c>
      <c r="K25" s="668">
        <v>12832.276220607526</v>
      </c>
      <c r="L25" s="668">
        <v>54630.770053255779</v>
      </c>
      <c r="M25" s="669">
        <v>15464.724053867181</v>
      </c>
      <c r="N25" s="669">
        <v>2750.5711804065463</v>
      </c>
      <c r="O25" s="669">
        <v>40087.708392642358</v>
      </c>
      <c r="P25" s="669">
        <v>10199.528509374772</v>
      </c>
      <c r="Q25" s="669">
        <v>932.5399086211587</v>
      </c>
      <c r="R25" s="1006"/>
      <c r="S25" s="1006"/>
      <c r="V25" s="667"/>
    </row>
    <row r="26" spans="1:22" s="666" customFormat="1" ht="21" customHeight="1">
      <c r="A26" s="664">
        <v>2025</v>
      </c>
      <c r="B26" s="665" t="s">
        <v>242</v>
      </c>
      <c r="C26" s="668">
        <v>20340.358265562638</v>
      </c>
      <c r="D26" s="668">
        <v>33426.893604242454</v>
      </c>
      <c r="E26" s="669">
        <v>8090.433822881273</v>
      </c>
      <c r="F26" s="669">
        <v>20902.905598724563</v>
      </c>
      <c r="G26" s="669">
        <v>41921.233821032198</v>
      </c>
      <c r="H26" s="669">
        <v>10378.173852571585</v>
      </c>
      <c r="I26" s="669">
        <v>2177.6321630456951</v>
      </c>
      <c r="J26" s="671">
        <v>137237.6311280604</v>
      </c>
      <c r="K26" s="668">
        <v>13156.989886225429</v>
      </c>
      <c r="L26" s="668">
        <v>57335.582149150316</v>
      </c>
      <c r="M26" s="669">
        <v>15043.042717330134</v>
      </c>
      <c r="N26" s="669">
        <v>2063.7607703951899</v>
      </c>
      <c r="O26" s="669">
        <v>38894.142988460932</v>
      </c>
      <c r="P26" s="669">
        <v>9717.5793265612519</v>
      </c>
      <c r="Q26" s="669">
        <v>1026.533289937157</v>
      </c>
      <c r="R26" s="1006"/>
      <c r="S26" s="1006"/>
      <c r="V26" s="667"/>
    </row>
    <row r="27" spans="1:22" s="666" customFormat="1" ht="15" customHeight="1">
      <c r="A27" s="664"/>
      <c r="B27" s="665" t="s">
        <v>243</v>
      </c>
      <c r="C27" s="668">
        <v>21183.811427956211</v>
      </c>
      <c r="D27" s="668">
        <v>35743.688440164115</v>
      </c>
      <c r="E27" s="669">
        <v>9092.7783676056206</v>
      </c>
      <c r="F27" s="669">
        <v>20914.929029272393</v>
      </c>
      <c r="G27" s="669">
        <v>37203.456876602781</v>
      </c>
      <c r="H27" s="669">
        <v>10085.231784258374</v>
      </c>
      <c r="I27" s="669">
        <v>2291.7322685337858</v>
      </c>
      <c r="J27" s="671">
        <v>136515.62819439327</v>
      </c>
      <c r="K27" s="668">
        <v>14065.850701226926</v>
      </c>
      <c r="L27" s="668">
        <v>53825.27010900616</v>
      </c>
      <c r="M27" s="669">
        <v>15970.925198211422</v>
      </c>
      <c r="N27" s="669">
        <v>1916.0415814887417</v>
      </c>
      <c r="O27" s="669">
        <v>38463.040222638556</v>
      </c>
      <c r="P27" s="669">
        <v>11436.401223550592</v>
      </c>
      <c r="Q27" s="669">
        <v>838.09915827089571</v>
      </c>
      <c r="R27" s="1006"/>
      <c r="S27" s="1006"/>
      <c r="V27" s="667"/>
    </row>
    <row r="28" spans="1:22" s="666" customFormat="1" ht="15" customHeight="1">
      <c r="A28" s="664"/>
      <c r="B28" s="665" t="s">
        <v>240</v>
      </c>
      <c r="C28" s="668">
        <f t="shared" ref="C28:Q28" si="1">C35</f>
        <v>21654.536542238598</v>
      </c>
      <c r="D28" s="668">
        <f t="shared" si="1"/>
        <v>37449.287809474066</v>
      </c>
      <c r="E28" s="669">
        <f t="shared" si="1"/>
        <v>8579.1552508808763</v>
      </c>
      <c r="F28" s="669">
        <f t="shared" si="1"/>
        <v>21826.040267198463</v>
      </c>
      <c r="G28" s="669">
        <f t="shared" si="1"/>
        <v>36986.200070174091</v>
      </c>
      <c r="H28" s="669">
        <f t="shared" si="1"/>
        <v>10466.788502406194</v>
      </c>
      <c r="I28" s="669">
        <f t="shared" si="1"/>
        <v>2274.2257408226433</v>
      </c>
      <c r="J28" s="671">
        <f t="shared" si="1"/>
        <v>139236.23418319493</v>
      </c>
      <c r="K28" s="668">
        <f t="shared" si="1"/>
        <v>13644.340882554505</v>
      </c>
      <c r="L28" s="668">
        <f t="shared" si="1"/>
        <v>59476.994594020478</v>
      </c>
      <c r="M28" s="669">
        <f t="shared" si="1"/>
        <v>15918.468751895212</v>
      </c>
      <c r="N28" s="669">
        <f t="shared" si="1"/>
        <v>2254.5367810472758</v>
      </c>
      <c r="O28" s="669">
        <f t="shared" si="1"/>
        <v>35434.076730872992</v>
      </c>
      <c r="P28" s="669">
        <f t="shared" si="1"/>
        <v>11249.190086770779</v>
      </c>
      <c r="Q28" s="669">
        <f t="shared" si="1"/>
        <v>1258.6263560336956</v>
      </c>
      <c r="R28" s="1006"/>
      <c r="S28" s="1006"/>
      <c r="V28" s="667"/>
    </row>
    <row r="29" spans="1:22" s="666" customFormat="1" ht="15" customHeight="1">
      <c r="A29" s="664"/>
      <c r="B29" s="665" t="s">
        <v>241</v>
      </c>
      <c r="C29" s="668">
        <f t="shared" ref="C29:Q29" si="2">C38</f>
        <v>20964.240476939278</v>
      </c>
      <c r="D29" s="668">
        <f t="shared" si="2"/>
        <v>35922.565407561458</v>
      </c>
      <c r="E29" s="669">
        <f t="shared" si="2"/>
        <v>7066.8387394313377</v>
      </c>
      <c r="F29" s="669">
        <f t="shared" si="2"/>
        <v>23154.421330201782</v>
      </c>
      <c r="G29" s="669">
        <f t="shared" si="2"/>
        <v>35503.356000880718</v>
      </c>
      <c r="H29" s="669">
        <f t="shared" si="2"/>
        <v>9974.3055717502557</v>
      </c>
      <c r="I29" s="669">
        <f t="shared" si="2"/>
        <v>2185.1580406963199</v>
      </c>
      <c r="J29" s="671">
        <f t="shared" si="2"/>
        <v>134770.85556746114</v>
      </c>
      <c r="K29" s="668">
        <f t="shared" si="2"/>
        <v>13622.040616389029</v>
      </c>
      <c r="L29" s="668">
        <f t="shared" si="2"/>
        <v>56672.102235477381</v>
      </c>
      <c r="M29" s="669">
        <f t="shared" si="2"/>
        <v>15091.472485567936</v>
      </c>
      <c r="N29" s="669">
        <f t="shared" si="2"/>
        <v>2048.5689656357167</v>
      </c>
      <c r="O29" s="669">
        <f t="shared" si="2"/>
        <v>36033.331119809933</v>
      </c>
      <c r="P29" s="669">
        <f t="shared" si="2"/>
        <v>10537.910583640933</v>
      </c>
      <c r="Q29" s="669">
        <f t="shared" si="2"/>
        <v>765.4595609402179</v>
      </c>
      <c r="R29" s="1006"/>
      <c r="S29" s="1006"/>
      <c r="V29" s="667"/>
    </row>
    <row r="30" spans="1:22" s="666" customFormat="1" ht="21" customHeight="1">
      <c r="A30" s="1757">
        <v>2026</v>
      </c>
      <c r="B30" s="1758" t="s">
        <v>242</v>
      </c>
      <c r="C30" s="1759">
        <f t="shared" ref="C30:Q30" si="3">C41</f>
        <v>22353.435482766672</v>
      </c>
      <c r="D30" s="1759">
        <f t="shared" si="3"/>
        <v>37141.270011767934</v>
      </c>
      <c r="E30" s="1760">
        <f t="shared" si="3"/>
        <v>8070.9899704320796</v>
      </c>
      <c r="F30" s="1760">
        <f t="shared" si="3"/>
        <v>19027.963159579373</v>
      </c>
      <c r="G30" s="1760">
        <f t="shared" si="3"/>
        <v>33829.141363297036</v>
      </c>
      <c r="H30" s="1760">
        <f t="shared" si="3"/>
        <v>9673.5335722017517</v>
      </c>
      <c r="I30" s="1760">
        <f t="shared" si="3"/>
        <v>2215.293311372574</v>
      </c>
      <c r="J30" s="1761">
        <f t="shared" si="3"/>
        <v>132311.62687141742</v>
      </c>
      <c r="K30" s="1759">
        <f t="shared" si="3"/>
        <v>14662.069644996362</v>
      </c>
      <c r="L30" s="1759">
        <f t="shared" si="3"/>
        <v>54301.943876091696</v>
      </c>
      <c r="M30" s="1760">
        <f t="shared" si="3"/>
        <v>12241.221915876758</v>
      </c>
      <c r="N30" s="1760">
        <f t="shared" si="3"/>
        <v>2165.0295615819191</v>
      </c>
      <c r="O30" s="1760">
        <f t="shared" si="3"/>
        <v>37428.985190140062</v>
      </c>
      <c r="P30" s="1760">
        <f t="shared" si="3"/>
        <v>10535.662709770151</v>
      </c>
      <c r="Q30" s="1760">
        <f t="shared" si="3"/>
        <v>976.71397296048235</v>
      </c>
      <c r="R30" s="1006"/>
      <c r="S30" s="1006"/>
      <c r="V30" s="667"/>
    </row>
    <row r="31" spans="1:22" s="185" customFormat="1" ht="21" customHeight="1">
      <c r="A31" s="1983">
        <v>2025</v>
      </c>
      <c r="B31" s="1984" t="s">
        <v>427</v>
      </c>
      <c r="C31" s="674">
        <v>21506.518565551651</v>
      </c>
      <c r="D31" s="674">
        <v>34388.373085311257</v>
      </c>
      <c r="E31" s="674">
        <v>8829.1158810853576</v>
      </c>
      <c r="F31" s="674">
        <v>15475.142683905719</v>
      </c>
      <c r="G31" s="674">
        <v>37687.525777372706</v>
      </c>
      <c r="H31" s="674">
        <v>9902.0634425633543</v>
      </c>
      <c r="I31" s="675">
        <v>2198.6040329460229</v>
      </c>
      <c r="J31" s="1461">
        <v>129987.34346873607</v>
      </c>
      <c r="K31" s="674">
        <v>13646.157347354696</v>
      </c>
      <c r="L31" s="674">
        <v>55450.774386472214</v>
      </c>
      <c r="M31" s="674">
        <v>15734.225910469393</v>
      </c>
      <c r="N31" s="674">
        <v>2078.6699214081841</v>
      </c>
      <c r="O31" s="674">
        <v>32862.741152973278</v>
      </c>
      <c r="P31" s="674">
        <v>9405.8131107790232</v>
      </c>
      <c r="Q31" s="675">
        <v>808.94163927928139</v>
      </c>
      <c r="R31" s="618">
        <v>0</v>
      </c>
      <c r="S31" s="618">
        <v>1.2391865311656147E-11</v>
      </c>
    </row>
    <row r="32" spans="1:22" s="185" customFormat="1" ht="15.75" customHeight="1">
      <c r="A32" s="1983"/>
      <c r="B32" s="1984" t="s">
        <v>428</v>
      </c>
      <c r="C32" s="674">
        <f>'[49]3B'!$AH$186</f>
        <v>21183.811427956211</v>
      </c>
      <c r="D32" s="674">
        <f>SUM('[49]3B'!$AH$189:$AH$193)</f>
        <v>35743.688440164115</v>
      </c>
      <c r="E32" s="674">
        <f>'[49]3B'!$AH$69+'[49]3B'!$AH$188+'[49]3B'!$AH$120+'[49]3B'!$AH$122+SUM('[49]3B'!$AH$199:$AH$203)+'[49]3B'!$AH$86+'[49]3B'!$AH$90+'[49]3B'!$AH$105+'[49]3B'!$AH$118</f>
        <v>9092.7783676056206</v>
      </c>
      <c r="F32" s="674">
        <f>'[49]3B'!$AH$130+'[49]3B'!$AH$141+'[49]3B'!$AH$170</f>
        <v>20914.929029272393</v>
      </c>
      <c r="G32" s="674">
        <f>'[49]3B'!$AH$15</f>
        <v>37203.456876602781</v>
      </c>
      <c r="H32" s="674">
        <f>'[49]3B'!$AH$204+'[49]3B'!$AH$229+'[49]3B'!$AH$187</f>
        <v>10085.231784258374</v>
      </c>
      <c r="I32" s="675">
        <f t="shared" ref="I32" si="4">$J32-SUM(C32:H32)</f>
        <v>2291.7322685337858</v>
      </c>
      <c r="J32" s="673">
        <f>'[49]3B'!$AH$272-0.1</f>
        <v>136515.62819439327</v>
      </c>
      <c r="K32" s="674">
        <f>'[49]3A'!$AX$186</f>
        <v>14065.850701226926</v>
      </c>
      <c r="L32" s="674">
        <f>SUM('[49]3A'!$AX$189:$AX$193)</f>
        <v>53825.27010900616</v>
      </c>
      <c r="M32" s="674">
        <f>'[49]3A'!$AX$69+'[49]3A'!$AX$188+'[49]3A'!$AX$120+'[49]3A'!$AX$122+SUM('[49]3A'!$AX$199:$AX$203)+'[49]3A'!$AX$86+'[49]3A'!$AX$90+'[49]3A'!$AX$105+'[49]3A'!$AX$118</f>
        <v>15970.925198211422</v>
      </c>
      <c r="N32" s="672">
        <f>'[49]3A'!$AX$130+'[49]3A'!$AX$141+'[49]3A'!$AX$170-0.01</f>
        <v>1916.0415814887417</v>
      </c>
      <c r="O32" s="672">
        <f>'[49]3A'!$AX$15-0.02</f>
        <v>38463.040222638556</v>
      </c>
      <c r="P32" s="674">
        <f>'[49]3A'!$AX$204+'[49]3A'!$AX$229+'[49]3A'!$AX$187</f>
        <v>11436.401223550592</v>
      </c>
      <c r="Q32" s="675">
        <f t="shared" ref="Q32:Q37" si="5">$J32-SUM(K32:P32)</f>
        <v>838.09915827089571</v>
      </c>
      <c r="R32" s="618">
        <f t="shared" ref="R32" si="6">ROUND(J32,1)-ROUND(C32,1)-ROUND(D32,1)-ROUND(E32,1)-ROUND(F32,1)-ROUND(G32,1)-ROUND(H32,1)-ROUND(I32,1)</f>
        <v>0</v>
      </c>
      <c r="S32" s="618">
        <f t="shared" ref="S32" si="7">ROUND(J32,1)-ROUND(K32,1)-ROUND(L32,1)-ROUND(M32,1)-ROUND(N32,1)-ROUND(O32,1)-ROUND(P32,1)-ROUND(Q32,1)</f>
        <v>7.617018127348274E-12</v>
      </c>
    </row>
    <row r="33" spans="1:20" s="185" customFormat="1" ht="15.75" customHeight="1">
      <c r="A33" s="1983"/>
      <c r="B33" s="1984" t="s">
        <v>429</v>
      </c>
      <c r="C33" s="674">
        <f>'[50]3B'!$AH$186</f>
        <v>22201.656004203825</v>
      </c>
      <c r="D33" s="674">
        <f>SUM('[50]3B'!$AH$189:$AH$193)</f>
        <v>35954.794007100492</v>
      </c>
      <c r="E33" s="674">
        <f>'[50]3B'!$AH$69+'[50]3B'!$AH$188+'[50]3B'!$AH$120+'[50]3B'!$AH$122+SUM('[50]3B'!$AH$199:$AH$203)+'[50]3B'!$AH$86+'[50]3B'!$AH$90+'[50]3B'!$AH$105+'[50]3B'!$AH$118</f>
        <v>8843.1793708695513</v>
      </c>
      <c r="F33" s="674">
        <f>'[50]3B'!$AH$130+'[50]3B'!$AH$141+'[50]3B'!$AH$170</f>
        <v>13953.745330883068</v>
      </c>
      <c r="G33" s="674">
        <f>'[50]3B'!$AH$15</f>
        <v>36760.023597943698</v>
      </c>
      <c r="H33" s="674">
        <f>'[50]3B'!$AH$204+'[50]3B'!$AH$229+'[50]3B'!$AH$187</f>
        <v>9799.7849014707299</v>
      </c>
      <c r="I33" s="675">
        <f t="shared" ref="I33" si="8">$J33-SUM(C33:H33)</f>
        <v>2257.307050368152</v>
      </c>
      <c r="J33" s="1461">
        <f>'[50]3B'!$AH$272</f>
        <v>129770.49026283952</v>
      </c>
      <c r="K33" s="674">
        <f>'[50]3A'!$AX$186</f>
        <v>14561.857571208064</v>
      </c>
      <c r="L33" s="674">
        <f>SUM('[50]3A'!$AX$189:$AX$193)</f>
        <v>54084.431740089196</v>
      </c>
      <c r="M33" s="674">
        <f>'[50]3A'!$AX$69+'[50]3A'!$AX$188+'[50]3A'!$AX$120+'[50]3A'!$AX$122+SUM('[50]3A'!$AX$199:$AX$203)+'[50]3A'!$AX$86+'[50]3A'!$AX$90+'[50]3A'!$AX$105+'[50]3A'!$AX$118</f>
        <v>15865.096356982598</v>
      </c>
      <c r="N33" s="674">
        <f>'[50]3A'!$AX$130+'[50]3A'!$AX$141+'[50]3A'!$AX$170</f>
        <v>2052.4659300402304</v>
      </c>
      <c r="O33" s="674">
        <f>'[50]3A'!$AX$15</f>
        <v>30268.989993330008</v>
      </c>
      <c r="P33" s="672">
        <f>'[50]3A'!$AX$204+'[50]3A'!$AX$229+'[50]3A'!$AX$187-0.01</f>
        <v>11935.84185440118</v>
      </c>
      <c r="Q33" s="675">
        <f t="shared" si="5"/>
        <v>1001.8068167882448</v>
      </c>
      <c r="R33" s="618">
        <f t="shared" ref="R33" si="9">ROUND(J33,1)-ROUND(C33,1)-ROUND(D33,1)-ROUND(E33,1)-ROUND(F33,1)-ROUND(G33,1)-ROUND(H33,1)-ROUND(I33,1)</f>
        <v>6.3664629124104977E-12</v>
      </c>
      <c r="S33" s="618">
        <f t="shared" ref="S33" si="10">ROUND(J33,1)-ROUND(K33,1)-ROUND(L33,1)-ROUND(M33,1)-ROUND(N33,1)-ROUND(O33,1)-ROUND(P33,1)-ROUND(Q33,1)</f>
        <v>6.5938365878537297E-12</v>
      </c>
    </row>
    <row r="34" spans="1:20" s="185" customFormat="1" ht="15.75" customHeight="1">
      <c r="A34" s="1983"/>
      <c r="B34" s="1984" t="s">
        <v>430</v>
      </c>
      <c r="C34" s="674">
        <f>'[51]3B'!$AH$186</f>
        <v>22104.02827326292</v>
      </c>
      <c r="D34" s="674">
        <f>SUM('[51]3B'!$AH$189:$AH$193)</f>
        <v>35132.676558150335</v>
      </c>
      <c r="E34" s="674">
        <f>'[51]3B'!$AH$69+'[51]3B'!$AH$188+'[51]3B'!$AH$120+'[51]3B'!$AH$122+SUM('[51]3B'!$AH$199:$AH$203)+'[51]3B'!$AH$86+'[51]3B'!$AH$90+'[51]3B'!$AH$105+'[51]3B'!$AH$118</f>
        <v>8618.3487149135235</v>
      </c>
      <c r="F34" s="674">
        <f>'[51]3B'!$AH$130+'[51]3B'!$AH$141+'[51]3B'!$AH$170</f>
        <v>14454.394649211976</v>
      </c>
      <c r="G34" s="674">
        <f>'[51]3B'!$AH$15</f>
        <v>36471.840501116902</v>
      </c>
      <c r="H34" s="674">
        <f>'[51]3B'!$AH$204+'[51]3B'!$AH$229+'[51]3B'!$AH$187</f>
        <v>10056.959193985538</v>
      </c>
      <c r="I34" s="675">
        <f t="shared" ref="I34" si="11">$J34-SUM(C34:H34)</f>
        <v>2261.0810283736791</v>
      </c>
      <c r="J34" s="673">
        <f>'[51]3B'!$AH$272-0.1</f>
        <v>129099.32891901486</v>
      </c>
      <c r="K34" s="674">
        <f>'[51]3A'!$AX$186</f>
        <v>14448.729553485573</v>
      </c>
      <c r="L34" s="674">
        <f>SUM('[51]3A'!$AX$189:$AX$193)</f>
        <v>54925.556063274082</v>
      </c>
      <c r="M34" s="674">
        <f>'[51]3A'!$AX$69+'[51]3A'!$AX$188+'[51]3A'!$AX$120+'[51]3A'!$AX$122+SUM('[51]3A'!$AX$199:$AX$203)+'[51]3A'!$AX$86+'[51]3A'!$AX$90+'[51]3A'!$AX$105+'[51]3A'!$AX$118</f>
        <v>15688.821967701451</v>
      </c>
      <c r="N34" s="674">
        <f>'[51]3A'!$AX$130+'[51]3A'!$AX$141+'[51]3A'!$AX$170</f>
        <v>2176.9879808338787</v>
      </c>
      <c r="O34" s="672">
        <f>'[51]3A'!$AX$15-0.01</f>
        <v>30203.941119708583</v>
      </c>
      <c r="P34" s="674">
        <f>'[51]3A'!$AX$204+'[51]3A'!$AX$229+'[51]3A'!$AX$187</f>
        <v>10542.997125713378</v>
      </c>
      <c r="Q34" s="675">
        <f t="shared" si="5"/>
        <v>1112.2951082979271</v>
      </c>
      <c r="R34" s="618">
        <f t="shared" ref="R34" si="12">ROUND(J34,1)-ROUND(C34,1)-ROUND(D34,1)-ROUND(E34,1)-ROUND(F34,1)-ROUND(G34,1)-ROUND(H34,1)-ROUND(I34,1)</f>
        <v>0</v>
      </c>
      <c r="S34" s="618">
        <f t="shared" ref="S34" si="13">ROUND(J34,1)-ROUND(K34,1)-ROUND(L34,1)-ROUND(M34,1)-ROUND(N34,1)-ROUND(O34,1)-ROUND(P34,1)-ROUND(Q34,1)</f>
        <v>1.0231815394945443E-11</v>
      </c>
    </row>
    <row r="35" spans="1:20" s="185" customFormat="1" ht="15.75" customHeight="1">
      <c r="A35" s="1983"/>
      <c r="B35" s="1984" t="s">
        <v>431</v>
      </c>
      <c r="C35" s="674">
        <f>'[52]3B'!$AH$186</f>
        <v>21654.536542238598</v>
      </c>
      <c r="D35" s="674">
        <f>SUM('[52]3B'!$AH$189:$AH$193)</f>
        <v>37449.287809474066</v>
      </c>
      <c r="E35" s="674">
        <f>'[52]3B'!$AH$69+'[52]3B'!$AH$188+'[52]3B'!$AH$120+'[52]3B'!$AH$122+SUM('[52]3B'!$AH$199:$AH$203)+'[52]3B'!$AH$86+'[52]3B'!$AH$90+'[52]3B'!$AH$105+'[52]3B'!$AH$118</f>
        <v>8579.1552508808763</v>
      </c>
      <c r="F35" s="674">
        <f>'[52]3B'!$AH$130+'[52]3B'!$AH$141+'[52]3B'!$AH$170</f>
        <v>21826.040267198463</v>
      </c>
      <c r="G35" s="674">
        <f>'[52]3B'!$AH$15</f>
        <v>36986.200070174091</v>
      </c>
      <c r="H35" s="674">
        <f>'[52]3B'!$AH$204+'[52]3B'!$AH$229+'[52]3B'!$AH$187</f>
        <v>10466.788502406194</v>
      </c>
      <c r="I35" s="675">
        <f t="shared" ref="I35" si="14">$J35-SUM(C35:H35)</f>
        <v>2274.2257408226433</v>
      </c>
      <c r="J35" s="673">
        <f>'[52]3B'!$AH$272-0.05</f>
        <v>139236.23418319493</v>
      </c>
      <c r="K35" s="672">
        <f>'[52]3A'!$AX$186-0.01</f>
        <v>13644.340882554505</v>
      </c>
      <c r="L35" s="674">
        <f>SUM('[52]3A'!$AX$189:$AX$193)</f>
        <v>59476.994594020478</v>
      </c>
      <c r="M35" s="674">
        <f>'[52]3A'!$AX$69+'[52]3A'!$AX$188+'[52]3A'!$AX$120+'[52]3A'!$AX$122+SUM('[52]3A'!$AX$199:$AX$203)+'[52]3A'!$AX$86+'[52]3A'!$AX$90+'[52]3A'!$AX$105+'[52]3A'!$AX$118</f>
        <v>15918.468751895212</v>
      </c>
      <c r="N35" s="674">
        <f>'[52]3A'!$AX$130+'[52]3A'!$AX$141+'[52]3A'!$AX$170</f>
        <v>2254.5367810472758</v>
      </c>
      <c r="O35" s="674">
        <f>'[52]3A'!$AX$15</f>
        <v>35434.076730872992</v>
      </c>
      <c r="P35" s="674">
        <f>'[52]3A'!$AX$204+'[52]3A'!$AX$229+'[52]3A'!$AX$187</f>
        <v>11249.190086770779</v>
      </c>
      <c r="Q35" s="675">
        <f t="shared" si="5"/>
        <v>1258.6263560336956</v>
      </c>
      <c r="R35" s="618">
        <f t="shared" ref="R35" si="15">ROUND(J35,1)-ROUND(C35,1)-ROUND(D35,1)-ROUND(E35,1)-ROUND(F35,1)-ROUND(G35,1)-ROUND(H35,1)-ROUND(I35,1)</f>
        <v>1.546140993013978E-11</v>
      </c>
      <c r="S35" s="618">
        <f t="shared" ref="S35" si="16">ROUND(J35,1)-ROUND(K35,1)-ROUND(L35,1)-ROUND(M35,1)-ROUND(N35,1)-ROUND(O35,1)-ROUND(P35,1)-ROUND(Q35,1)</f>
        <v>9.5496943686157465E-12</v>
      </c>
    </row>
    <row r="36" spans="1:20" s="185" customFormat="1" ht="15.75" customHeight="1">
      <c r="A36" s="1983"/>
      <c r="B36" s="1984" t="s">
        <v>420</v>
      </c>
      <c r="C36" s="674">
        <f>'[53]3B'!$AH$186</f>
        <v>21200.785320895127</v>
      </c>
      <c r="D36" s="674">
        <f>SUM('[53]3B'!$AH$189:$AH$193)</f>
        <v>37948.934393207004</v>
      </c>
      <c r="E36" s="674">
        <f>'[53]3B'!$AH$69+'[53]3B'!$AH$188+'[53]3B'!$AH$120+'[53]3B'!$AH$122+SUM('[53]3B'!$AH$199:$AH$203)+'[53]3B'!$AH$86+'[53]3B'!$AH$90+'[53]3B'!$AH$105+'[53]3B'!$AH$118</f>
        <v>8456.5437707989404</v>
      </c>
      <c r="F36" s="674">
        <f>'[53]3B'!$AH$130+'[53]3B'!$AH$141+'[53]3B'!$AH$170</f>
        <v>20702.490182534297</v>
      </c>
      <c r="G36" s="674">
        <f>'[53]3B'!$AH$15</f>
        <v>34714.714614534423</v>
      </c>
      <c r="H36" s="674">
        <f>'[53]3B'!$AH$204+'[53]3B'!$AH$229+'[53]3B'!$AH$187</f>
        <v>9686.5521223465748</v>
      </c>
      <c r="I36" s="675">
        <f t="shared" ref="I36" si="17">$J36-SUM(C36:H36)</f>
        <v>2313.017914840515</v>
      </c>
      <c r="J36" s="673">
        <f>'[53]3B'!$AH$272-0.03</f>
        <v>135023.03831915688</v>
      </c>
      <c r="K36" s="672">
        <f>'[53]3A'!$AX$186+0.01</f>
        <v>14116.358318840255</v>
      </c>
      <c r="L36" s="672">
        <f>SUM('[53]3A'!$AX$189:$AX$193)-0.02</f>
        <v>56525.046120423831</v>
      </c>
      <c r="M36" s="674">
        <f>'[53]3A'!$AX$69+'[53]3A'!$AX$188+'[53]3A'!$AX$120+'[53]3A'!$AX$122+SUM('[53]3A'!$AX$199:$AX$203)+'[53]3A'!$AX$86+'[53]3A'!$AX$90+'[53]3A'!$AX$105+'[53]3A'!$AX$118</f>
        <v>16301.983099567191</v>
      </c>
      <c r="N36" s="674">
        <f>'[53]3A'!$AX$130+'[53]3A'!$AX$141+'[53]3A'!$AX$170</f>
        <v>2147.1400355638484</v>
      </c>
      <c r="O36" s="674">
        <f>'[53]3A'!$AX$15</f>
        <v>34237.983568252537</v>
      </c>
      <c r="P36" s="674">
        <f>'[53]3A'!$AX$204+'[53]3A'!$AX$229+'[53]3A'!$AX$187</f>
        <v>10499.021827471568</v>
      </c>
      <c r="Q36" s="675">
        <f t="shared" si="5"/>
        <v>1195.5053490376449</v>
      </c>
      <c r="R36" s="618">
        <f t="shared" ref="R36" si="18">ROUND(J36,1)-ROUND(C36,1)-ROUND(D36,1)-ROUND(E36,1)-ROUND(F36,1)-ROUND(G36,1)-ROUND(H36,1)-ROUND(I36,1)</f>
        <v>-9.0949470177292824E-12</v>
      </c>
      <c r="S36" s="618">
        <f t="shared" ref="S36" si="19">ROUND(J36,1)-ROUND(K36,1)-ROUND(L36,1)-ROUND(M36,1)-ROUND(N36,1)-ROUND(O36,1)-ROUND(P36,1)-ROUND(Q36,1)</f>
        <v>7.2759576141834259E-12</v>
      </c>
    </row>
    <row r="37" spans="1:20" s="185" customFormat="1" ht="15.75" customHeight="1">
      <c r="A37" s="1983"/>
      <c r="B37" s="1984" t="s">
        <v>421</v>
      </c>
      <c r="C37" s="674">
        <f>'[54]3B'!$AH$186</f>
        <v>20955.923645716706</v>
      </c>
      <c r="D37" s="674">
        <f>SUM('[54]3B'!$AH$189:$AH$193)</f>
        <v>36958.266886627658</v>
      </c>
      <c r="E37" s="674">
        <f>'[54]3B'!$AH$69+'[54]3B'!$AH$188+'[54]3B'!$AH$120+'[54]3B'!$AH$122+SUM('[54]3B'!$AH$199:$AH$203)+'[54]3B'!$AH$86+'[54]3B'!$AH$90+'[54]3B'!$AH$105+'[54]3B'!$AH$118</f>
        <v>8410.5472939064075</v>
      </c>
      <c r="F37" s="674">
        <f>'[54]3B'!$AH$130+'[54]3B'!$AH$141+'[54]3B'!$AH$170</f>
        <v>22195.808875268584</v>
      </c>
      <c r="G37" s="674">
        <f>'[54]3B'!$AH$15</f>
        <v>34551.106814766601</v>
      </c>
      <c r="H37" s="674">
        <f>'[54]3B'!$AH$204+'[54]3B'!$AH$229+'[54]3B'!$AH$187</f>
        <v>9790.1634351513931</v>
      </c>
      <c r="I37" s="675">
        <f t="shared" ref="I37" si="20">$J37-SUM(C37:H37)</f>
        <v>2285.0327209809911</v>
      </c>
      <c r="J37" s="673">
        <f>'[54]3B'!$AH$272-0.03</f>
        <v>135146.84967241835</v>
      </c>
      <c r="K37" s="674">
        <f>'[54]3A'!$AX$186</f>
        <v>14029.680687134656</v>
      </c>
      <c r="L37" s="674">
        <f>SUM('[54]3A'!$AX$189:$AX$193)</f>
        <v>55937.84658879885</v>
      </c>
      <c r="M37" s="674">
        <f>'[54]3A'!$AX$69+'[54]3A'!$AX$188+'[54]3A'!$AX$120+'[54]3A'!$AX$122+SUM('[54]3A'!$AX$199:$AX$203)+'[54]3A'!$AX$86+'[54]3A'!$AX$90+'[54]3A'!$AX$105+'[54]3A'!$AX$118</f>
        <v>16367.770953480347</v>
      </c>
      <c r="N37" s="674">
        <f>'[54]3A'!$AX$130+'[54]3A'!$AX$141+'[54]3A'!$AX$170</f>
        <v>2020.1957421361108</v>
      </c>
      <c r="O37" s="674">
        <f>'[54]3A'!$AX$15</f>
        <v>35788.812821872969</v>
      </c>
      <c r="P37" s="674">
        <f>'[54]3A'!$AX$204+'[54]3A'!$AX$229+'[54]3A'!$AX$187</f>
        <v>9951.1064970060233</v>
      </c>
      <c r="Q37" s="675">
        <f t="shared" si="5"/>
        <v>1051.4363819893915</v>
      </c>
      <c r="R37" s="618">
        <f t="shared" ref="R37" si="21">ROUND(J37,1)-ROUND(C37,1)-ROUND(D37,1)-ROUND(E37,1)-ROUND(F37,1)-ROUND(G37,1)-ROUND(H37,1)-ROUND(I37,1)</f>
        <v>-1.0913936421275139E-11</v>
      </c>
      <c r="S37" s="618">
        <f t="shared" ref="S37" si="22">ROUND(J37,1)-ROUND(K37,1)-ROUND(L37,1)-ROUND(M37,1)-ROUND(N37,1)-ROUND(O37,1)-ROUND(P37,1)-ROUND(Q37,1)</f>
        <v>-1.5006662579253316E-11</v>
      </c>
    </row>
    <row r="38" spans="1:20" s="185" customFormat="1" ht="15.75" customHeight="1">
      <c r="A38" s="1983"/>
      <c r="B38" s="1984" t="s">
        <v>422</v>
      </c>
      <c r="C38" s="672">
        <f>'[55]3B'!$AH$186-0.02</f>
        <v>20964.240476939278</v>
      </c>
      <c r="D38" s="672">
        <f>SUM('[55]3B'!$AH$189:$AH$193)+0.02</f>
        <v>35922.565407561458</v>
      </c>
      <c r="E38" s="674">
        <f>'[55]3B'!$AH$69+'[55]3B'!$AH$188+'[55]3B'!$AH$120+'[55]3B'!$AH$122+SUM('[55]3B'!$AH$199:$AH$203)+'[55]3B'!$AH$86+'[55]3B'!$AH$90+'[55]3B'!$AH$105+'[55]3B'!$AH$118</f>
        <v>7066.8387394313377</v>
      </c>
      <c r="F38" s="674">
        <f>'[55]3B'!$AH$130+'[55]3B'!$AH$141+'[55]3B'!$AH$170</f>
        <v>23154.421330201782</v>
      </c>
      <c r="G38" s="672">
        <f>'[55]3B'!$AH$15+0.01</f>
        <v>35503.356000880718</v>
      </c>
      <c r="H38" s="674">
        <f>'[55]3B'!$AH$204+'[55]3B'!$AH$229+'[55]3B'!$AH$187</f>
        <v>9974.3055717502557</v>
      </c>
      <c r="I38" s="670">
        <f>$J38-SUM(C38:H38)+0.03</f>
        <v>2185.1580406963199</v>
      </c>
      <c r="J38" s="673">
        <f>'[55]3B'!$AH$272+0.05</f>
        <v>134770.85556746114</v>
      </c>
      <c r="K38" s="674">
        <f>'[55]3A'!$AX$186</f>
        <v>13622.040616389029</v>
      </c>
      <c r="L38" s="674">
        <f>SUM('[55]3A'!$AX$189:$AX$193)</f>
        <v>56672.102235477381</v>
      </c>
      <c r="M38" s="674">
        <f>'[55]3A'!$AX$69+'[55]3A'!$AX$188+'[55]3A'!$AX$120+'[55]3A'!$AX$122+SUM('[55]3A'!$AX$199:$AX$203)+'[55]3A'!$AX$86+'[55]3A'!$AX$90+'[55]3A'!$AX$105+'[55]3A'!$AX$118</f>
        <v>15091.472485567936</v>
      </c>
      <c r="N38" s="674">
        <f>'[55]3A'!$AX$130+'[55]3A'!$AX$141+'[55]3A'!$AX$170</f>
        <v>2048.5689656357167</v>
      </c>
      <c r="O38" s="674">
        <f>'[55]3A'!$AX$15</f>
        <v>36033.331119809933</v>
      </c>
      <c r="P38" s="674">
        <f>'[55]3A'!$AX$204+'[55]3A'!$AX$229+'[55]3A'!$AX$187</f>
        <v>10537.910583640933</v>
      </c>
      <c r="Q38" s="670">
        <f>$J38-SUM(K38:P38)+0.03</f>
        <v>765.4595609402179</v>
      </c>
      <c r="R38" s="618">
        <f t="shared" ref="R38" si="23">ROUND(J38,1)-ROUND(C38,1)-ROUND(D38,1)-ROUND(E38,1)-ROUND(F38,1)-ROUND(G38,1)-ROUND(H38,1)-ROUND(I38,1)</f>
        <v>0</v>
      </c>
      <c r="S38" s="618">
        <f t="shared" ref="S38" si="24">ROUND(J38,1)-ROUND(K38,1)-ROUND(L38,1)-ROUND(M38,1)-ROUND(N38,1)-ROUND(O38,1)-ROUND(P38,1)-ROUND(Q38,1)</f>
        <v>-5.4569682106375694E-12</v>
      </c>
    </row>
    <row r="39" spans="1:20" s="185" customFormat="1" ht="21" customHeight="1">
      <c r="A39" s="1983">
        <v>2026</v>
      </c>
      <c r="B39" s="1984" t="s">
        <v>423</v>
      </c>
      <c r="C39" s="672">
        <f>'[56]3B'!$AH$186-0.12</f>
        <v>21635.839701688681</v>
      </c>
      <c r="D39" s="674">
        <f>SUM('[56]3B'!$AH$189:$AH$193)</f>
        <v>37871.885586025659</v>
      </c>
      <c r="E39" s="674">
        <f>'[56]3B'!$AH$69+'[56]3B'!$AH$188+'[56]3B'!$AH$120+'[56]3B'!$AH$122+SUM('[56]3B'!$AH$199:$AH$203)+'[56]3B'!$AH$86+'[56]3B'!$AH$90+'[56]3B'!$AH$105+'[56]3B'!$AH$118</f>
        <v>7345.1312169369048</v>
      </c>
      <c r="F39" s="674">
        <f>'[56]3B'!$AH$130+'[56]3B'!$AH$141+'[56]3B'!$AH$170</f>
        <v>14532.623761594683</v>
      </c>
      <c r="G39" s="674">
        <f>'[56]3B'!$AH$15</f>
        <v>35901.363940572483</v>
      </c>
      <c r="H39" s="674">
        <f>'[56]3B'!$AH$204+'[56]3B'!$AH$229+'[56]3B'!$AH$187</f>
        <v>10240.733651265053</v>
      </c>
      <c r="I39" s="675">
        <f>$J39-SUM(C39:H39)</f>
        <v>2349.2710161589348</v>
      </c>
      <c r="J39" s="673">
        <f>'[56]3B'!$AH$272-0.02</f>
        <v>129876.84887424241</v>
      </c>
      <c r="K39" s="672">
        <f>'[56]3A'!$AX$186+0.1</f>
        <v>13807.783441546198</v>
      </c>
      <c r="L39" s="674">
        <f>SUM('[56]3A'!$AX$189:$AX$193)</f>
        <v>57679.182872220277</v>
      </c>
      <c r="M39" s="674">
        <f>'[56]3A'!$AX$69+'[56]3A'!$AX$188+'[56]3A'!$AX$120+'[56]3A'!$AX$122+SUM('[56]3A'!$AX$199:$AX$203)+'[56]3A'!$AX$86+'[56]3A'!$AX$90+'[56]3A'!$AX$105+'[56]3A'!$AX$118</f>
        <v>15705.840760849185</v>
      </c>
      <c r="N39" s="674">
        <f>'[56]3A'!$AX$130+'[56]3A'!$AX$141+'[56]3A'!$AX$170</f>
        <v>2265.6903118437394</v>
      </c>
      <c r="O39" s="674">
        <f>'[56]3A'!$AX$15</f>
        <v>29256.47778094688</v>
      </c>
      <c r="P39" s="674">
        <f>'[56]3A'!$AX$204+'[56]3A'!$AX$229+'[56]3A'!$AX$187</f>
        <v>9990.5784299429688</v>
      </c>
      <c r="Q39" s="670">
        <f>$J39-SUM(K39:P39)-0.05</f>
        <v>1171.2452768931719</v>
      </c>
      <c r="R39" s="618">
        <f t="shared" ref="R39" si="25">ROUND(J39,1)-ROUND(C39,1)-ROUND(D39,1)-ROUND(E39,1)-ROUND(F39,1)-ROUND(G39,1)-ROUND(H39,1)-ROUND(I39,1)</f>
        <v>6.3664629124104977E-12</v>
      </c>
      <c r="S39" s="618">
        <f t="shared" ref="S39" si="26">ROUND(J39,1)-ROUND(K39,1)-ROUND(L39,1)-ROUND(M39,1)-ROUND(N39,1)-ROUND(O39,1)-ROUND(P39,1)-ROUND(Q39,1)</f>
        <v>2.5011104298755527E-12</v>
      </c>
    </row>
    <row r="40" spans="1:20" s="185" customFormat="1" ht="15.75" customHeight="1">
      <c r="A40" s="1983"/>
      <c r="B40" s="1984" t="s">
        <v>424</v>
      </c>
      <c r="C40" s="672">
        <v>22239.2075019654</v>
      </c>
      <c r="D40" s="674">
        <v>36801.89014588538</v>
      </c>
      <c r="E40" s="674">
        <v>8150.8414588838787</v>
      </c>
      <c r="F40" s="674">
        <v>14236.366562040732</v>
      </c>
      <c r="G40" s="674">
        <v>34269.23367962207</v>
      </c>
      <c r="H40" s="674">
        <v>9705.1143921011917</v>
      </c>
      <c r="I40" s="675">
        <v>2212.5617503313274</v>
      </c>
      <c r="J40" s="1461">
        <v>127615.18549082999</v>
      </c>
      <c r="K40" s="674">
        <v>14329.215667843682</v>
      </c>
      <c r="L40" s="674">
        <v>55844.2996222285</v>
      </c>
      <c r="M40" s="674">
        <v>13398.680793713704</v>
      </c>
      <c r="N40" s="674">
        <v>2016.0340356718509</v>
      </c>
      <c r="O40" s="674">
        <v>31262.794368706825</v>
      </c>
      <c r="P40" s="674">
        <v>10077.072028422819</v>
      </c>
      <c r="Q40" s="675">
        <v>687.08897424259339</v>
      </c>
      <c r="R40" s="618">
        <f t="shared" ref="R40" si="27">ROUND(J40,1)-ROUND(C40,1)-ROUND(D40,1)-ROUND(E40,1)-ROUND(F40,1)-ROUND(G40,1)-ROUND(H40,1)-ROUND(I40,1)</f>
        <v>4.0927261579781771E-12</v>
      </c>
      <c r="S40" s="618">
        <f t="shared" ref="S40" si="28">ROUND(J40,1)-ROUND(K40,1)-ROUND(L40,1)-ROUND(M40,1)-ROUND(N40,1)-ROUND(O40,1)-ROUND(P40,1)-ROUND(Q40,1)</f>
        <v>0</v>
      </c>
    </row>
    <row r="41" spans="1:20" s="185" customFormat="1" ht="15.75" customHeight="1">
      <c r="A41" s="1983"/>
      <c r="B41" s="1984" t="s">
        <v>425</v>
      </c>
      <c r="C41" s="672">
        <f>'[58]3B'!$AH$186-0.05</f>
        <v>22353.435482766672</v>
      </c>
      <c r="D41" s="674">
        <f>SUM('[58]3B'!$AH$189:$AH$193)</f>
        <v>37141.270011767934</v>
      </c>
      <c r="E41" s="674">
        <f>'[58]3B'!$AH$69+'[58]3B'!$AH$188+'[58]3B'!$AH$120+'[58]3B'!$AH$122+SUM('[58]3B'!$AH$199:$AH$203)+'[58]3B'!$AH$86+'[58]3B'!$AH$90+'[58]3B'!$AH$105+'[58]3B'!$AH$118</f>
        <v>8070.9899704320796</v>
      </c>
      <c r="F41" s="674">
        <f>'[58]3B'!$AH$130+'[58]3B'!$AH$141+'[58]3B'!$AH$170</f>
        <v>19027.963159579373</v>
      </c>
      <c r="G41" s="672">
        <f>'[58]3B'!$AH$15-0.01</f>
        <v>33829.141363297036</v>
      </c>
      <c r="H41" s="674">
        <f>'[58]3B'!$AH$204+'[58]3B'!$AH$229+'[58]3B'!$AH$187</f>
        <v>9673.5335722017517</v>
      </c>
      <c r="I41" s="675">
        <f>$J41-SUM(C41:H41)</f>
        <v>2215.293311372574</v>
      </c>
      <c r="J41" s="1461">
        <f>'[58]3B'!$AH$272</f>
        <v>132311.62687141742</v>
      </c>
      <c r="K41" s="674">
        <f>'[58]3A'!$AX$186</f>
        <v>14662.069644996362</v>
      </c>
      <c r="L41" s="674">
        <f>SUM('[58]3A'!$AX$189:$AX$193)</f>
        <v>54301.943876091696</v>
      </c>
      <c r="M41" s="674">
        <f>'[58]3A'!$AX$69+'[58]3A'!$AX$188+'[58]3A'!$AX$120+'[58]3A'!$AX$122+SUM('[58]3A'!$AX$199:$AX$203)+'[58]3A'!$AX$86+'[58]3A'!$AX$90+'[58]3A'!$AX$105+'[58]3A'!$AX$118</f>
        <v>12241.221915876758</v>
      </c>
      <c r="N41" s="674">
        <f>'[58]3A'!$AX$130+'[58]3A'!$AX$141+'[58]3A'!$AX$170</f>
        <v>2165.0295615819191</v>
      </c>
      <c r="O41" s="674">
        <f>'[58]3A'!$AX$15</f>
        <v>37428.985190140062</v>
      </c>
      <c r="P41" s="674">
        <f>'[58]3A'!$AX$204+'[58]3A'!$AX$229+'[58]3A'!$AX$187</f>
        <v>10535.662709770151</v>
      </c>
      <c r="Q41" s="675">
        <f>$J41-SUM(K41:P41)</f>
        <v>976.71397296048235</v>
      </c>
      <c r="R41" s="618">
        <f t="shared" ref="R41" si="29">ROUND(J41,1)-ROUND(C41,1)-ROUND(D41,1)-ROUND(E41,1)-ROUND(F41,1)-ROUND(G41,1)-ROUND(H41,1)-ROUND(I41,1)</f>
        <v>1.0004441719502211E-11</v>
      </c>
      <c r="S41" s="618">
        <f t="shared" ref="S41" si="30">ROUND(J41,1)-ROUND(K41,1)-ROUND(L41,1)-ROUND(M41,1)-ROUND(N41,1)-ROUND(O41,1)-ROUND(P41,1)-ROUND(Q41,1)</f>
        <v>-6.5938365878537297E-12</v>
      </c>
    </row>
    <row r="42" spans="1:20" s="185" customFormat="1" ht="15.75" customHeight="1">
      <c r="A42" s="1983"/>
      <c r="B42" s="1984" t="s">
        <v>426</v>
      </c>
      <c r="C42" s="674">
        <f>'[59]3B'!$AH$186</f>
        <v>22390.174095740585</v>
      </c>
      <c r="D42" s="674">
        <f>SUM('[59]3B'!$AH$189:$AH$193)</f>
        <v>35829.338778949983</v>
      </c>
      <c r="E42" s="674">
        <f>'[59]3B'!$AH$69+'[59]3B'!$AH$188+'[59]3B'!$AH$120+'[59]3B'!$AH$122+SUM('[59]3B'!$AH$199:$AH$203)+'[59]3B'!$AH$86+'[59]3B'!$AH$90+'[59]3B'!$AH$105+'[59]3B'!$AH$118</f>
        <v>8203.0215705557712</v>
      </c>
      <c r="F42" s="674">
        <f>'[59]3B'!$AH$130+'[59]3B'!$AH$141+'[59]3B'!$AH$170</f>
        <v>13922.467325898866</v>
      </c>
      <c r="G42" s="674">
        <f>'[59]3B'!$AH$15</f>
        <v>36894.435442658098</v>
      </c>
      <c r="H42" s="674">
        <f>'[59]3B'!$AH$204+'[59]3B'!$AH$229+'[59]3B'!$AH$187</f>
        <v>9143.3307848326112</v>
      </c>
      <c r="I42" s="675">
        <f>$J42-SUM(C42:H42)</f>
        <v>2294.7550117969513</v>
      </c>
      <c r="J42" s="673">
        <f>'[59]3B'!$AH$272-0.05</f>
        <v>128677.52301043285</v>
      </c>
      <c r="K42" s="674">
        <f>'[59]3A'!$AX$186</f>
        <v>14985.061323479458</v>
      </c>
      <c r="L42" s="674">
        <f>SUM('[59]3A'!$AX$189:$AX$193)</f>
        <v>53908.310638012234</v>
      </c>
      <c r="M42" s="674">
        <f>'[59]3A'!$AX$69+'[59]3A'!$AX$188+'[59]3A'!$AX$120+'[59]3A'!$AX$122+SUM('[59]3A'!$AX$199:$AX$203)+'[59]3A'!$AX$86+'[59]3A'!$AX$90+'[59]3A'!$AX$105+'[59]3A'!$AX$118</f>
        <v>12699.658815240842</v>
      </c>
      <c r="N42" s="674">
        <f>'[59]3A'!$AX$130+'[59]3A'!$AX$141+'[59]3A'!$AX$170</f>
        <v>2127.8444669612454</v>
      </c>
      <c r="O42" s="674">
        <f>'[59]3A'!$AX$15</f>
        <v>33327.272058033246</v>
      </c>
      <c r="P42" s="674">
        <f>'[59]3A'!$AX$204+'[59]3A'!$AX$229+'[59]3A'!$AX$187</f>
        <v>10821.896238986648</v>
      </c>
      <c r="Q42" s="670">
        <f>$J42-SUM(K42:P42)-0.05</f>
        <v>807.42946971916831</v>
      </c>
      <c r="R42" s="618">
        <f t="shared" ref="R42" si="31">ROUND(J42,1)-ROUND(C42,1)-ROUND(D42,1)-ROUND(E42,1)-ROUND(F42,1)-ROUND(G42,1)-ROUND(H42,1)-ROUND(I42,1)</f>
        <v>0</v>
      </c>
      <c r="S42" s="618">
        <f t="shared" ref="S42" si="32">ROUND(J42,1)-ROUND(K42,1)-ROUND(L42,1)-ROUND(M42,1)-ROUND(N42,1)-ROUND(O42,1)-ROUND(P42,1)-ROUND(Q42,1)</f>
        <v>-1.1254996934439987E-11</v>
      </c>
    </row>
    <row r="43" spans="1:20" s="185" customFormat="1" ht="15.75" customHeight="1">
      <c r="A43" s="1983"/>
      <c r="B43" s="1984" t="s">
        <v>427</v>
      </c>
      <c r="C43" s="672">
        <f>'[60]3B'!$AH$186-0.05</f>
        <v>22599.530342997907</v>
      </c>
      <c r="D43" s="674">
        <f>SUM('[60]3B'!$AH$189:$AH$193)</f>
        <v>36300.323294829112</v>
      </c>
      <c r="E43" s="674">
        <f>'[60]3B'!$AH$69+'[60]3B'!$AH$188+'[60]3B'!$AH$120+'[60]3B'!$AH$122+SUM('[60]3B'!$AH$199:$AH$203)+'[60]3B'!$AH$86+'[60]3B'!$AH$90+'[60]3B'!$AH$105+'[60]3B'!$AH$118</f>
        <v>8287.1546541959906</v>
      </c>
      <c r="F43" s="674">
        <f>'[60]3B'!$AH$130+'[60]3B'!$AH$141+'[60]3B'!$AH$170</f>
        <v>13079.409608825608</v>
      </c>
      <c r="G43" s="674">
        <f>'[60]3B'!$AH$15</f>
        <v>35045.916056409507</v>
      </c>
      <c r="H43" s="674">
        <f>'[60]3B'!$AH$204+'[60]3B'!$AH$229+'[60]3B'!$AH$187</f>
        <v>9125.1813397788446</v>
      </c>
      <c r="I43" s="675">
        <f>$J43-SUM(C43:H43)</f>
        <v>2297.8251532356226</v>
      </c>
      <c r="J43" s="673">
        <f>'[60]3B'!$AH$272-0.05</f>
        <v>126735.34045027259</v>
      </c>
      <c r="K43" s="672">
        <f>'[60]3A'!$AX$186+0.05</f>
        <v>14909.977342143096</v>
      </c>
      <c r="L43" s="674">
        <f>SUM('[60]3A'!$AX$189:$AX$193)</f>
        <v>53301.148122173094</v>
      </c>
      <c r="M43" s="674">
        <f>'[60]3A'!$AX$69+'[60]3A'!$AX$188+'[60]3A'!$AX$120+'[60]3A'!$AX$122+SUM('[60]3A'!$AX$199:$AX$203)+'[60]3A'!$AX$86+'[60]3A'!$AX$90+'[60]3A'!$AX$105+'[60]3A'!$AX$118</f>
        <v>12783.676457401642</v>
      </c>
      <c r="N43" s="674">
        <f>'[60]3A'!$AX$130+'[60]3A'!$AX$141+'[60]3A'!$AX$170</f>
        <v>1996.4989288366958</v>
      </c>
      <c r="O43" s="674">
        <f>'[60]3A'!$AX$15</f>
        <v>31920.541138918728</v>
      </c>
      <c r="P43" s="674">
        <f>'[60]3A'!$AX$204+'[60]3A'!$AX$229+'[60]3A'!$AX$187</f>
        <v>11056.603747554396</v>
      </c>
      <c r="Q43" s="675">
        <f>$J43-SUM(K43:P43)</f>
        <v>766.89471324492479</v>
      </c>
      <c r="R43" s="618">
        <f t="shared" ref="R43" si="33">ROUND(J43,1)-ROUND(C43,1)-ROUND(D43,1)-ROUND(E43,1)-ROUND(F43,1)-ROUND(G43,1)-ROUND(H43,1)-ROUND(I43,1)</f>
        <v>0</v>
      </c>
      <c r="S43" s="618">
        <f t="shared" ref="S43" si="34">ROUND(J43,1)-ROUND(K43,1)-ROUND(L43,1)-ROUND(M43,1)-ROUND(N43,1)-ROUND(O43,1)-ROUND(P43,1)-ROUND(Q43,1)</f>
        <v>0</v>
      </c>
    </row>
    <row r="44" spans="1:20" ht="19.5" customHeight="1">
      <c r="A44" s="292" t="s">
        <v>979</v>
      </c>
      <c r="B44" s="232"/>
      <c r="C44" s="232"/>
      <c r="D44" s="232"/>
      <c r="E44" s="232"/>
      <c r="F44" s="232"/>
      <c r="G44" s="232"/>
      <c r="H44" s="232"/>
      <c r="I44" s="232"/>
      <c r="J44" s="232"/>
      <c r="K44" s="1269"/>
      <c r="L44" s="232"/>
      <c r="M44" s="232"/>
      <c r="N44" s="232"/>
      <c r="O44" s="232"/>
      <c r="P44" s="232"/>
      <c r="Q44" s="291" t="s">
        <v>980</v>
      </c>
    </row>
    <row r="45" spans="1:20" ht="16" customHeight="1">
      <c r="A45" s="372" t="s">
        <v>981</v>
      </c>
      <c r="Q45" s="634" t="s">
        <v>982</v>
      </c>
    </row>
    <row r="46" spans="1:20" s="635" customFormat="1" ht="15.5">
      <c r="A46" s="372" t="s">
        <v>983</v>
      </c>
      <c r="B46" s="372"/>
      <c r="C46" s="372"/>
      <c r="D46" s="372"/>
      <c r="E46" s="372"/>
      <c r="F46" s="372"/>
      <c r="G46" s="372"/>
      <c r="H46" s="372"/>
      <c r="I46" s="372"/>
      <c r="J46" s="317"/>
      <c r="K46" s="317"/>
      <c r="L46" s="317"/>
      <c r="M46" s="317"/>
      <c r="N46" s="317"/>
      <c r="O46" s="317"/>
      <c r="P46" s="317"/>
      <c r="Q46" s="1415" t="s">
        <v>984</v>
      </c>
      <c r="R46" s="185"/>
      <c r="S46" s="185"/>
      <c r="T46" s="185"/>
    </row>
    <row r="48" spans="1:20" s="635" customFormat="1" ht="15.5">
      <c r="A48" s="317" t="s">
        <v>1093</v>
      </c>
      <c r="B48" s="317"/>
      <c r="C48" s="317"/>
      <c r="D48" s="317"/>
      <c r="E48" s="317"/>
      <c r="F48" s="317"/>
      <c r="G48" s="317"/>
      <c r="H48" s="317"/>
      <c r="I48" s="317"/>
      <c r="J48" s="317"/>
      <c r="K48" s="317"/>
      <c r="L48" s="317"/>
      <c r="M48" s="317"/>
      <c r="N48" s="317"/>
      <c r="O48" s="317"/>
      <c r="P48" s="317"/>
      <c r="Q48" s="317"/>
      <c r="R48" s="185"/>
      <c r="S48" s="185"/>
      <c r="T48" s="185"/>
    </row>
    <row r="50" spans="3:17">
      <c r="C50" s="1251"/>
      <c r="D50" s="1251"/>
      <c r="E50" s="1251"/>
      <c r="F50" s="1251"/>
      <c r="G50" s="1251"/>
      <c r="H50" s="1251"/>
      <c r="I50" s="1251"/>
      <c r="J50" s="1251"/>
      <c r="K50" s="1251"/>
      <c r="L50" s="1251"/>
      <c r="M50" s="1251"/>
      <c r="N50" s="1251"/>
      <c r="O50" s="1251"/>
      <c r="P50" s="1251"/>
      <c r="Q50" s="1251"/>
    </row>
  </sheetData>
  <phoneticPr fontId="51" type="noConversion"/>
  <printOptions horizontalCentered="1" verticalCentered="1"/>
  <pageMargins left="0" right="0" top="0" bottom="0" header="0.5" footer="0.5"/>
  <pageSetup paperSize="9" scale="6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tabColor rgb="FFFF0000"/>
  </sheetPr>
  <dimension ref="A1:U47"/>
  <sheetViews>
    <sheetView zoomScale="80" zoomScaleNormal="80" workbookViewId="0">
      <pane ySplit="12" topLeftCell="A37" activePane="bottomLeft" state="frozen"/>
      <selection activeCell="B44" sqref="B44"/>
      <selection pane="bottomLeft" activeCell="M43" sqref="M43"/>
    </sheetView>
  </sheetViews>
  <sheetFormatPr defaultColWidth="9.1796875" defaultRowHeight="12.5"/>
  <cols>
    <col min="1" max="2" width="9.7265625" style="18" customWidth="1"/>
    <col min="3" max="3" width="10.81640625" style="18" customWidth="1"/>
    <col min="4" max="4" width="12.81640625" style="18" customWidth="1"/>
    <col min="5" max="5" width="11.7265625" style="18" customWidth="1"/>
    <col min="6" max="6" width="10.7265625" style="18" customWidth="1"/>
    <col min="7" max="7" width="11.81640625" style="18" customWidth="1"/>
    <col min="8" max="8" width="11.7265625" style="18" customWidth="1"/>
    <col min="9" max="9" width="10.7265625" style="18" customWidth="1"/>
    <col min="10" max="10" width="12.7265625" style="18" customWidth="1"/>
    <col min="11" max="11" width="10.81640625" style="18" customWidth="1"/>
    <col min="12" max="12" width="12.81640625" style="18" customWidth="1"/>
    <col min="13" max="13" width="11.7265625" style="18" customWidth="1"/>
    <col min="14" max="14" width="10.7265625" style="18" customWidth="1"/>
    <col min="15" max="16" width="11.7265625" style="18" customWidth="1"/>
    <col min="17" max="17" width="10.7265625" style="18" customWidth="1"/>
    <col min="18" max="16384" width="9.1796875" style="18"/>
  </cols>
  <sheetData>
    <row r="1" spans="1:19" s="915" customFormat="1" ht="18">
      <c r="A1" s="1091" t="s">
        <v>1094</v>
      </c>
      <c r="B1" s="1113"/>
      <c r="C1" s="1113"/>
      <c r="D1" s="1113"/>
      <c r="E1" s="1113"/>
      <c r="F1" s="1113"/>
      <c r="G1" s="1113"/>
      <c r="H1" s="1113"/>
      <c r="I1" s="1113"/>
      <c r="J1" s="1113"/>
      <c r="K1" s="1113"/>
      <c r="L1" s="1113"/>
      <c r="M1" s="1113"/>
      <c r="N1" s="1113"/>
      <c r="O1" s="1113"/>
      <c r="P1" s="1113"/>
      <c r="Q1" s="1113"/>
    </row>
    <row r="2" spans="1:19" s="915" customFormat="1" ht="18">
      <c r="A2" s="1036" t="s">
        <v>1095</v>
      </c>
      <c r="B2" s="1113"/>
      <c r="C2" s="1113"/>
      <c r="D2" s="1113"/>
      <c r="E2" s="1113"/>
      <c r="F2" s="1113"/>
      <c r="G2" s="1113"/>
      <c r="H2" s="1113"/>
      <c r="I2" s="1113"/>
      <c r="J2" s="1113"/>
      <c r="K2" s="1113"/>
      <c r="L2" s="1113"/>
      <c r="M2" s="1113"/>
      <c r="N2" s="1113"/>
      <c r="O2" s="1113"/>
      <c r="P2" s="1113"/>
      <c r="Q2" s="1113"/>
    </row>
    <row r="3" spans="1:19" s="915" customFormat="1" ht="18">
      <c r="A3" s="1146" t="s">
        <v>1096</v>
      </c>
      <c r="B3" s="1113"/>
      <c r="C3" s="1113"/>
      <c r="D3" s="1113"/>
      <c r="E3" s="1113"/>
      <c r="F3" s="1113"/>
      <c r="G3" s="1113"/>
      <c r="H3" s="1113"/>
      <c r="I3" s="1113"/>
      <c r="J3" s="1113"/>
      <c r="K3" s="1113"/>
      <c r="L3" s="1113"/>
      <c r="M3" s="1113"/>
      <c r="N3" s="1113"/>
      <c r="O3" s="1113"/>
      <c r="P3" s="1113"/>
      <c r="Q3" s="1113"/>
    </row>
    <row r="4" spans="1:19" s="662" customFormat="1" ht="14">
      <c r="A4" s="1155" t="s">
        <v>784</v>
      </c>
      <c r="B4" s="1147"/>
      <c r="Q4" s="1148" t="s">
        <v>785</v>
      </c>
    </row>
    <row r="5" spans="1:19" s="889" customFormat="1" ht="14" hidden="1">
      <c r="A5" s="1149"/>
      <c r="B5" s="1150"/>
      <c r="C5" s="1151"/>
      <c r="D5" s="1151"/>
      <c r="E5" s="1151"/>
      <c r="F5" s="1151"/>
      <c r="G5" s="1151"/>
      <c r="H5" s="1151"/>
      <c r="I5" s="1151"/>
      <c r="J5" s="1151"/>
      <c r="K5" s="1151"/>
      <c r="L5" s="1151"/>
      <c r="Q5" s="1152"/>
    </row>
    <row r="6" spans="1:19" s="483" customFormat="1" ht="14" hidden="1">
      <c r="A6" s="626"/>
      <c r="B6" s="627"/>
      <c r="C6" s="628"/>
      <c r="D6" s="628"/>
      <c r="E6" s="628"/>
      <c r="F6" s="628"/>
      <c r="G6" s="628"/>
      <c r="H6" s="628"/>
      <c r="I6" s="628"/>
      <c r="J6" s="628"/>
      <c r="K6" s="628"/>
      <c r="L6" s="628"/>
      <c r="Q6" s="629"/>
    </row>
    <row r="7" spans="1:19" s="889" customFormat="1" ht="14" hidden="1">
      <c r="A7" s="1149"/>
      <c r="B7" s="1150"/>
      <c r="C7" s="1151"/>
      <c r="D7" s="1151"/>
      <c r="E7" s="1151"/>
      <c r="F7" s="1151"/>
      <c r="G7" s="1151"/>
      <c r="H7" s="1151"/>
      <c r="I7" s="1151"/>
      <c r="J7" s="1151"/>
      <c r="K7" s="1151"/>
      <c r="L7" s="1151"/>
      <c r="Q7" s="1152"/>
    </row>
    <row r="8" spans="1:19" s="166" customFormat="1" ht="23.9" customHeight="1">
      <c r="A8" s="176"/>
      <c r="B8" s="164"/>
      <c r="C8" s="630" t="s">
        <v>379</v>
      </c>
      <c r="D8" s="179"/>
      <c r="E8" s="165"/>
      <c r="F8" s="165"/>
      <c r="G8" s="165"/>
      <c r="H8" s="165"/>
      <c r="I8" s="636" t="s">
        <v>380</v>
      </c>
      <c r="J8" s="637"/>
      <c r="K8" s="638" t="s">
        <v>381</v>
      </c>
      <c r="L8" s="179"/>
      <c r="M8" s="165"/>
      <c r="N8" s="165"/>
      <c r="O8" s="165"/>
      <c r="P8" s="165"/>
      <c r="Q8" s="639" t="s">
        <v>382</v>
      </c>
    </row>
    <row r="9" spans="1:19" s="181" customFormat="1" ht="18" customHeight="1">
      <c r="A9" s="180"/>
      <c r="C9" s="187" t="s">
        <v>989</v>
      </c>
      <c r="D9" s="182" t="s">
        <v>990</v>
      </c>
      <c r="E9" s="182" t="s">
        <v>991</v>
      </c>
      <c r="F9" s="167" t="s">
        <v>992</v>
      </c>
      <c r="G9" s="167"/>
      <c r="H9" s="182" t="s">
        <v>993</v>
      </c>
      <c r="I9" s="182"/>
      <c r="J9" s="199"/>
      <c r="K9" s="187" t="s">
        <v>989</v>
      </c>
      <c r="L9" s="182" t="s">
        <v>990</v>
      </c>
      <c r="M9" s="182" t="s">
        <v>991</v>
      </c>
      <c r="N9" s="167" t="s">
        <v>992</v>
      </c>
      <c r="O9" s="167"/>
      <c r="P9" s="182" t="s">
        <v>993</v>
      </c>
      <c r="Q9" s="182"/>
    </row>
    <row r="10" spans="1:19" s="181" customFormat="1" ht="18" customHeight="1">
      <c r="A10" s="168" t="s">
        <v>387</v>
      </c>
      <c r="B10" s="170"/>
      <c r="C10" s="187" t="s">
        <v>994</v>
      </c>
      <c r="D10" s="182" t="s">
        <v>995</v>
      </c>
      <c r="E10" s="182" t="s">
        <v>996</v>
      </c>
      <c r="F10" s="167" t="s">
        <v>997</v>
      </c>
      <c r="G10" s="167" t="s">
        <v>355</v>
      </c>
      <c r="H10" s="182" t="s">
        <v>998</v>
      </c>
      <c r="I10" s="182" t="s">
        <v>399</v>
      </c>
      <c r="J10" s="198" t="s">
        <v>390</v>
      </c>
      <c r="K10" s="187" t="s">
        <v>994</v>
      </c>
      <c r="L10" s="182" t="s">
        <v>995</v>
      </c>
      <c r="M10" s="182" t="s">
        <v>996</v>
      </c>
      <c r="N10" s="167" t="s">
        <v>997</v>
      </c>
      <c r="O10" s="167" t="s">
        <v>355</v>
      </c>
      <c r="P10" s="182" t="s">
        <v>998</v>
      </c>
      <c r="Q10" s="182" t="s">
        <v>399</v>
      </c>
    </row>
    <row r="11" spans="1:19" s="169" customFormat="1" ht="18" customHeight="1">
      <c r="A11" s="183" t="s">
        <v>395</v>
      </c>
      <c r="B11" s="170"/>
      <c r="C11" s="196" t="s">
        <v>999</v>
      </c>
      <c r="D11" s="171" t="s">
        <v>1000</v>
      </c>
      <c r="E11" s="171" t="s">
        <v>1001</v>
      </c>
      <c r="F11" s="171" t="s">
        <v>1002</v>
      </c>
      <c r="G11" s="171" t="s">
        <v>557</v>
      </c>
      <c r="H11" s="171" t="s">
        <v>1003</v>
      </c>
      <c r="I11" s="173" t="s">
        <v>407</v>
      </c>
      <c r="J11" s="200" t="s">
        <v>400</v>
      </c>
      <c r="K11" s="196" t="s">
        <v>999</v>
      </c>
      <c r="L11" s="171" t="s">
        <v>1000</v>
      </c>
      <c r="M11" s="171" t="s">
        <v>1001</v>
      </c>
      <c r="N11" s="171" t="s">
        <v>1002</v>
      </c>
      <c r="O11" s="171" t="s">
        <v>557</v>
      </c>
      <c r="P11" s="171" t="s">
        <v>1003</v>
      </c>
      <c r="Q11" s="173" t="s">
        <v>407</v>
      </c>
    </row>
    <row r="12" spans="1:19" s="169" customFormat="1" ht="18" customHeight="1">
      <c r="A12" s="184"/>
      <c r="B12" s="175"/>
      <c r="C12" s="197" t="s">
        <v>1004</v>
      </c>
      <c r="D12" s="203" t="s">
        <v>1005</v>
      </c>
      <c r="E12" s="203" t="s">
        <v>1006</v>
      </c>
      <c r="F12" s="203" t="s">
        <v>1007</v>
      </c>
      <c r="G12" s="203"/>
      <c r="H12" s="203" t="s">
        <v>1008</v>
      </c>
      <c r="I12" s="204"/>
      <c r="J12" s="201"/>
      <c r="K12" s="197" t="s">
        <v>1004</v>
      </c>
      <c r="L12" s="203" t="s">
        <v>1005</v>
      </c>
      <c r="M12" s="203" t="s">
        <v>1006</v>
      </c>
      <c r="N12" s="203" t="s">
        <v>1007</v>
      </c>
      <c r="O12" s="203"/>
      <c r="P12" s="203" t="s">
        <v>1008</v>
      </c>
      <c r="Q12" s="203"/>
    </row>
    <row r="13" spans="1:19" s="667" customFormat="1" ht="26.25" customHeight="1">
      <c r="A13" s="664">
        <v>2016</v>
      </c>
      <c r="B13" s="665"/>
      <c r="C13" s="668">
        <v>1541.0784734546478</v>
      </c>
      <c r="D13" s="668">
        <v>11851.69125368208</v>
      </c>
      <c r="E13" s="669">
        <v>71479.325538554069</v>
      </c>
      <c r="F13" s="669">
        <v>3490.5772857423458</v>
      </c>
      <c r="G13" s="669">
        <v>7471.044986212517</v>
      </c>
      <c r="H13" s="669">
        <v>377.98042954998209</v>
      </c>
      <c r="I13" s="669">
        <v>6824.1784047769088</v>
      </c>
      <c r="J13" s="671">
        <v>103035.90637197257</v>
      </c>
      <c r="K13" s="669">
        <v>688.67396738712569</v>
      </c>
      <c r="L13" s="669">
        <v>8356.3617379499556</v>
      </c>
      <c r="M13" s="669">
        <v>81330.628564807936</v>
      </c>
      <c r="N13" s="669">
        <v>1547.4756940149259</v>
      </c>
      <c r="O13" s="1025">
        <v>7544.9958557605423</v>
      </c>
      <c r="P13" s="669">
        <v>148.52552047431303</v>
      </c>
      <c r="Q13" s="1026">
        <v>3419.1565436775008</v>
      </c>
      <c r="R13" s="352"/>
      <c r="S13" s="352"/>
    </row>
    <row r="14" spans="1:19" s="880" customFormat="1" ht="18" customHeight="1">
      <c r="A14" s="664">
        <v>2017</v>
      </c>
      <c r="B14" s="665"/>
      <c r="C14" s="668">
        <v>1176.9205855075943</v>
      </c>
      <c r="D14" s="668">
        <v>9769.3189391180204</v>
      </c>
      <c r="E14" s="669">
        <v>72635.958991239357</v>
      </c>
      <c r="F14" s="669">
        <v>2798.0818057817291</v>
      </c>
      <c r="G14" s="669">
        <v>10752.958907859858</v>
      </c>
      <c r="H14" s="669">
        <v>294.17466467098399</v>
      </c>
      <c r="I14" s="669">
        <v>6534.9999185983379</v>
      </c>
      <c r="J14" s="671">
        <v>103962.49781277592</v>
      </c>
      <c r="K14" s="668">
        <v>626.5234194180365</v>
      </c>
      <c r="L14" s="668">
        <v>7636.2683383159856</v>
      </c>
      <c r="M14" s="669">
        <v>80778.005259358877</v>
      </c>
      <c r="N14" s="669">
        <v>1658.1549833033489</v>
      </c>
      <c r="O14" s="669">
        <v>10205.252096955472</v>
      </c>
      <c r="P14" s="669">
        <v>98.511763616606004</v>
      </c>
      <c r="Q14" s="669">
        <v>2959.6854210051997</v>
      </c>
      <c r="R14" s="352"/>
      <c r="S14" s="352"/>
    </row>
    <row r="15" spans="1:19" s="666" customFormat="1" ht="18.75" customHeight="1">
      <c r="A15" s="664">
        <v>2018</v>
      </c>
      <c r="B15" s="665"/>
      <c r="C15" s="668">
        <v>1880.0094938794382</v>
      </c>
      <c r="D15" s="668">
        <v>10171.921253414715</v>
      </c>
      <c r="E15" s="669">
        <v>72941.909469623119</v>
      </c>
      <c r="F15" s="669">
        <v>2231.041741592624</v>
      </c>
      <c r="G15" s="669">
        <v>11644.685933870116</v>
      </c>
      <c r="H15" s="669">
        <v>370.88744129589702</v>
      </c>
      <c r="I15" s="669">
        <v>6789.3425823645166</v>
      </c>
      <c r="J15" s="671">
        <v>106029.7193068804</v>
      </c>
      <c r="K15" s="668">
        <v>749.49731650714784</v>
      </c>
      <c r="L15" s="668">
        <v>7498.7963311009662</v>
      </c>
      <c r="M15" s="669">
        <v>82983.552076719599</v>
      </c>
      <c r="N15" s="669">
        <v>1054.9598705516221</v>
      </c>
      <c r="O15" s="669">
        <v>9677.0275608329575</v>
      </c>
      <c r="P15" s="669">
        <v>183.56736315040098</v>
      </c>
      <c r="Q15" s="669">
        <v>3882.1808639012002</v>
      </c>
      <c r="R15" s="1006"/>
      <c r="S15" s="1006"/>
    </row>
    <row r="16" spans="1:19" s="666" customFormat="1" ht="18.75" customHeight="1">
      <c r="A16" s="664">
        <v>2019</v>
      </c>
      <c r="B16" s="665"/>
      <c r="C16" s="668">
        <v>1980.5415704111033</v>
      </c>
      <c r="D16" s="668">
        <v>11259.484272855218</v>
      </c>
      <c r="E16" s="669">
        <v>76435.103327875928</v>
      </c>
      <c r="F16" s="669">
        <v>2945.6893368360616</v>
      </c>
      <c r="G16" s="669">
        <v>12447.89181408649</v>
      </c>
      <c r="H16" s="669">
        <v>711.18433966348391</v>
      </c>
      <c r="I16" s="669">
        <v>5058.3253962455155</v>
      </c>
      <c r="J16" s="671">
        <v>110838.2357998838</v>
      </c>
      <c r="K16" s="668">
        <v>471.18499503272551</v>
      </c>
      <c r="L16" s="668">
        <v>11447.363163742171</v>
      </c>
      <c r="M16" s="669">
        <v>84033.757649597668</v>
      </c>
      <c r="N16" s="669">
        <v>824.38181659966006</v>
      </c>
      <c r="O16" s="669">
        <v>10415.759076903754</v>
      </c>
      <c r="P16" s="669">
        <v>193.31863362187698</v>
      </c>
      <c r="Q16" s="669">
        <v>3452.2986135612327</v>
      </c>
      <c r="R16" s="1006"/>
      <c r="S16" s="1006"/>
    </row>
    <row r="17" spans="1:21" s="666" customFormat="1" ht="18.75" customHeight="1">
      <c r="A17" s="664">
        <v>2020</v>
      </c>
      <c r="B17" s="665"/>
      <c r="C17" s="668">
        <v>2154.2158179359931</v>
      </c>
      <c r="D17" s="668">
        <v>13066.421820396088</v>
      </c>
      <c r="E17" s="669">
        <v>77571.329298783487</v>
      </c>
      <c r="F17" s="669">
        <v>2307.6375966186679</v>
      </c>
      <c r="G17" s="669">
        <v>12488.660301407579</v>
      </c>
      <c r="H17" s="669">
        <v>203.34187177537999</v>
      </c>
      <c r="I17" s="669">
        <v>5287.3370581728823</v>
      </c>
      <c r="J17" s="671">
        <v>113078.82007088009</v>
      </c>
      <c r="K17" s="668">
        <v>566.78996989683958</v>
      </c>
      <c r="L17" s="668">
        <v>12448.417253509253</v>
      </c>
      <c r="M17" s="669">
        <v>85622.419422515857</v>
      </c>
      <c r="N17" s="669">
        <v>1465.3601818819668</v>
      </c>
      <c r="O17" s="669">
        <v>9777.7500312813463</v>
      </c>
      <c r="P17" s="669">
        <v>33.158863467513996</v>
      </c>
      <c r="Q17" s="669">
        <v>3164.7808389353008</v>
      </c>
      <c r="R17" s="1006"/>
      <c r="S17" s="1006"/>
    </row>
    <row r="18" spans="1:21" s="666" customFormat="1" ht="18.75" customHeight="1">
      <c r="A18" s="664">
        <v>2021</v>
      </c>
      <c r="B18" s="665"/>
      <c r="C18" s="668">
        <v>2953.245482343817</v>
      </c>
      <c r="D18" s="668">
        <v>12239.16086649389</v>
      </c>
      <c r="E18" s="669">
        <v>83569.449084693799</v>
      </c>
      <c r="F18" s="669">
        <v>2388.9569141167135</v>
      </c>
      <c r="G18" s="669">
        <v>13862.764750338716</v>
      </c>
      <c r="H18" s="669">
        <v>432.46036000192083</v>
      </c>
      <c r="I18" s="669">
        <v>2656.6205261571095</v>
      </c>
      <c r="J18" s="671">
        <v>118102.65728414597</v>
      </c>
      <c r="K18" s="668">
        <v>1010.4870113371474</v>
      </c>
      <c r="L18" s="668">
        <v>9419.574647051897</v>
      </c>
      <c r="M18" s="669">
        <v>93480.24592136206</v>
      </c>
      <c r="N18" s="669">
        <v>1017.8177048441609</v>
      </c>
      <c r="O18" s="669">
        <v>9820.7316698278337</v>
      </c>
      <c r="P18" s="669">
        <v>16.446644556498001</v>
      </c>
      <c r="Q18" s="669">
        <v>3337.466514233241</v>
      </c>
      <c r="R18" s="1006"/>
      <c r="S18" s="1006"/>
    </row>
    <row r="19" spans="1:21" s="2199" customFormat="1" ht="18.75" customHeight="1">
      <c r="A19" s="1983">
        <v>2022</v>
      </c>
      <c r="B19" s="1984"/>
      <c r="C19" s="674">
        <v>3788.5217150511021</v>
      </c>
      <c r="D19" s="675">
        <v>9721.6025468617445</v>
      </c>
      <c r="E19" s="675">
        <v>88460.706551661191</v>
      </c>
      <c r="F19" s="675">
        <v>2236.9856458389381</v>
      </c>
      <c r="G19" s="675">
        <v>15950.968214164159</v>
      </c>
      <c r="H19" s="675">
        <v>62.264301210887929</v>
      </c>
      <c r="I19" s="675">
        <v>2151.6924566782031</v>
      </c>
      <c r="J19" s="1461">
        <v>122372.79023146565</v>
      </c>
      <c r="K19" s="674">
        <v>1352.9101909767339</v>
      </c>
      <c r="L19" s="674">
        <v>11565.063512766472</v>
      </c>
      <c r="M19" s="675">
        <v>95362.31757842841</v>
      </c>
      <c r="N19" s="675">
        <v>778.96283978012411</v>
      </c>
      <c r="O19" s="675">
        <v>10476.47807685175</v>
      </c>
      <c r="P19" s="675">
        <v>9.6278376602799991</v>
      </c>
      <c r="Q19" s="675">
        <v>2827.4072467026604</v>
      </c>
      <c r="R19" s="618"/>
      <c r="S19" s="618"/>
    </row>
    <row r="20" spans="1:21" s="2199" customFormat="1" ht="18.75" customHeight="1">
      <c r="A20" s="1983">
        <v>2023</v>
      </c>
      <c r="B20" s="1984"/>
      <c r="C20" s="674">
        <v>3606.8226202512965</v>
      </c>
      <c r="D20" s="674">
        <v>8330.5593123661802</v>
      </c>
      <c r="E20" s="675">
        <v>97375.607659822897</v>
      </c>
      <c r="F20" s="675">
        <v>1434.4314884802391</v>
      </c>
      <c r="G20" s="675">
        <v>17285.866552855259</v>
      </c>
      <c r="H20" s="675">
        <v>241.65302010289747</v>
      </c>
      <c r="I20" s="675">
        <v>3176.8059347845938</v>
      </c>
      <c r="J20" s="1461">
        <v>131451.75658866338</v>
      </c>
      <c r="K20" s="674">
        <v>1885.5773328841956</v>
      </c>
      <c r="L20" s="674">
        <v>14606.997526544201</v>
      </c>
      <c r="M20" s="675">
        <v>99369.743133570912</v>
      </c>
      <c r="N20" s="675">
        <v>849.71545656641047</v>
      </c>
      <c r="O20" s="675">
        <v>11998.079854149131</v>
      </c>
      <c r="P20" s="675">
        <v>92.223078954754001</v>
      </c>
      <c r="Q20" s="675">
        <v>2649.4763864539864</v>
      </c>
      <c r="R20" s="618"/>
      <c r="S20" s="618"/>
    </row>
    <row r="21" spans="1:21" s="2199" customFormat="1" ht="18.75" customHeight="1">
      <c r="A21" s="1983">
        <v>2024</v>
      </c>
      <c r="B21" s="1984"/>
      <c r="C21" s="674">
        <v>2884.7480748278449</v>
      </c>
      <c r="D21" s="674">
        <v>7555.5940725590335</v>
      </c>
      <c r="E21" s="675">
        <v>106912.76468402578</v>
      </c>
      <c r="F21" s="675">
        <v>1919.2866174621922</v>
      </c>
      <c r="G21" s="675">
        <v>13244.704409527509</v>
      </c>
      <c r="H21" s="675">
        <v>146.88377747029662</v>
      </c>
      <c r="I21" s="675">
        <v>4234.143620108237</v>
      </c>
      <c r="J21" s="1461">
        <v>136898.12525598088</v>
      </c>
      <c r="K21" s="674">
        <v>1705.6887065350084</v>
      </c>
      <c r="L21" s="674">
        <v>13616.075032143686</v>
      </c>
      <c r="M21" s="675">
        <v>104149.48140685979</v>
      </c>
      <c r="N21" s="675">
        <v>1174.2444873361969</v>
      </c>
      <c r="O21" s="675">
        <v>11357.087518921597</v>
      </c>
      <c r="P21" s="675">
        <v>75.230935495925991</v>
      </c>
      <c r="Q21" s="675">
        <v>4820.3349291121303</v>
      </c>
      <c r="R21" s="618"/>
      <c r="S21" s="618"/>
    </row>
    <row r="22" spans="1:21" s="2199" customFormat="1" ht="18.75" customHeight="1">
      <c r="A22" s="2194">
        <v>2025</v>
      </c>
      <c r="B22" s="2195"/>
      <c r="C22" s="2196">
        <f t="shared" ref="C22:Q22" si="0">C29</f>
        <v>3239.224315384125</v>
      </c>
      <c r="D22" s="2196">
        <f t="shared" si="0"/>
        <v>8970.9561838400568</v>
      </c>
      <c r="E22" s="2197">
        <f t="shared" si="0"/>
        <v>101879.5717950367</v>
      </c>
      <c r="F22" s="2197">
        <f t="shared" si="0"/>
        <v>2030.8648105567247</v>
      </c>
      <c r="G22" s="2197">
        <f t="shared" si="0"/>
        <v>13343.635270679442</v>
      </c>
      <c r="H22" s="2197">
        <f t="shared" si="0"/>
        <v>208.81506389517691</v>
      </c>
      <c r="I22" s="2197">
        <f t="shared" si="0"/>
        <v>5097.8259793288144</v>
      </c>
      <c r="J22" s="2198">
        <f t="shared" si="0"/>
        <v>134770.91341872103</v>
      </c>
      <c r="K22" s="2196">
        <f t="shared" si="0"/>
        <v>1657.7340127201101</v>
      </c>
      <c r="L22" s="2196">
        <f t="shared" si="0"/>
        <v>14859.331932672078</v>
      </c>
      <c r="M22" s="2197">
        <f t="shared" si="0"/>
        <v>100384.8526097976</v>
      </c>
      <c r="N22" s="2197">
        <f t="shared" si="0"/>
        <v>2228.2700677604589</v>
      </c>
      <c r="O22" s="2197">
        <f t="shared" si="0"/>
        <v>12848.720288570064</v>
      </c>
      <c r="P22" s="2197">
        <f t="shared" si="0"/>
        <v>193.00010805867421</v>
      </c>
      <c r="Q22" s="2197">
        <f t="shared" si="0"/>
        <v>2599.0180253481458</v>
      </c>
      <c r="R22" s="618"/>
      <c r="S22" s="618"/>
    </row>
    <row r="23" spans="1:21" s="666" customFormat="1" ht="21" customHeight="1">
      <c r="A23" s="664">
        <v>2024</v>
      </c>
      <c r="B23" s="665" t="s">
        <v>243</v>
      </c>
      <c r="C23" s="668">
        <v>3164.5057652725532</v>
      </c>
      <c r="D23" s="668">
        <v>8109.5565148288697</v>
      </c>
      <c r="E23" s="669">
        <v>102329.63988883729</v>
      </c>
      <c r="F23" s="669">
        <v>1394.2667480019704</v>
      </c>
      <c r="G23" s="669">
        <v>14715.742602032267</v>
      </c>
      <c r="H23" s="669">
        <v>175.8130686697146</v>
      </c>
      <c r="I23" s="669">
        <v>4191.8812425969891</v>
      </c>
      <c r="J23" s="671">
        <v>134081.43583023964</v>
      </c>
      <c r="K23" s="668">
        <v>1665.097255378686</v>
      </c>
      <c r="L23" s="668">
        <v>14052.461741558587</v>
      </c>
      <c r="M23" s="669">
        <v>100720.43420969658</v>
      </c>
      <c r="N23" s="669">
        <v>861.06449437504068</v>
      </c>
      <c r="O23" s="669">
        <v>12086.263485820671</v>
      </c>
      <c r="P23" s="669">
        <v>75.104334339689018</v>
      </c>
      <c r="Q23" s="669">
        <v>4620.8842542700659</v>
      </c>
      <c r="R23" s="1006"/>
      <c r="S23" s="1006"/>
    </row>
    <row r="24" spans="1:21" s="666" customFormat="1" ht="15" customHeight="1">
      <c r="A24" s="664"/>
      <c r="B24" s="665" t="s">
        <v>240</v>
      </c>
      <c r="C24" s="668">
        <v>3473.1929064668948</v>
      </c>
      <c r="D24" s="668">
        <v>7960.1859067998575</v>
      </c>
      <c r="E24" s="669">
        <v>106637.91374154188</v>
      </c>
      <c r="F24" s="669">
        <v>1553.8832035952694</v>
      </c>
      <c r="G24" s="669">
        <v>15445.989797481601</v>
      </c>
      <c r="H24" s="669">
        <v>160.45555923405672</v>
      </c>
      <c r="I24" s="669">
        <v>4039.0491074279557</v>
      </c>
      <c r="J24" s="671">
        <v>139270.67022254752</v>
      </c>
      <c r="K24" s="668">
        <v>1562.0492951033966</v>
      </c>
      <c r="L24" s="668">
        <v>13732.273228929542</v>
      </c>
      <c r="M24" s="669">
        <v>106172.44177421909</v>
      </c>
      <c r="N24" s="669">
        <v>960.29560277920689</v>
      </c>
      <c r="O24" s="669">
        <v>12448.737715169596</v>
      </c>
      <c r="P24" s="669">
        <v>74.14087668555301</v>
      </c>
      <c r="Q24" s="669">
        <v>4320.855690903124</v>
      </c>
      <c r="R24" s="1006"/>
      <c r="S24" s="1006"/>
    </row>
    <row r="25" spans="1:21" s="666" customFormat="1" ht="15" customHeight="1">
      <c r="A25" s="664"/>
      <c r="B25" s="665" t="s">
        <v>241</v>
      </c>
      <c r="C25" s="668">
        <v>2884.7480748278449</v>
      </c>
      <c r="D25" s="668">
        <v>7555.5940725590335</v>
      </c>
      <c r="E25" s="669">
        <v>106912.76468402578</v>
      </c>
      <c r="F25" s="669">
        <v>1919.2866174621922</v>
      </c>
      <c r="G25" s="669">
        <v>13244.704409527509</v>
      </c>
      <c r="H25" s="669">
        <v>146.88377747029662</v>
      </c>
      <c r="I25" s="669">
        <v>4234.143620108237</v>
      </c>
      <c r="J25" s="671">
        <v>136898.12525598088</v>
      </c>
      <c r="K25" s="668">
        <v>1705.6887065350084</v>
      </c>
      <c r="L25" s="668">
        <v>13616.075032143686</v>
      </c>
      <c r="M25" s="669">
        <v>104149.48140685979</v>
      </c>
      <c r="N25" s="669">
        <v>1174.2444873361969</v>
      </c>
      <c r="O25" s="669">
        <v>11357.087518921597</v>
      </c>
      <c r="P25" s="669">
        <v>75.230935495925991</v>
      </c>
      <c r="Q25" s="669">
        <v>4820.3349291121303</v>
      </c>
      <c r="R25" s="1006"/>
      <c r="S25" s="1006"/>
    </row>
    <row r="26" spans="1:21" s="666" customFormat="1" ht="21" customHeight="1">
      <c r="A26" s="664">
        <v>2025</v>
      </c>
      <c r="B26" s="665" t="s">
        <v>242</v>
      </c>
      <c r="C26" s="668">
        <v>2787.417884484169</v>
      </c>
      <c r="D26" s="668">
        <v>6103.6259169621007</v>
      </c>
      <c r="E26" s="669">
        <v>105655.94990485319</v>
      </c>
      <c r="F26" s="669">
        <v>2269.1955553820444</v>
      </c>
      <c r="G26" s="669">
        <v>13065.954480468463</v>
      </c>
      <c r="H26" s="669">
        <v>353.84010281843882</v>
      </c>
      <c r="I26" s="669">
        <v>7001.6619243956538</v>
      </c>
      <c r="J26" s="671">
        <v>137237.62576936404</v>
      </c>
      <c r="K26" s="668">
        <v>1688.755140568366</v>
      </c>
      <c r="L26" s="668">
        <v>11580.089224529016</v>
      </c>
      <c r="M26" s="669">
        <v>103620.98794747585</v>
      </c>
      <c r="N26" s="669">
        <v>2246.6701586319377</v>
      </c>
      <c r="O26" s="669">
        <v>11622.680644290886</v>
      </c>
      <c r="P26" s="669">
        <v>292.11893773313795</v>
      </c>
      <c r="Q26" s="669">
        <v>6186.2267250113227</v>
      </c>
      <c r="R26" s="1006"/>
      <c r="S26" s="1006"/>
    </row>
    <row r="27" spans="1:21" s="666" customFormat="1" ht="15" customHeight="1">
      <c r="A27" s="664"/>
      <c r="B27" s="665" t="s">
        <v>243</v>
      </c>
      <c r="C27" s="668">
        <v>3765.5622414047225</v>
      </c>
      <c r="D27" s="668">
        <v>6335.0317904754784</v>
      </c>
      <c r="E27" s="669">
        <v>104071.99194830316</v>
      </c>
      <c r="F27" s="669">
        <v>2084.7219757125931</v>
      </c>
      <c r="G27" s="669">
        <v>13661.946637634328</v>
      </c>
      <c r="H27" s="669">
        <v>334.58887163191076</v>
      </c>
      <c r="I27" s="669">
        <v>6261.7940769714223</v>
      </c>
      <c r="J27" s="671">
        <v>136515.63754213363</v>
      </c>
      <c r="K27" s="668">
        <v>1871.6504076387259</v>
      </c>
      <c r="L27" s="668">
        <v>11196.110642354088</v>
      </c>
      <c r="M27" s="669">
        <v>104273.55351390471</v>
      </c>
      <c r="N27" s="669">
        <v>2400.5979067840758</v>
      </c>
      <c r="O27" s="669">
        <v>12955.678320660794</v>
      </c>
      <c r="P27" s="669">
        <v>317.29268103411198</v>
      </c>
      <c r="Q27" s="669">
        <v>3500.6487098303419</v>
      </c>
      <c r="R27" s="1006"/>
      <c r="S27" s="1006"/>
    </row>
    <row r="28" spans="1:21" s="666" customFormat="1" ht="15" customHeight="1">
      <c r="A28" s="664"/>
      <c r="B28" s="665" t="s">
        <v>240</v>
      </c>
      <c r="C28" s="668">
        <f t="shared" ref="C28:Q28" si="1">C35</f>
        <v>3343.892463124816</v>
      </c>
      <c r="D28" s="668">
        <f t="shared" si="1"/>
        <v>9811.2347342382927</v>
      </c>
      <c r="E28" s="669">
        <f t="shared" si="1"/>
        <v>103420.10728501972</v>
      </c>
      <c r="F28" s="669">
        <f t="shared" si="1"/>
        <v>1967.9535629711083</v>
      </c>
      <c r="G28" s="669">
        <f t="shared" si="1"/>
        <v>14132.726329273666</v>
      </c>
      <c r="H28" s="669">
        <f t="shared" si="1"/>
        <v>339.37965770357505</v>
      </c>
      <c r="I28" s="669">
        <f t="shared" si="1"/>
        <v>6220.9096227715727</v>
      </c>
      <c r="J28" s="671">
        <f t="shared" si="1"/>
        <v>139236.20365510276</v>
      </c>
      <c r="K28" s="668">
        <f t="shared" si="1"/>
        <v>1633.7731909547276</v>
      </c>
      <c r="L28" s="668">
        <f t="shared" si="1"/>
        <v>15455.899195688062</v>
      </c>
      <c r="M28" s="669">
        <f t="shared" si="1"/>
        <v>103359.40289964953</v>
      </c>
      <c r="N28" s="669">
        <f t="shared" si="1"/>
        <v>2400.5647126657632</v>
      </c>
      <c r="O28" s="669">
        <f t="shared" si="1"/>
        <v>12424.016531274758</v>
      </c>
      <c r="P28" s="669">
        <f t="shared" si="1"/>
        <v>366.38479906253076</v>
      </c>
      <c r="Q28" s="669">
        <f t="shared" si="1"/>
        <v>3596.144499556975</v>
      </c>
      <c r="R28" s="1006"/>
      <c r="S28" s="1006"/>
    </row>
    <row r="29" spans="1:21" s="666" customFormat="1" ht="15" customHeight="1">
      <c r="A29" s="664"/>
      <c r="B29" s="665" t="s">
        <v>241</v>
      </c>
      <c r="C29" s="668">
        <f t="shared" ref="C29:Q29" si="2">C38</f>
        <v>3239.224315384125</v>
      </c>
      <c r="D29" s="668">
        <f t="shared" si="2"/>
        <v>8970.9561838400568</v>
      </c>
      <c r="E29" s="669">
        <f t="shared" si="2"/>
        <v>101879.5717950367</v>
      </c>
      <c r="F29" s="669">
        <f t="shared" si="2"/>
        <v>2030.8648105567247</v>
      </c>
      <c r="G29" s="669">
        <f t="shared" si="2"/>
        <v>13343.635270679442</v>
      </c>
      <c r="H29" s="669">
        <f t="shared" si="2"/>
        <v>208.81506389517691</v>
      </c>
      <c r="I29" s="669">
        <f t="shared" si="2"/>
        <v>5097.8259793288144</v>
      </c>
      <c r="J29" s="671">
        <f t="shared" si="2"/>
        <v>134770.91341872103</v>
      </c>
      <c r="K29" s="668">
        <f t="shared" si="2"/>
        <v>1657.7340127201101</v>
      </c>
      <c r="L29" s="668">
        <f t="shared" si="2"/>
        <v>14859.331932672078</v>
      </c>
      <c r="M29" s="669">
        <f t="shared" si="2"/>
        <v>100384.8526097976</v>
      </c>
      <c r="N29" s="669">
        <f t="shared" si="2"/>
        <v>2228.2700677604589</v>
      </c>
      <c r="O29" s="669">
        <f t="shared" si="2"/>
        <v>12848.720288570064</v>
      </c>
      <c r="P29" s="669">
        <f t="shared" si="2"/>
        <v>193.00010805867421</v>
      </c>
      <c r="Q29" s="669">
        <f t="shared" si="2"/>
        <v>2599.0180253481458</v>
      </c>
      <c r="R29" s="1006"/>
      <c r="S29" s="1006"/>
    </row>
    <row r="30" spans="1:21" s="666" customFormat="1" ht="21" customHeight="1">
      <c r="A30" s="1757">
        <v>2026</v>
      </c>
      <c r="B30" s="1758" t="s">
        <v>242</v>
      </c>
      <c r="C30" s="1759">
        <f t="shared" ref="C30:Q30" si="3">C41</f>
        <v>3336.9428620441063</v>
      </c>
      <c r="D30" s="1759">
        <f t="shared" si="3"/>
        <v>11406.39543042299</v>
      </c>
      <c r="E30" s="1760">
        <f t="shared" si="3"/>
        <v>96410.297510393793</v>
      </c>
      <c r="F30" s="1760">
        <f t="shared" si="3"/>
        <v>1855.6666004693905</v>
      </c>
      <c r="G30" s="1760">
        <f t="shared" si="3"/>
        <v>13047.167087705791</v>
      </c>
      <c r="H30" s="1760">
        <f t="shared" si="3"/>
        <v>254.66956878642489</v>
      </c>
      <c r="I30" s="1760">
        <f t="shared" si="3"/>
        <v>6000.3529125565474</v>
      </c>
      <c r="J30" s="1761">
        <f t="shared" si="3"/>
        <v>132311.59197237907</v>
      </c>
      <c r="K30" s="1759">
        <f t="shared" si="3"/>
        <v>1726.3959865915447</v>
      </c>
      <c r="L30" s="1759">
        <f t="shared" si="3"/>
        <v>16544.406226125706</v>
      </c>
      <c r="M30" s="1760">
        <f t="shared" si="3"/>
        <v>96392.982842153157</v>
      </c>
      <c r="N30" s="1760">
        <f t="shared" si="3"/>
        <v>2169.5298501602847</v>
      </c>
      <c r="O30" s="1760">
        <f t="shared" si="3"/>
        <v>12483.884602842845</v>
      </c>
      <c r="P30" s="1760">
        <f t="shared" si="3"/>
        <v>178.98248705657974</v>
      </c>
      <c r="Q30" s="1760">
        <f t="shared" si="3"/>
        <v>2815.3835679271542</v>
      </c>
      <c r="R30" s="1006"/>
      <c r="S30" s="1006"/>
    </row>
    <row r="31" spans="1:21" s="1322" customFormat="1" ht="21" customHeight="1">
      <c r="A31" s="1983">
        <v>2025</v>
      </c>
      <c r="B31" s="1984" t="s">
        <v>427</v>
      </c>
      <c r="C31" s="674">
        <v>3553.7228774530545</v>
      </c>
      <c r="D31" s="674">
        <v>5685.1268023121165</v>
      </c>
      <c r="E31" s="675">
        <v>98950.590139685257</v>
      </c>
      <c r="F31" s="675">
        <v>2103.4435055157355</v>
      </c>
      <c r="G31" s="675">
        <v>13544.385249194493</v>
      </c>
      <c r="H31" s="675">
        <v>341.99023895931418</v>
      </c>
      <c r="I31" s="675">
        <v>5808.1283883306469</v>
      </c>
      <c r="J31" s="1461">
        <v>129987.3472014506</v>
      </c>
      <c r="K31" s="674">
        <v>1723.5091923405171</v>
      </c>
      <c r="L31" s="674">
        <v>11409.775868552699</v>
      </c>
      <c r="M31" s="675">
        <v>97765.682960679856</v>
      </c>
      <c r="N31" s="675">
        <v>2350.7111124638295</v>
      </c>
      <c r="O31" s="675">
        <v>11985.360265828378</v>
      </c>
      <c r="P31" s="675">
        <v>293.06081365533595</v>
      </c>
      <c r="Q31" s="675">
        <v>4459.0724744869331</v>
      </c>
      <c r="R31" s="618">
        <v>-7.2759576141834259E-12</v>
      </c>
      <c r="S31" s="618">
        <v>0</v>
      </c>
      <c r="T31" s="185"/>
      <c r="U31" s="185"/>
    </row>
    <row r="32" spans="1:21" s="1322" customFormat="1" ht="18" customHeight="1">
      <c r="A32" s="1983"/>
      <c r="B32" s="1984" t="s">
        <v>428</v>
      </c>
      <c r="C32" s="674">
        <f>'[49]4'!$G$14</f>
        <v>3765.5622414047225</v>
      </c>
      <c r="D32" s="674">
        <f>SUM('[49]4'!$G$21:$G$22)</f>
        <v>6335.0317904754784</v>
      </c>
      <c r="E32" s="675">
        <f>'[49]4'!$G$16</f>
        <v>104071.99194830316</v>
      </c>
      <c r="F32" s="675">
        <f>'[49]4'!$G$17</f>
        <v>2084.7219757125931</v>
      </c>
      <c r="G32" s="675">
        <f>'[49]4'!$G$20</f>
        <v>13661.946637634328</v>
      </c>
      <c r="H32" s="675">
        <f>'[49]4'!$G$18</f>
        <v>334.58887163191076</v>
      </c>
      <c r="I32" s="675">
        <f>'[49]4'!$G$19+'[49]4'!$G$23</f>
        <v>6261.7940769714223</v>
      </c>
      <c r="J32" s="1461">
        <f>'[49]4'!$G$24</f>
        <v>136515.63754213363</v>
      </c>
      <c r="K32" s="674">
        <f>'[49]4'!$D$14</f>
        <v>1871.6504076387259</v>
      </c>
      <c r="L32" s="674">
        <f>SUM('[49]4'!$D$21:$D$22)</f>
        <v>11196.110642354088</v>
      </c>
      <c r="M32" s="675">
        <f>'[49]4'!$D$16</f>
        <v>104273.55351390471</v>
      </c>
      <c r="N32" s="675">
        <f>'[49]4'!$D$17</f>
        <v>2400.5979067840758</v>
      </c>
      <c r="O32" s="675">
        <f>'[49]4'!$D$20</f>
        <v>12955.678320660794</v>
      </c>
      <c r="P32" s="675">
        <f>'[49]4'!$D$18</f>
        <v>317.29268103411198</v>
      </c>
      <c r="Q32" s="675">
        <f>'[49]4'!$D$19+'[49]4'!$D$23</f>
        <v>3500.6487098303419</v>
      </c>
      <c r="R32" s="618">
        <f t="shared" ref="R32" si="4">ROUND(J32,1)-ROUND(C32,1)-ROUND(D32,1)-ROUND(E32,1)-ROUND(F32,1)-ROUND(G32,1)-ROUND(H32,1)-ROUND(I32,1)</f>
        <v>0</v>
      </c>
      <c r="S32" s="618">
        <f t="shared" ref="S32" si="5">ROUND(J32,1)-ROUND(K32,1)-ROUND(L32,1)-ROUND(M32,1)-ROUND(N32,1)-ROUND(O32,1)-ROUND(P32,1)-ROUND(Q32,1)</f>
        <v>-1.6825651982799172E-11</v>
      </c>
      <c r="T32" s="185"/>
      <c r="U32" s="185"/>
    </row>
    <row r="33" spans="1:21" s="1322" customFormat="1" ht="18" customHeight="1">
      <c r="A33" s="1983"/>
      <c r="B33" s="1984" t="s">
        <v>429</v>
      </c>
      <c r="C33" s="674">
        <f>'[50]4'!$G$14</f>
        <v>3723.0696015881358</v>
      </c>
      <c r="D33" s="674">
        <f>SUM('[50]4'!$G$21:$G$22)</f>
        <v>6019.5007261315013</v>
      </c>
      <c r="E33" s="675">
        <f>'[50]4'!$G$16</f>
        <v>98278.213218841629</v>
      </c>
      <c r="F33" s="675">
        <f>'[50]4'!$G$17</f>
        <v>1903.4584297470228</v>
      </c>
      <c r="G33" s="670">
        <f>'[50]4'!$G$20-0.02</f>
        <v>13193.137305824335</v>
      </c>
      <c r="H33" s="675">
        <f>'[50]4'!$G$18</f>
        <v>322.6589761071869</v>
      </c>
      <c r="I33" s="675">
        <f>'[50]4'!$G$19+'[50]4'!$G$23</f>
        <v>6330.3753888654383</v>
      </c>
      <c r="J33" s="673">
        <f>'[50]4'!$G$24+0.03</f>
        <v>129770.46364710524</v>
      </c>
      <c r="K33" s="674">
        <f>'[50]4'!$D$14</f>
        <v>1822.7266831542042</v>
      </c>
      <c r="L33" s="674">
        <f>SUM('[50]4'!$D$21:$D$22)</f>
        <v>11163.509113474474</v>
      </c>
      <c r="M33" s="675">
        <f>'[50]4'!$D$16</f>
        <v>98017.229589237948</v>
      </c>
      <c r="N33" s="675">
        <f>'[50]4'!$D$17</f>
        <v>2332.9843249489918</v>
      </c>
      <c r="O33" s="675">
        <f>'[50]4'!$D$20</f>
        <v>12424.422404951374</v>
      </c>
      <c r="P33" s="670">
        <f>'[50]4'!$D$18+0.02</f>
        <v>248.35508780452901</v>
      </c>
      <c r="Q33" s="675">
        <f>'[50]4'!$D$19+'[50]4'!$D$23</f>
        <v>3761.2627973805857</v>
      </c>
      <c r="R33" s="618">
        <f t="shared" ref="R33" si="6">ROUND(J33,1)-ROUND(C33,1)-ROUND(D33,1)-ROUND(E33,1)-ROUND(F33,1)-ROUND(G33,1)-ROUND(H33,1)-ROUND(I33,1)</f>
        <v>0</v>
      </c>
      <c r="S33" s="618">
        <f t="shared" ref="S33" si="7">ROUND(J33,1)-ROUND(K33,1)-ROUND(L33,1)-ROUND(M33,1)-ROUND(N33,1)-ROUND(O33,1)-ROUND(P33,1)-ROUND(Q33,1)</f>
        <v>5.9117155615240335E-12</v>
      </c>
      <c r="T33" s="185"/>
      <c r="U33" s="185"/>
    </row>
    <row r="34" spans="1:21" s="1322" customFormat="1" ht="18" customHeight="1">
      <c r="A34" s="1983"/>
      <c r="B34" s="1984" t="s">
        <v>430</v>
      </c>
      <c r="C34" s="674">
        <f>'[51]4'!$G$14</f>
        <v>3529.8221642385138</v>
      </c>
      <c r="D34" s="674">
        <f>SUM('[51]4'!$G$21:$G$22)</f>
        <v>7120.1631935929991</v>
      </c>
      <c r="E34" s="675">
        <f>'[51]4'!$G$16</f>
        <v>96180.721698971087</v>
      </c>
      <c r="F34" s="675">
        <f>'[51]4'!$G$17</f>
        <v>1958.8118915988991</v>
      </c>
      <c r="G34" s="675">
        <f>'[51]4'!$G$20</f>
        <v>13699.178971123141</v>
      </c>
      <c r="H34" s="675">
        <f>'[51]4'!$G$18</f>
        <v>328.09488289627416</v>
      </c>
      <c r="I34" s="675">
        <f>'[51]4'!$G$19+'[51]4'!$G$23</f>
        <v>6282.503648317349</v>
      </c>
      <c r="J34" s="1461">
        <f>'[51]4'!$G$24</f>
        <v>129099.29645073824</v>
      </c>
      <c r="K34" s="674">
        <f>'[51]4'!$D$14</f>
        <v>1789.1709873090017</v>
      </c>
      <c r="L34" s="674">
        <f>SUM('[51]4'!$D$21:$D$22)</f>
        <v>12173.107163425731</v>
      </c>
      <c r="M34" s="670">
        <f>'[51]4'!$D$16+0.04</f>
        <v>95942.659873852142</v>
      </c>
      <c r="N34" s="675">
        <f>'[51]4'!$D$17</f>
        <v>2392.2988801282845</v>
      </c>
      <c r="O34" s="675">
        <f>'[51]4'!$D$20</f>
        <v>12794.883099014734</v>
      </c>
      <c r="P34" s="675">
        <f>'[51]4'!$D$18</f>
        <v>253.60658962477154</v>
      </c>
      <c r="Q34" s="675">
        <f>'[51]4'!$D$19+'[51]4'!$D$23</f>
        <v>3753.5020796085751</v>
      </c>
      <c r="R34" s="618">
        <f t="shared" ref="R34" si="8">ROUND(J34,1)-ROUND(C34,1)-ROUND(D34,1)-ROUND(E34,1)-ROUND(F34,1)-ROUND(G34,1)-ROUND(H34,1)-ROUND(I34,1)</f>
        <v>0</v>
      </c>
      <c r="S34" s="618">
        <f t="shared" ref="S34" si="9">ROUND(J34,1)-ROUND(K34,1)-ROUND(L34,1)-ROUND(M34,1)-ROUND(N34,1)-ROUND(O34,1)-ROUND(P34,1)-ROUND(Q34,1)</f>
        <v>4.0927261579781771E-12</v>
      </c>
      <c r="T34" s="185"/>
      <c r="U34" s="185"/>
    </row>
    <row r="35" spans="1:21" s="1322" customFormat="1" ht="18" customHeight="1">
      <c r="A35" s="1983"/>
      <c r="B35" s="1984" t="s">
        <v>431</v>
      </c>
      <c r="C35" s="674">
        <f>'[52]4'!$G$14</f>
        <v>3343.892463124816</v>
      </c>
      <c r="D35" s="674">
        <f>SUM('[52]4'!$G$21:$G$22)</f>
        <v>9811.2347342382927</v>
      </c>
      <c r="E35" s="675">
        <f>'[52]4'!$G$16</f>
        <v>103420.10728501972</v>
      </c>
      <c r="F35" s="675">
        <f>'[52]4'!$G$17</f>
        <v>1967.9535629711083</v>
      </c>
      <c r="G35" s="675">
        <f>'[52]4'!$G$20</f>
        <v>14132.726329273666</v>
      </c>
      <c r="H35" s="675">
        <f>'[52]4'!$G$18</f>
        <v>339.37965770357505</v>
      </c>
      <c r="I35" s="675">
        <f>'[52]4'!$G$19+'[52]4'!$G$23</f>
        <v>6220.9096227715727</v>
      </c>
      <c r="J35" s="1461">
        <f>'[52]4'!$G$24</f>
        <v>139236.20365510276</v>
      </c>
      <c r="K35" s="674">
        <f>'[52]4'!$D$14</f>
        <v>1633.7731909547276</v>
      </c>
      <c r="L35" s="674">
        <f>SUM('[52]4'!$D$21:$D$22)</f>
        <v>15455.899195688062</v>
      </c>
      <c r="M35" s="675">
        <f>'[52]4'!$D$16</f>
        <v>103359.40289964953</v>
      </c>
      <c r="N35" s="675">
        <f>'[52]4'!$D$17</f>
        <v>2400.5647126657632</v>
      </c>
      <c r="O35" s="675">
        <f>'[52]4'!$D$20</f>
        <v>12424.016531274758</v>
      </c>
      <c r="P35" s="675">
        <f>'[52]4'!$D$18</f>
        <v>366.38479906253076</v>
      </c>
      <c r="Q35" s="670">
        <f>'[52]4'!$D$19+'[52]4'!$D$23-0.01</f>
        <v>3596.144499556975</v>
      </c>
      <c r="R35" s="618">
        <f t="shared" ref="R35" si="10">ROUND(J35,1)-ROUND(C35,1)-ROUND(D35,1)-ROUND(E35,1)-ROUND(F35,1)-ROUND(G35,1)-ROUND(H35,1)-ROUND(I35,1)</f>
        <v>1.4551915228366852E-11</v>
      </c>
      <c r="S35" s="618">
        <f t="shared" ref="S35" si="11">ROUND(J35,1)-ROUND(K35,1)-ROUND(L35,1)-ROUND(M35,1)-ROUND(N35,1)-ROUND(O35,1)-ROUND(P35,1)-ROUND(Q35,1)</f>
        <v>3.637978807091713E-11</v>
      </c>
      <c r="T35" s="185"/>
      <c r="U35" s="185"/>
    </row>
    <row r="36" spans="1:21" s="1322" customFormat="1" ht="18" customHeight="1">
      <c r="A36" s="1983"/>
      <c r="B36" s="1984" t="s">
        <v>420</v>
      </c>
      <c r="C36" s="672">
        <f>'[53]4'!$G$14+0.05</f>
        <v>3452.0656222959278</v>
      </c>
      <c r="D36" s="674">
        <f>SUM('[53]4'!$G$21:$G$22)</f>
        <v>9576.274048252888</v>
      </c>
      <c r="E36" s="675">
        <f>'[53]4'!$G$16</f>
        <v>100216.49915839404</v>
      </c>
      <c r="F36" s="675">
        <f>'[53]4'!$G$17</f>
        <v>1780.1946317096281</v>
      </c>
      <c r="G36" s="675">
        <f>'[53]4'!$G$20</f>
        <v>13496.60725400951</v>
      </c>
      <c r="H36" s="675">
        <f>'[53]4'!$G$18</f>
        <v>335.11387090705466</v>
      </c>
      <c r="I36" s="675">
        <f>'[53]4'!$G$19+'[53]4'!$G$23</f>
        <v>6166.1932068268379</v>
      </c>
      <c r="J36" s="673">
        <f>'[53]4'!$G$24+0.06</f>
        <v>135022.9577923959</v>
      </c>
      <c r="K36" s="674">
        <f>'[53]4'!$D$14</f>
        <v>1718.6385070228321</v>
      </c>
      <c r="L36" s="672">
        <f>SUM('[53]4'!$D$21:$D$22)+0.01</f>
        <v>14660.458105242134</v>
      </c>
      <c r="M36" s="675">
        <f>'[53]4'!$D$16</f>
        <v>100149.64722102387</v>
      </c>
      <c r="N36" s="670">
        <f>'[53]4'!$D$17+0.02</f>
        <v>2197.6557289146685</v>
      </c>
      <c r="O36" s="675">
        <f>'[53]4'!$D$20</f>
        <v>12529.072124199618</v>
      </c>
      <c r="P36" s="670">
        <f>'[53]4'!$D$18+0.02</f>
        <v>288.35900440267432</v>
      </c>
      <c r="Q36" s="675">
        <f>'[53]4'!$D$19+'[53]4'!$D$23</f>
        <v>3479.0617059061569</v>
      </c>
      <c r="R36" s="618">
        <f t="shared" ref="R36" si="12">ROUND(J36,1)-ROUND(C36,1)-ROUND(D36,1)-ROUND(E36,1)-ROUND(F36,1)-ROUND(G36,1)-ROUND(H36,1)-ROUND(I36,1)</f>
        <v>-1.0004441719502211E-11</v>
      </c>
      <c r="S36" s="618">
        <f t="shared" ref="S36" si="13">ROUND(J36,1)-ROUND(K36,1)-ROUND(L36,1)-ROUND(M36,1)-ROUND(N36,1)-ROUND(O36,1)-ROUND(P36,1)-ROUND(Q36,1)</f>
        <v>-1.2732925824820995E-11</v>
      </c>
      <c r="T36" s="185"/>
      <c r="U36" s="185"/>
    </row>
    <row r="37" spans="1:21" s="1322" customFormat="1" ht="18" customHeight="1">
      <c r="A37" s="1983"/>
      <c r="B37" s="1984" t="s">
        <v>421</v>
      </c>
      <c r="C37" s="674">
        <f>'[54]4'!$G$14</f>
        <v>3451.2841740145395</v>
      </c>
      <c r="D37" s="674">
        <f>SUM('[54]4'!$G$21:$G$22)</f>
        <v>9792.2521844423572</v>
      </c>
      <c r="E37" s="675">
        <f>'[54]4'!$G$16</f>
        <v>100348.60522467615</v>
      </c>
      <c r="F37" s="675">
        <f>'[54]4'!$G$17</f>
        <v>1858.414746118139</v>
      </c>
      <c r="G37" s="675">
        <f>'[54]4'!$G$20</f>
        <v>13143.729564773972</v>
      </c>
      <c r="H37" s="675">
        <f>'[54]4'!$G$18</f>
        <v>325.41256265315832</v>
      </c>
      <c r="I37" s="675">
        <f>'[54]4'!$G$19+'[54]4'!$G$23</f>
        <v>6227.1335086000072</v>
      </c>
      <c r="J37" s="1461">
        <f>'[54]4'!$G$24</f>
        <v>135146.83196527834</v>
      </c>
      <c r="K37" s="674">
        <f>'[54]4'!$D$14</f>
        <v>1691.2796383712832</v>
      </c>
      <c r="L37" s="672">
        <f>SUM('[54]4'!$D$21:$D$22)-0.02</f>
        <v>14652.337710375803</v>
      </c>
      <c r="M37" s="675">
        <f>'[54]4'!$D$16</f>
        <v>99999.811972109397</v>
      </c>
      <c r="N37" s="675">
        <f>'[54]4'!$D$17</f>
        <v>2267.8397441731895</v>
      </c>
      <c r="O37" s="675">
        <f>'[54]4'!$D$20</f>
        <v>12432.768708468502</v>
      </c>
      <c r="P37" s="675">
        <f>'[54]4'!$D$18</f>
        <v>290.61335564697714</v>
      </c>
      <c r="Q37" s="675">
        <f>'[54]4'!$D$19+'[54]4'!$D$23</f>
        <v>3812.1944855896768</v>
      </c>
      <c r="R37" s="618">
        <f t="shared" ref="R37" si="14">ROUND(J37,1)-ROUND(C37,1)-ROUND(D37,1)-ROUND(E37,1)-ROUND(F37,1)-ROUND(G37,1)-ROUND(H37,1)-ROUND(I37,1)</f>
        <v>-1.0913936421275139E-11</v>
      </c>
      <c r="S37" s="618">
        <f t="shared" ref="S37" si="15">ROUND(J37,1)-ROUND(K37,1)-ROUND(L37,1)-ROUND(M37,1)-ROUND(N37,1)-ROUND(O37,1)-ROUND(P37,1)-ROUND(Q37,1)</f>
        <v>-4.0927261579781771E-12</v>
      </c>
      <c r="T37" s="185"/>
      <c r="U37" s="185"/>
    </row>
    <row r="38" spans="1:21" s="1322" customFormat="1" ht="18" customHeight="1">
      <c r="A38" s="1983"/>
      <c r="B38" s="1984" t="s">
        <v>422</v>
      </c>
      <c r="C38" s="674">
        <f>'[55]4'!$G$14</f>
        <v>3239.224315384125</v>
      </c>
      <c r="D38" s="674">
        <f>SUM('[55]4'!$G$21:$G$22)</f>
        <v>8970.9561838400568</v>
      </c>
      <c r="E38" s="675">
        <f>'[55]4'!$G$16</f>
        <v>101879.5717950367</v>
      </c>
      <c r="F38" s="675">
        <f>'[55]4'!$G$17</f>
        <v>2030.8648105567247</v>
      </c>
      <c r="G38" s="670">
        <f>'[55]4'!$G$20-0.02</f>
        <v>13343.635270679442</v>
      </c>
      <c r="H38" s="675">
        <f>'[55]4'!$G$18</f>
        <v>208.81506389517691</v>
      </c>
      <c r="I38" s="675">
        <f>'[55]4'!$G$19+'[55]4'!$G$23</f>
        <v>5097.8259793288144</v>
      </c>
      <c r="J38" s="1461">
        <f>'[55]4'!$G$24</f>
        <v>134770.91341872103</v>
      </c>
      <c r="K38" s="674">
        <f>'[55]4'!$D$14</f>
        <v>1657.7340127201101</v>
      </c>
      <c r="L38" s="674">
        <f>SUM('[55]4'!$D$21:$D$22)</f>
        <v>14859.331932672078</v>
      </c>
      <c r="M38" s="675">
        <f>'[55]4'!$D$16</f>
        <v>100384.8526097976</v>
      </c>
      <c r="N38" s="675">
        <f>'[55]4'!$D$17</f>
        <v>2228.2700677604589</v>
      </c>
      <c r="O38" s="675">
        <f>'[55]4'!$D$20</f>
        <v>12848.720288570064</v>
      </c>
      <c r="P38" s="675">
        <f>'[55]4'!$D$18</f>
        <v>193.00010805867421</v>
      </c>
      <c r="Q38" s="675">
        <f>'[55]4'!$D$19+'[55]4'!$D$23</f>
        <v>2599.0180253481458</v>
      </c>
      <c r="R38" s="618">
        <f t="shared" ref="R38" si="16">ROUND(J38,1)-ROUND(C38,1)-ROUND(D38,1)-ROUND(E38,1)-ROUND(F38,1)-ROUND(G38,1)-ROUND(H38,1)-ROUND(I38,1)</f>
        <v>-2.5465851649641991E-11</v>
      </c>
      <c r="S38" s="618">
        <f t="shared" ref="S38" si="17">ROUND(J38,1)-ROUND(K38,1)-ROUND(L38,1)-ROUND(M38,1)-ROUND(N38,1)-ROUND(O38,1)-ROUND(P38,1)-ROUND(Q38,1)</f>
        <v>-1.4551915228366852E-11</v>
      </c>
      <c r="T38" s="185"/>
      <c r="U38" s="185"/>
    </row>
    <row r="39" spans="1:21" s="1322" customFormat="1" ht="21" customHeight="1">
      <c r="A39" s="1983">
        <v>2026</v>
      </c>
      <c r="B39" s="1984" t="s">
        <v>423</v>
      </c>
      <c r="C39" s="674">
        <f>'[56]4'!$G$14</f>
        <v>3791.4476384410509</v>
      </c>
      <c r="D39" s="674">
        <f>SUM('[56]4'!$G$21:$G$22)</f>
        <v>10438.205776547435</v>
      </c>
      <c r="E39" s="675">
        <f>'[56]4'!$G$16</f>
        <v>94351.789051037384</v>
      </c>
      <c r="F39" s="675">
        <f>'[56]4'!$G$17</f>
        <v>1856.57751953708</v>
      </c>
      <c r="G39" s="675">
        <f>'[56]4'!$G$20</f>
        <v>13758.612144076935</v>
      </c>
      <c r="H39" s="675">
        <f>'[56]4'!$G$18</f>
        <v>266.90872919049741</v>
      </c>
      <c r="I39" s="675">
        <f>'[56]4'!$G$19+'[56]4'!$G$23</f>
        <v>5413.2508166313983</v>
      </c>
      <c r="J39" s="1461">
        <f>'[56]4'!$G$24</f>
        <v>129876.79167546176</v>
      </c>
      <c r="K39" s="674">
        <f>'[56]4'!$D$14</f>
        <v>1248.7207574429804</v>
      </c>
      <c r="L39" s="674">
        <f>SUM('[56]4'!$D$21:$D$22)</f>
        <v>15310.276252660489</v>
      </c>
      <c r="M39" s="675">
        <f>'[56]4'!$D$16</f>
        <v>94643.917631546341</v>
      </c>
      <c r="N39" s="675">
        <f>'[56]4'!$D$17</f>
        <v>2258.9232624559081</v>
      </c>
      <c r="O39" s="675">
        <f>'[56]4'!$D$20</f>
        <v>13075.962289317882</v>
      </c>
      <c r="P39" s="675">
        <f>'[56]4'!$D$18</f>
        <v>221.57992484440828</v>
      </c>
      <c r="Q39" s="675">
        <f>'[56]4'!$D$19+'[56]4'!$D$23</f>
        <v>3117.4485939070628</v>
      </c>
      <c r="R39" s="618">
        <f t="shared" ref="R39" si="18">ROUND(J39,1)-ROUND(C39,1)-ROUND(D39,1)-ROUND(E39,1)-ROUND(F39,1)-ROUND(G39,1)-ROUND(H39,1)-ROUND(I39,1)</f>
        <v>1.0004441719502211E-11</v>
      </c>
      <c r="S39" s="618">
        <f t="shared" ref="S39" si="19">ROUND(J39,1)-ROUND(K39,1)-ROUND(L39,1)-ROUND(M39,1)-ROUND(N39,1)-ROUND(O39,1)-ROUND(P39,1)-ROUND(Q39,1)</f>
        <v>7.2759576141834259E-12</v>
      </c>
      <c r="T39" s="185"/>
      <c r="U39" s="185"/>
    </row>
    <row r="40" spans="1:21" s="1322" customFormat="1" ht="18" customHeight="1">
      <c r="A40" s="1983"/>
      <c r="B40" s="1984" t="s">
        <v>424</v>
      </c>
      <c r="C40" s="674">
        <f>'[57]4'!$G$14</f>
        <v>3754.3775012566634</v>
      </c>
      <c r="D40" s="674">
        <f>SUM('[57]4'!$G$21:$G$22)</f>
        <v>10473.815234221482</v>
      </c>
      <c r="E40" s="675">
        <f>'[57]4'!$G$16</f>
        <v>90972.896590610544</v>
      </c>
      <c r="F40" s="675">
        <f>'[57]4'!$G$17</f>
        <v>2221.6943904181785</v>
      </c>
      <c r="G40" s="670">
        <f>'[57]4'!$G$20+0.01</f>
        <v>13479.356542708587</v>
      </c>
      <c r="H40" s="675">
        <f>'[57]4'!$G$18</f>
        <v>252.44007781101561</v>
      </c>
      <c r="I40" s="675">
        <f>'[57]4'!$G$19+'[57]4'!$G$23</f>
        <v>6460.5832467670107</v>
      </c>
      <c r="J40" s="1461">
        <f>'[57]4'!$G$24</f>
        <v>127615.15358379345</v>
      </c>
      <c r="K40" s="674">
        <f>'[57]4'!$D$14</f>
        <v>1795.186005973959</v>
      </c>
      <c r="L40" s="674">
        <f>SUM('[57]4'!$D$21:$D$22)</f>
        <v>15937.935735306692</v>
      </c>
      <c r="M40" s="675">
        <f>'[57]4'!$D$16</f>
        <v>91530.765133346707</v>
      </c>
      <c r="N40" s="675">
        <f>'[57]4'!$D$17</f>
        <v>2193.9308828083763</v>
      </c>
      <c r="O40" s="675">
        <f>'[57]4'!$D$20</f>
        <v>12676.60777855068</v>
      </c>
      <c r="P40" s="675">
        <f>'[57]4'!$D$18</f>
        <v>181.75033758138144</v>
      </c>
      <c r="Q40" s="675">
        <f>'[57]4'!$D$19+'[57]4'!$D$23</f>
        <v>3298.9681318453463</v>
      </c>
      <c r="R40" s="618">
        <f t="shared" ref="R40" si="20">ROUND(J40,1)-ROUND(C40,1)-ROUND(D40,1)-ROUND(E40,1)-ROUND(F40,1)-ROUND(G40,1)-ROUND(H40,1)-ROUND(I40,1)</f>
        <v>0</v>
      </c>
      <c r="S40" s="618">
        <f t="shared" ref="S40" si="21">ROUND(J40,1)-ROUND(K40,1)-ROUND(L40,1)-ROUND(M40,1)-ROUND(N40,1)-ROUND(O40,1)-ROUND(P40,1)-ROUND(Q40,1)</f>
        <v>0</v>
      </c>
      <c r="T40" s="185"/>
      <c r="U40" s="185"/>
    </row>
    <row r="41" spans="1:21" s="1322" customFormat="1" ht="18" customHeight="1">
      <c r="A41" s="1983"/>
      <c r="B41" s="1984" t="s">
        <v>425</v>
      </c>
      <c r="C41" s="674">
        <f>'[58]4'!$G$14</f>
        <v>3336.9428620441063</v>
      </c>
      <c r="D41" s="674">
        <f>SUM('[58]4'!$G$21:$G$22)</f>
        <v>11406.39543042299</v>
      </c>
      <c r="E41" s="675">
        <f>'[58]4'!$G$16</f>
        <v>96410.297510393793</v>
      </c>
      <c r="F41" s="675">
        <f>'[58]4'!$G$17</f>
        <v>1855.6666004693905</v>
      </c>
      <c r="G41" s="675">
        <f>'[58]4'!$G$20</f>
        <v>13047.167087705791</v>
      </c>
      <c r="H41" s="675">
        <f>'[58]4'!$G$18</f>
        <v>254.66956878642489</v>
      </c>
      <c r="I41" s="675">
        <f>'[58]4'!$G$19+'[58]4'!$G$23</f>
        <v>6000.3529125565474</v>
      </c>
      <c r="J41" s="673">
        <f>'[58]4'!$G$24+0.1</f>
        <v>132311.59197237907</v>
      </c>
      <c r="K41" s="674">
        <f>'[58]4'!$D$14</f>
        <v>1726.3959865915447</v>
      </c>
      <c r="L41" s="674">
        <f>SUM('[58]4'!$D$21:$D$22)</f>
        <v>16544.406226125706</v>
      </c>
      <c r="M41" s="675">
        <f>'[58]4'!$D$16</f>
        <v>96392.982842153157</v>
      </c>
      <c r="N41" s="675">
        <f>'[58]4'!$D$17</f>
        <v>2169.5298501602847</v>
      </c>
      <c r="O41" s="675">
        <f>'[58]4'!$D$20</f>
        <v>12483.884602842845</v>
      </c>
      <c r="P41" s="675">
        <f>'[58]4'!$D$18</f>
        <v>178.98248705657974</v>
      </c>
      <c r="Q41" s="675">
        <f>'[58]4'!$D$19+'[58]4'!$D$23</f>
        <v>2815.3835679271542</v>
      </c>
      <c r="R41" s="618">
        <f t="shared" ref="R41" si="22">ROUND(J41,1)-ROUND(C41,1)-ROUND(D41,1)-ROUND(E41,1)-ROUND(F41,1)-ROUND(G41,1)-ROUND(H41,1)-ROUND(I41,1)</f>
        <v>1.3642420526593924E-11</v>
      </c>
      <c r="S41" s="618">
        <f t="shared" ref="S41" si="23">ROUND(J41,1)-ROUND(K41,1)-ROUND(L41,1)-ROUND(M41,1)-ROUND(N41,1)-ROUND(O41,1)-ROUND(P41,1)-ROUND(Q41,1)</f>
        <v>1.7735146684572101E-11</v>
      </c>
      <c r="T41" s="185"/>
      <c r="U41" s="185"/>
    </row>
    <row r="42" spans="1:21" s="1322" customFormat="1" ht="18" customHeight="1">
      <c r="A42" s="1983"/>
      <c r="B42" s="1984" t="s">
        <v>426</v>
      </c>
      <c r="C42" s="674">
        <f>'[59]4'!$G$14</f>
        <v>3046.2674321609611</v>
      </c>
      <c r="D42" s="674">
        <f>SUM('[59]4'!$G$21:$G$22)</f>
        <v>10544.795995983264</v>
      </c>
      <c r="E42" s="675">
        <f>'[59]4'!$G$16</f>
        <v>93673.640596855403</v>
      </c>
      <c r="F42" s="675">
        <f>'[59]4'!$G$17</f>
        <v>1848.8874986476101</v>
      </c>
      <c r="G42" s="675">
        <f>'[59]4'!$G$20</f>
        <v>13269.168355017669</v>
      </c>
      <c r="H42" s="675">
        <f>'[59]4'!$G$18</f>
        <v>215.24835263856579</v>
      </c>
      <c r="I42" s="670">
        <f>'[59]4'!$G$19+'[59]4'!$G$23-0.05</f>
        <v>6079.5460801611489</v>
      </c>
      <c r="J42" s="673">
        <f>'[59]4'!$G$24-0.06</f>
        <v>128677.54431146463</v>
      </c>
      <c r="K42" s="674">
        <f>'[59]4'!$D$14</f>
        <v>1968.0606999693975</v>
      </c>
      <c r="L42" s="674">
        <f>SUM('[59]4'!$D$21:$D$22)</f>
        <v>15779.897585551847</v>
      </c>
      <c r="M42" s="675">
        <f>'[59]4'!$D$16</f>
        <v>93414.279238689633</v>
      </c>
      <c r="N42" s="675">
        <f>'[59]4'!$D$17</f>
        <v>2163.3047885366786</v>
      </c>
      <c r="O42" s="675">
        <f>'[59]4'!$D$20</f>
        <v>12438.185931671787</v>
      </c>
      <c r="P42" s="675">
        <f>'[59]4'!$D$18</f>
        <v>199.31830358186798</v>
      </c>
      <c r="Q42" s="675">
        <f>'[59]4'!$D$19+'[59]4'!$D$23</f>
        <v>2714.4452617390743</v>
      </c>
      <c r="R42" s="618">
        <f t="shared" ref="R42" si="24">ROUND(J42,1)-ROUND(C42,1)-ROUND(D42,1)-ROUND(E42,1)-ROUND(F42,1)-ROUND(G42,1)-ROUND(H42,1)-ROUND(I42,1)</f>
        <v>-1.3642420526593924E-11</v>
      </c>
      <c r="S42" s="618">
        <f t="shared" ref="S42" si="25">ROUND(J42,1)-ROUND(K42,1)-ROUND(L42,1)-ROUND(M42,1)-ROUND(N42,1)-ROUND(O42,1)-ROUND(P42,1)-ROUND(Q42,1)</f>
        <v>0</v>
      </c>
      <c r="T42" s="185"/>
      <c r="U42" s="185"/>
    </row>
    <row r="43" spans="1:21" s="1322" customFormat="1" ht="18" customHeight="1">
      <c r="A43" s="1983"/>
      <c r="B43" s="1984" t="s">
        <v>427</v>
      </c>
      <c r="C43" s="674">
        <f>'[60]4'!$G$14</f>
        <v>2539.5610531439338</v>
      </c>
      <c r="D43" s="674">
        <f>SUM('[60]4'!$G$21:$G$22)</f>
        <v>10608.341139593525</v>
      </c>
      <c r="E43" s="675">
        <f>'[60]4'!$G$16</f>
        <v>92724.372033517284</v>
      </c>
      <c r="F43" s="675">
        <f>'[60]4'!$G$17</f>
        <v>1876.9633693557914</v>
      </c>
      <c r="G43" s="675">
        <f>'[60]4'!$G$20</f>
        <v>12157.681385341397</v>
      </c>
      <c r="H43" s="675">
        <f>'[60]4'!$G$18</f>
        <v>188.02551672591403</v>
      </c>
      <c r="I43" s="675">
        <f>'[60]4'!$G$19+'[60]4'!$G$23</f>
        <v>6640.3479311106812</v>
      </c>
      <c r="J43" s="1461">
        <f>'[60]4'!$G$24</f>
        <v>126735.29242878853</v>
      </c>
      <c r="K43" s="674">
        <f>'[60]4'!$D$14</f>
        <v>2006.2838790019021</v>
      </c>
      <c r="L43" s="674">
        <f>SUM('[60]4'!$D$21:$D$22)</f>
        <v>15562.86614798864</v>
      </c>
      <c r="M43" s="670">
        <f>'[60]4'!$D$16+0.02</f>
        <v>92809.064338787473</v>
      </c>
      <c r="N43" s="675">
        <f>'[60]4'!$D$17</f>
        <v>2025.0357649323701</v>
      </c>
      <c r="O43" s="675">
        <f>'[60]4'!$D$20</f>
        <v>11230.476901787966</v>
      </c>
      <c r="P43" s="675">
        <f>'[60]4'!$D$18</f>
        <v>175.50199066953678</v>
      </c>
      <c r="Q43" s="675">
        <f>'[60]4'!$D$19+'[60]4'!$D$23</f>
        <v>2926.0349618337677</v>
      </c>
      <c r="R43" s="618">
        <f t="shared" ref="R43" si="26">ROUND(J43,1)-ROUND(C43,1)-ROUND(D43,1)-ROUND(E43,1)-ROUND(F43,1)-ROUND(G43,1)-ROUND(H43,1)-ROUND(I43,1)</f>
        <v>0</v>
      </c>
      <c r="S43" s="618">
        <f t="shared" ref="S43" si="27">ROUND(J43,1)-ROUND(K43,1)-ROUND(L43,1)-ROUND(M43,1)-ROUND(N43,1)-ROUND(O43,1)-ROUND(P43,1)-ROUND(Q43,1)</f>
        <v>0</v>
      </c>
      <c r="T43" s="185"/>
      <c r="U43" s="185"/>
    </row>
    <row r="44" spans="1:21" ht="20.25" customHeight="1">
      <c r="A44" s="292" t="s">
        <v>979</v>
      </c>
      <c r="B44" s="232"/>
      <c r="C44" s="232"/>
      <c r="D44" s="232"/>
      <c r="E44" s="969"/>
      <c r="F44" s="969"/>
      <c r="G44" s="969"/>
      <c r="H44" s="969"/>
      <c r="I44" s="969"/>
      <c r="J44" s="969"/>
      <c r="K44" s="1268"/>
      <c r="L44" s="969"/>
      <c r="M44" s="969"/>
      <c r="N44" s="969"/>
      <c r="O44" s="969"/>
      <c r="P44" s="969"/>
      <c r="Q44" s="994" t="s">
        <v>980</v>
      </c>
    </row>
    <row r="45" spans="1:21" ht="20.25" customHeight="1">
      <c r="A45" s="372"/>
      <c r="Q45" s="634"/>
    </row>
    <row r="46" spans="1:21" ht="20.25" customHeight="1">
      <c r="A46" s="372"/>
      <c r="Q46" s="634"/>
    </row>
    <row r="47" spans="1:21" s="635" customFormat="1" ht="15.5">
      <c r="A47" s="317" t="s">
        <v>1097</v>
      </c>
      <c r="B47" s="317"/>
      <c r="C47" s="317"/>
      <c r="D47" s="317"/>
      <c r="E47" s="317"/>
      <c r="F47" s="317"/>
      <c r="G47" s="317"/>
      <c r="H47" s="317"/>
      <c r="I47" s="317"/>
      <c r="J47" s="317"/>
      <c r="K47" s="317"/>
      <c r="L47" s="317"/>
      <c r="M47" s="317"/>
      <c r="N47" s="317"/>
      <c r="O47" s="317"/>
      <c r="P47" s="317"/>
      <c r="Q47" s="317"/>
      <c r="R47" s="185"/>
      <c r="S47" s="185"/>
      <c r="T47" s="185"/>
      <c r="U47" s="185"/>
    </row>
  </sheetData>
  <phoneticPr fontId="51" type="noConversion"/>
  <printOptions horizontalCentered="1" verticalCentered="1"/>
  <pageMargins left="0" right="0" top="0" bottom="0" header="0.5" footer="0.5"/>
  <pageSetup paperSize="9" scale="68"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tabColor rgb="FFFF0000"/>
    <pageSetUpPr fitToPage="1"/>
  </sheetPr>
  <dimension ref="A1:S49"/>
  <sheetViews>
    <sheetView zoomScale="75" zoomScaleNormal="75" workbookViewId="0">
      <pane ySplit="12" topLeftCell="A40" activePane="bottomLeft" state="frozen"/>
      <selection activeCell="B44" sqref="B44"/>
      <selection pane="bottomLeft" activeCell="C43" sqref="C43"/>
    </sheetView>
  </sheetViews>
  <sheetFormatPr defaultColWidth="8.81640625" defaultRowHeight="12.5"/>
  <cols>
    <col min="1" max="2" width="9.7265625" customWidth="1"/>
    <col min="3" max="3" width="9.26953125" customWidth="1"/>
    <col min="4" max="4" width="12.7265625" customWidth="1"/>
    <col min="5" max="5" width="14.7265625" customWidth="1"/>
    <col min="6" max="6" width="12" customWidth="1"/>
    <col min="7" max="7" width="11.81640625" customWidth="1"/>
    <col min="8" max="8" width="12.26953125" customWidth="1"/>
    <col min="9" max="9" width="12.7265625" customWidth="1"/>
    <col min="10" max="10" width="14.7265625" customWidth="1"/>
    <col min="11" max="11" width="11.7265625" customWidth="1"/>
    <col min="12" max="12" width="13.26953125" customWidth="1"/>
    <col min="13" max="13" width="11" customWidth="1"/>
    <col min="14" max="14" width="11.26953125" customWidth="1"/>
    <col min="15" max="15" width="11.81640625" customWidth="1"/>
    <col min="16" max="16" width="10.7265625" customWidth="1"/>
  </cols>
  <sheetData>
    <row r="1" spans="1:19" s="1104" customFormat="1" ht="18" customHeight="1">
      <c r="A1" s="1103" t="s">
        <v>1098</v>
      </c>
      <c r="B1" s="1087"/>
      <c r="C1" s="1087"/>
      <c r="D1" s="1087"/>
      <c r="E1" s="1087"/>
      <c r="F1" s="1087"/>
      <c r="G1" s="1087"/>
      <c r="H1" s="1087"/>
      <c r="I1" s="1087"/>
      <c r="J1" s="1087"/>
      <c r="K1" s="1087"/>
      <c r="L1" s="1087"/>
      <c r="M1" s="1087"/>
      <c r="N1" s="1087"/>
      <c r="O1" s="1087"/>
      <c r="P1" s="1087"/>
    </row>
    <row r="2" spans="1:19" s="1104" customFormat="1" ht="18" customHeight="1">
      <c r="A2" s="1105" t="s">
        <v>1099</v>
      </c>
      <c r="B2" s="1087"/>
      <c r="C2" s="1087"/>
      <c r="D2" s="1087"/>
      <c r="E2" s="1087"/>
      <c r="F2" s="1087"/>
      <c r="G2" s="1087"/>
      <c r="H2" s="1087"/>
      <c r="I2" s="1087"/>
      <c r="J2" s="1087"/>
      <c r="K2" s="1087"/>
      <c r="L2" s="1087"/>
      <c r="M2" s="1087"/>
      <c r="N2" s="1087"/>
      <c r="O2" s="1087"/>
      <c r="P2" s="1087"/>
    </row>
    <row r="3" spans="1:19" s="1104" customFormat="1" ht="18" customHeight="1">
      <c r="A3" s="1103" t="s">
        <v>1100</v>
      </c>
      <c r="B3" s="1087"/>
      <c r="C3" s="1087"/>
      <c r="D3" s="1087"/>
      <c r="E3" s="1087"/>
      <c r="F3" s="1087"/>
      <c r="G3" s="1087"/>
      <c r="H3" s="1087"/>
      <c r="I3" s="1087"/>
      <c r="J3" s="1087"/>
      <c r="K3" s="1087"/>
      <c r="L3" s="1087"/>
      <c r="M3" s="1087"/>
      <c r="N3" s="1087"/>
      <c r="O3" s="1087"/>
      <c r="P3" s="1087"/>
    </row>
    <row r="4" spans="1:19" s="1104" customFormat="1" ht="18" customHeight="1">
      <c r="A4" s="1103" t="s">
        <v>380</v>
      </c>
      <c r="B4" s="1087"/>
      <c r="C4" s="1087"/>
      <c r="D4" s="1087"/>
      <c r="E4" s="1087"/>
      <c r="F4" s="1087"/>
      <c r="G4" s="1087"/>
      <c r="H4" s="1087"/>
      <c r="I4" s="1087"/>
      <c r="J4" s="1087"/>
      <c r="K4" s="1087"/>
      <c r="L4" s="1087"/>
      <c r="M4" s="1087"/>
      <c r="N4" s="1087"/>
      <c r="O4" s="1087"/>
      <c r="P4" s="1087"/>
    </row>
    <row r="5" spans="1:19" s="1111" customFormat="1" ht="20.25" customHeight="1">
      <c r="A5" s="1073" t="s">
        <v>379</v>
      </c>
      <c r="B5" s="1074"/>
      <c r="C5" s="1081"/>
      <c r="D5" s="1081"/>
      <c r="E5" s="1081"/>
      <c r="F5" s="1081"/>
      <c r="G5" s="1081"/>
      <c r="H5" s="1081"/>
      <c r="I5" s="1081"/>
      <c r="J5" s="1081"/>
      <c r="K5" s="1081"/>
      <c r="L5" s="1081"/>
      <c r="M5" s="1081"/>
      <c r="N5" s="1081"/>
      <c r="O5" s="1081"/>
      <c r="P5" s="1081"/>
    </row>
    <row r="6" spans="1:19" ht="13.75" customHeight="1">
      <c r="A6" s="9" t="s">
        <v>784</v>
      </c>
      <c r="O6" s="9"/>
      <c r="P6" s="9" t="s">
        <v>785</v>
      </c>
    </row>
    <row r="7" spans="1:19" s="1181" customFormat="1" ht="23.25" customHeight="1">
      <c r="A7" s="1172"/>
      <c r="B7" s="1173"/>
      <c r="C7" s="1182" t="s">
        <v>503</v>
      </c>
      <c r="D7" s="1175"/>
      <c r="E7" s="1176"/>
      <c r="F7" s="1176"/>
      <c r="G7" s="1183"/>
      <c r="H7" s="1184" t="s">
        <v>1037</v>
      </c>
      <c r="I7" s="1185" t="s">
        <v>1038</v>
      </c>
      <c r="J7" s="1175"/>
      <c r="K7" s="1176"/>
      <c r="L7" s="1176"/>
      <c r="M7" s="1183"/>
      <c r="N7" s="1186" t="s">
        <v>1039</v>
      </c>
      <c r="O7" s="1180"/>
      <c r="P7" s="1180"/>
    </row>
    <row r="8" spans="1:19" s="41" customFormat="1" ht="16.5" customHeight="1">
      <c r="A8" s="641" t="s">
        <v>387</v>
      </c>
      <c r="B8" s="83"/>
      <c r="D8" s="310" t="s">
        <v>1040</v>
      </c>
      <c r="E8" s="310" t="s">
        <v>1040</v>
      </c>
      <c r="F8" s="310" t="s">
        <v>1040</v>
      </c>
      <c r="H8" s="310"/>
      <c r="I8" s="310" t="s">
        <v>1040</v>
      </c>
      <c r="J8" s="310" t="s">
        <v>1040</v>
      </c>
      <c r="K8" s="642"/>
      <c r="L8" s="643" t="s">
        <v>1041</v>
      </c>
      <c r="N8" s="642"/>
      <c r="O8" s="310" t="s">
        <v>439</v>
      </c>
      <c r="P8" s="310" t="s">
        <v>1042</v>
      </c>
    </row>
    <row r="9" spans="1:19" s="41" customFormat="1" ht="16.5" customHeight="1">
      <c r="A9" s="64" t="s">
        <v>395</v>
      </c>
      <c r="B9" s="76"/>
      <c r="C9" s="310" t="s">
        <v>809</v>
      </c>
      <c r="D9" s="81" t="s">
        <v>441</v>
      </c>
      <c r="E9" s="311" t="s">
        <v>854</v>
      </c>
      <c r="F9" s="97" t="s">
        <v>398</v>
      </c>
      <c r="G9" s="310" t="s">
        <v>399</v>
      </c>
      <c r="H9" s="310" t="s">
        <v>390</v>
      </c>
      <c r="I9" s="81" t="s">
        <v>441</v>
      </c>
      <c r="J9" s="311" t="s">
        <v>854</v>
      </c>
      <c r="K9" s="310" t="s">
        <v>815</v>
      </c>
      <c r="L9" s="643" t="s">
        <v>1043</v>
      </c>
      <c r="M9" s="310" t="s">
        <v>399</v>
      </c>
      <c r="N9" s="644" t="s">
        <v>390</v>
      </c>
      <c r="O9" s="65" t="s">
        <v>380</v>
      </c>
      <c r="P9" s="65" t="s">
        <v>1044</v>
      </c>
    </row>
    <row r="10" spans="1:19" s="41" customFormat="1" ht="16.5" customHeight="1">
      <c r="A10" s="84"/>
      <c r="B10" s="76"/>
      <c r="C10" s="645" t="s">
        <v>812</v>
      </c>
      <c r="D10" s="109" t="s">
        <v>1045</v>
      </c>
      <c r="E10" s="109" t="s">
        <v>1045</v>
      </c>
      <c r="F10" s="109" t="s">
        <v>1045</v>
      </c>
      <c r="G10" s="241" t="s">
        <v>1046</v>
      </c>
      <c r="H10" s="645" t="s">
        <v>400</v>
      </c>
      <c r="I10" s="109" t="s">
        <v>1045</v>
      </c>
      <c r="J10" s="109" t="s">
        <v>1045</v>
      </c>
      <c r="K10" s="241" t="s">
        <v>822</v>
      </c>
      <c r="L10" s="646" t="s">
        <v>1047</v>
      </c>
      <c r="M10" s="241" t="s">
        <v>1046</v>
      </c>
      <c r="N10" s="647" t="s">
        <v>400</v>
      </c>
      <c r="O10" s="645" t="s">
        <v>400</v>
      </c>
      <c r="P10" s="645" t="s">
        <v>1048</v>
      </c>
    </row>
    <row r="11" spans="1:19" s="41" customFormat="1" ht="16.5" customHeight="1">
      <c r="A11" s="84"/>
      <c r="B11" s="76"/>
      <c r="C11" s="645"/>
      <c r="D11" s="109" t="s">
        <v>1049</v>
      </c>
      <c r="E11" s="109" t="s">
        <v>1050</v>
      </c>
      <c r="F11" s="109" t="s">
        <v>1051</v>
      </c>
      <c r="G11" s="241"/>
      <c r="H11" s="241"/>
      <c r="I11" s="109" t="s">
        <v>1049</v>
      </c>
      <c r="J11" s="109" t="s">
        <v>1050</v>
      </c>
      <c r="K11" s="77"/>
      <c r="L11" s="646" t="s">
        <v>1052</v>
      </c>
      <c r="M11" s="241"/>
      <c r="N11" s="648"/>
      <c r="O11" s="241" t="s">
        <v>379</v>
      </c>
      <c r="P11" s="241" t="s">
        <v>771</v>
      </c>
    </row>
    <row r="12" spans="1:19" s="41" customFormat="1" ht="16.5" customHeight="1">
      <c r="A12" s="89"/>
      <c r="B12" s="100"/>
      <c r="C12" s="649"/>
      <c r="D12" s="142" t="s">
        <v>820</v>
      </c>
      <c r="E12" s="650" t="s">
        <v>417</v>
      </c>
      <c r="F12" s="142"/>
      <c r="G12" s="141"/>
      <c r="H12" s="141"/>
      <c r="I12" s="142"/>
      <c r="J12" s="650" t="s">
        <v>417</v>
      </c>
      <c r="K12" s="132"/>
      <c r="L12" s="142"/>
      <c r="M12" s="141"/>
      <c r="N12" s="244"/>
      <c r="O12" s="141" t="s">
        <v>819</v>
      </c>
      <c r="P12" s="141" t="s">
        <v>1053</v>
      </c>
    </row>
    <row r="13" spans="1:19" s="274" customFormat="1" ht="20.25" customHeight="1">
      <c r="A13" s="263">
        <v>2016</v>
      </c>
      <c r="B13" s="273"/>
      <c r="C13" s="1427">
        <v>120.22797464935482</v>
      </c>
      <c r="D13" s="1427">
        <v>4105.3350049019009</v>
      </c>
      <c r="E13" s="481">
        <v>9137.0684017827225</v>
      </c>
      <c r="F13" s="481">
        <v>1934.1422542546011</v>
      </c>
      <c r="G13" s="481">
        <v>1619.2007948840751</v>
      </c>
      <c r="H13" s="481">
        <v>16915.944430472653</v>
      </c>
      <c r="I13" s="1427">
        <v>1651.3915218554803</v>
      </c>
      <c r="J13" s="1427">
        <v>1860.7899408962419</v>
      </c>
      <c r="K13" s="481">
        <v>2585.206405477692</v>
      </c>
      <c r="L13" s="481">
        <v>2694.8139282300303</v>
      </c>
      <c r="M13" s="481">
        <v>582.3651644639499</v>
      </c>
      <c r="N13" s="1427">
        <v>9374.5669609233937</v>
      </c>
      <c r="O13" s="481">
        <v>26290.541391396051</v>
      </c>
      <c r="P13" s="1454">
        <f>SUM('[61]1'!$I$100:$I$102)</f>
        <v>521.20093997717026</v>
      </c>
      <c r="Q13" s="355"/>
      <c r="R13" s="355"/>
      <c r="S13" s="355"/>
    </row>
    <row r="14" spans="1:19" s="882" customFormat="1" ht="14.25" customHeight="1">
      <c r="A14" s="661">
        <v>2017</v>
      </c>
      <c r="B14" s="881"/>
      <c r="C14" s="1429">
        <v>156.31655123491296</v>
      </c>
      <c r="D14" s="1429">
        <v>4330.5636100570664</v>
      </c>
      <c r="E14" s="1430">
        <v>9625.5315162505885</v>
      </c>
      <c r="F14" s="1430">
        <v>2385.8845530120993</v>
      </c>
      <c r="G14" s="1430">
        <v>1934.4151456389654</v>
      </c>
      <c r="H14" s="1430">
        <v>18432.711376193634</v>
      </c>
      <c r="I14" s="1429">
        <v>1636.4852314575953</v>
      </c>
      <c r="J14" s="1429">
        <v>1447.648181711668</v>
      </c>
      <c r="K14" s="1430">
        <v>2014.7349589525902</v>
      </c>
      <c r="L14" s="1430">
        <v>2331.1935625820015</v>
      </c>
      <c r="M14" s="1430">
        <v>882.77542292042642</v>
      </c>
      <c r="N14" s="1429">
        <v>8312.8373576242811</v>
      </c>
      <c r="O14" s="1430">
        <v>26745.548733817915</v>
      </c>
      <c r="P14" s="1454">
        <f>SUM('[62]1'!$I$100:$I$102)</f>
        <v>726.24851491257448</v>
      </c>
      <c r="Q14" s="355"/>
      <c r="R14" s="355"/>
      <c r="S14" s="355"/>
    </row>
    <row r="15" spans="1:19" s="889" customFormat="1" ht="14.25" customHeight="1">
      <c r="A15" s="884">
        <v>2018</v>
      </c>
      <c r="B15" s="885"/>
      <c r="C15" s="1431">
        <v>163.32329856562671</v>
      </c>
      <c r="D15" s="1431">
        <v>4793.400533608984</v>
      </c>
      <c r="E15" s="685">
        <v>10732.237257631179</v>
      </c>
      <c r="F15" s="685">
        <v>2854.9394617960766</v>
      </c>
      <c r="G15" s="685">
        <v>1849.2924188181851</v>
      </c>
      <c r="H15" s="685">
        <v>20393.142970420049</v>
      </c>
      <c r="I15" s="1431">
        <v>1444.9914662899439</v>
      </c>
      <c r="J15" s="1431">
        <v>1541.1068672536403</v>
      </c>
      <c r="K15" s="685">
        <v>2061.38778036241</v>
      </c>
      <c r="L15" s="685">
        <v>1776.3614481054028</v>
      </c>
      <c r="M15" s="685">
        <v>711.24447766921469</v>
      </c>
      <c r="N15" s="1431">
        <v>7535.0920396806141</v>
      </c>
      <c r="O15" s="685">
        <v>27928.23501010066</v>
      </c>
      <c r="P15" s="1454">
        <f>SUM('[63]1'!$I$100:$I$102)</f>
        <v>448.39243295836161</v>
      </c>
      <c r="Q15" s="355"/>
      <c r="R15" s="355"/>
      <c r="S15" s="355"/>
    </row>
    <row r="16" spans="1:19" s="889" customFormat="1" ht="14.25" customHeight="1">
      <c r="A16" s="884">
        <v>2019</v>
      </c>
      <c r="B16" s="885"/>
      <c r="C16" s="1431">
        <v>158.5730356655547</v>
      </c>
      <c r="D16" s="1431">
        <v>5171.7735174593399</v>
      </c>
      <c r="E16" s="685">
        <v>11687.627876231698</v>
      </c>
      <c r="F16" s="685">
        <v>4001.1479588786506</v>
      </c>
      <c r="G16" s="685">
        <v>2533.2029464076782</v>
      </c>
      <c r="H16" s="685">
        <v>23552.345334642923</v>
      </c>
      <c r="I16" s="1431">
        <v>1666.3906992675084</v>
      </c>
      <c r="J16" s="1431">
        <v>1863.5646445005862</v>
      </c>
      <c r="K16" s="685">
        <v>2624.2132100350536</v>
      </c>
      <c r="L16" s="685">
        <v>1666.2304012699274</v>
      </c>
      <c r="M16" s="685">
        <v>709.89546473997302</v>
      </c>
      <c r="N16" s="1431">
        <v>8530.2644198130492</v>
      </c>
      <c r="O16" s="685">
        <v>32082.609754455967</v>
      </c>
      <c r="P16" s="1454">
        <f>SUM('[64]1'!$I$100:$I$102)</f>
        <v>312.79282905802125</v>
      </c>
      <c r="Q16" s="355"/>
      <c r="R16" s="355"/>
      <c r="S16" s="355"/>
    </row>
    <row r="17" spans="1:19" s="889" customFormat="1" ht="14.25" customHeight="1">
      <c r="A17" s="884">
        <v>2020</v>
      </c>
      <c r="B17" s="885"/>
      <c r="C17" s="1431">
        <v>165.39880622938821</v>
      </c>
      <c r="D17" s="1431">
        <v>4406.3980348080804</v>
      </c>
      <c r="E17" s="685">
        <v>12459.326208535083</v>
      </c>
      <c r="F17" s="685">
        <v>4910.4611532902363</v>
      </c>
      <c r="G17" s="685">
        <v>1659.4900197994416</v>
      </c>
      <c r="H17" s="685">
        <v>23601.074222662231</v>
      </c>
      <c r="I17" s="1431">
        <v>1309.4105424797156</v>
      </c>
      <c r="J17" s="1431">
        <v>1854.6391079780547</v>
      </c>
      <c r="K17" s="685">
        <v>2626.1643324596525</v>
      </c>
      <c r="L17" s="685">
        <v>1733.319935079048</v>
      </c>
      <c r="M17" s="685">
        <v>486.80778284039093</v>
      </c>
      <c r="N17" s="1431">
        <v>8010.3417008368615</v>
      </c>
      <c r="O17" s="685">
        <v>31611.415923499091</v>
      </c>
      <c r="P17" s="1454">
        <f>SUM('[65]1'!$I$100:$I$102)</f>
        <v>427.55898718365961</v>
      </c>
      <c r="Q17" s="355"/>
      <c r="R17" s="355"/>
      <c r="S17" s="355"/>
    </row>
    <row r="18" spans="1:19" s="889" customFormat="1" ht="14.25" customHeight="1">
      <c r="A18" s="884">
        <v>2021</v>
      </c>
      <c r="B18" s="885"/>
      <c r="C18" s="1431">
        <v>148.50661675234255</v>
      </c>
      <c r="D18" s="1431">
        <v>5907.0357726173106</v>
      </c>
      <c r="E18" s="685">
        <v>13143.990720381538</v>
      </c>
      <c r="F18" s="685">
        <v>5520.0024651330041</v>
      </c>
      <c r="G18" s="685">
        <v>1753.8669156720784</v>
      </c>
      <c r="H18" s="685">
        <v>26473.422490556273</v>
      </c>
      <c r="I18" s="1431">
        <v>1318.8767671322519</v>
      </c>
      <c r="J18" s="1431">
        <v>1444.3921537841686</v>
      </c>
      <c r="K18" s="685">
        <v>3472.9080534272853</v>
      </c>
      <c r="L18" s="685">
        <v>909.64794909570958</v>
      </c>
      <c r="M18" s="685">
        <v>935.60803601134853</v>
      </c>
      <c r="N18" s="1431">
        <v>8081.4329594507635</v>
      </c>
      <c r="O18" s="685">
        <v>34554.835450007035</v>
      </c>
      <c r="P18" s="1454">
        <f>SUM('[66]1'!$I$100:$I$102)</f>
        <v>256.35854435393617</v>
      </c>
      <c r="Q18" s="355"/>
      <c r="R18" s="355"/>
      <c r="S18" s="355"/>
    </row>
    <row r="19" spans="1:19" s="483" customFormat="1" ht="14.25" customHeight="1">
      <c r="A19" s="1782">
        <v>2022</v>
      </c>
      <c r="B19" s="1783"/>
      <c r="C19" s="1784">
        <v>213.45695167373927</v>
      </c>
      <c r="D19" s="1432">
        <v>4344.4369243239835</v>
      </c>
      <c r="E19" s="1432">
        <v>14683.878630659288</v>
      </c>
      <c r="F19" s="1432">
        <v>5623.5018820135847</v>
      </c>
      <c r="G19" s="1432">
        <v>1923.6696704142432</v>
      </c>
      <c r="H19" s="1432">
        <v>26788.964059084843</v>
      </c>
      <c r="I19" s="1784">
        <v>1438.2617691887917</v>
      </c>
      <c r="J19" s="1784">
        <v>1477.5774106493923</v>
      </c>
      <c r="K19" s="1432">
        <v>4374.9430960219988</v>
      </c>
      <c r="L19" s="1432">
        <v>328.68408683470722</v>
      </c>
      <c r="M19" s="1432">
        <v>1656.6257595954708</v>
      </c>
      <c r="N19" s="1784">
        <v>9276.1021222903619</v>
      </c>
      <c r="O19" s="1432">
        <v>36065.066181374605</v>
      </c>
      <c r="P19" s="1454">
        <v>543.56655184439887</v>
      </c>
    </row>
    <row r="20" spans="1:19" s="483" customFormat="1" ht="14.25" customHeight="1">
      <c r="A20" s="1782">
        <v>2023</v>
      </c>
      <c r="B20" s="1783"/>
      <c r="C20" s="1784">
        <v>119.52498147184654</v>
      </c>
      <c r="D20" s="1784">
        <v>4845.007557206517</v>
      </c>
      <c r="E20" s="1432">
        <v>15165.570174102249</v>
      </c>
      <c r="F20" s="1432">
        <v>6338.4310771133223</v>
      </c>
      <c r="G20" s="1432">
        <v>1776.5702053599646</v>
      </c>
      <c r="H20" s="1432">
        <v>28245.103995253899</v>
      </c>
      <c r="I20" s="1784">
        <v>1829.8760130545606</v>
      </c>
      <c r="J20" s="1784">
        <v>1304.2713105046714</v>
      </c>
      <c r="K20" s="1432">
        <v>4135.9066312329351</v>
      </c>
      <c r="L20" s="1432">
        <v>625.73656967015279</v>
      </c>
      <c r="M20" s="1432">
        <v>2093.4781268918086</v>
      </c>
      <c r="N20" s="1784">
        <v>9989.2686513541285</v>
      </c>
      <c r="O20" s="1432">
        <v>38234.372646608033</v>
      </c>
      <c r="P20" s="1454">
        <v>439.92985851536173</v>
      </c>
    </row>
    <row r="21" spans="1:19" s="483" customFormat="1" ht="14.25" customHeight="1">
      <c r="A21" s="1782">
        <v>2024</v>
      </c>
      <c r="B21" s="1783"/>
      <c r="C21" s="1784">
        <v>177.04466542680666</v>
      </c>
      <c r="D21" s="1784">
        <v>6787.7016149907777</v>
      </c>
      <c r="E21" s="1432">
        <v>18155.360479984505</v>
      </c>
      <c r="F21" s="1432">
        <v>8178.8860480080102</v>
      </c>
      <c r="G21" s="1432">
        <v>2367.1659839738372</v>
      </c>
      <c r="H21" s="1432">
        <v>35666.158792383932</v>
      </c>
      <c r="I21" s="1784">
        <v>3117.7839292219196</v>
      </c>
      <c r="J21" s="1784">
        <v>5315.1122718567003</v>
      </c>
      <c r="K21" s="1432">
        <v>13489.216786829315</v>
      </c>
      <c r="L21" s="1432">
        <v>2036.1622392119077</v>
      </c>
      <c r="M21" s="1432">
        <v>3729.9340096533865</v>
      </c>
      <c r="N21" s="1784">
        <v>27688.209236773229</v>
      </c>
      <c r="O21" s="1432">
        <v>63354.368029157165</v>
      </c>
      <c r="P21" s="1454">
        <v>7008.9325346969727</v>
      </c>
    </row>
    <row r="22" spans="1:19" s="483" customFormat="1" ht="14.25" customHeight="1">
      <c r="A22" s="2058">
        <v>2025</v>
      </c>
      <c r="B22" s="2200"/>
      <c r="C22" s="2201">
        <f t="shared" ref="C22:P22" si="0">C29</f>
        <v>291.02785962831706</v>
      </c>
      <c r="D22" s="2201">
        <f t="shared" si="0"/>
        <v>8864.8687864983185</v>
      </c>
      <c r="E22" s="2202">
        <f t="shared" si="0"/>
        <v>19569.398227884049</v>
      </c>
      <c r="F22" s="2202">
        <f t="shared" si="0"/>
        <v>10387.826806060872</v>
      </c>
      <c r="G22" s="2202">
        <f t="shared" si="0"/>
        <v>2808.4801592572744</v>
      </c>
      <c r="H22" s="2202">
        <f t="shared" si="0"/>
        <v>41921.601839328832</v>
      </c>
      <c r="I22" s="2201">
        <f t="shared" si="0"/>
        <v>4284.6120607811654</v>
      </c>
      <c r="J22" s="2201">
        <f t="shared" si="0"/>
        <v>6014.4888057151129</v>
      </c>
      <c r="K22" s="2202">
        <f t="shared" si="0"/>
        <v>12357.950873808131</v>
      </c>
      <c r="L22" s="2202">
        <f t="shared" si="0"/>
        <v>1073.1201221846184</v>
      </c>
      <c r="M22" s="2202">
        <f t="shared" si="0"/>
        <v>1409.1306229236402</v>
      </c>
      <c r="N22" s="2201">
        <f t="shared" si="0"/>
        <v>25139.302485412671</v>
      </c>
      <c r="O22" s="2202">
        <f t="shared" si="0"/>
        <v>67060.904324741496</v>
      </c>
      <c r="P22" s="2337">
        <f t="shared" si="0"/>
        <v>7208.3761195040861</v>
      </c>
    </row>
    <row r="23" spans="1:19" s="889" customFormat="1" ht="21" customHeight="1">
      <c r="A23" s="884">
        <v>2024</v>
      </c>
      <c r="B23" s="885" t="s">
        <v>243</v>
      </c>
      <c r="C23" s="1431">
        <v>211.26144486570138</v>
      </c>
      <c r="D23" s="1431">
        <v>5482.5666377605521</v>
      </c>
      <c r="E23" s="685">
        <v>19456.585549096148</v>
      </c>
      <c r="F23" s="685">
        <v>7979.9470203448745</v>
      </c>
      <c r="G23" s="685">
        <v>2329.802532260675</v>
      </c>
      <c r="H23" s="685">
        <v>35460.163184327947</v>
      </c>
      <c r="I23" s="1431">
        <v>3545.6153350983941</v>
      </c>
      <c r="J23" s="1431">
        <v>4728.1654964454337</v>
      </c>
      <c r="K23" s="685">
        <v>12932.837871172876</v>
      </c>
      <c r="L23" s="685">
        <v>1803.1046773423257</v>
      </c>
      <c r="M23" s="685">
        <v>3232.9417251875943</v>
      </c>
      <c r="N23" s="1431">
        <v>26242.645105246625</v>
      </c>
      <c r="O23" s="685">
        <v>61702.838289574582</v>
      </c>
      <c r="P23" s="1454">
        <v>5855.6432712366086</v>
      </c>
      <c r="Q23" s="355"/>
      <c r="R23" s="355"/>
      <c r="S23" s="355"/>
    </row>
    <row r="24" spans="1:19" s="889" customFormat="1" ht="15" customHeight="1">
      <c r="A24" s="884"/>
      <c r="B24" s="885" t="s">
        <v>240</v>
      </c>
      <c r="C24" s="1431">
        <v>150.83731913548206</v>
      </c>
      <c r="D24" s="1431">
        <v>6021.1237674052973</v>
      </c>
      <c r="E24" s="685">
        <v>18921.772217609468</v>
      </c>
      <c r="F24" s="685">
        <v>8390.0013208940472</v>
      </c>
      <c r="G24" s="685">
        <v>2451.5438445778359</v>
      </c>
      <c r="H24" s="685">
        <v>35935.198469622141</v>
      </c>
      <c r="I24" s="1431">
        <v>3374.450939326749</v>
      </c>
      <c r="J24" s="1431">
        <v>4305.3310231749128</v>
      </c>
      <c r="K24" s="685">
        <v>13159.238238329921</v>
      </c>
      <c r="L24" s="685">
        <v>1931.055969429636</v>
      </c>
      <c r="M24" s="685">
        <v>3605.2428248439301</v>
      </c>
      <c r="N24" s="1431">
        <v>26375.318995105146</v>
      </c>
      <c r="O24" s="685">
        <v>62310.517464727287</v>
      </c>
      <c r="P24" s="1454">
        <v>5979.9279797535564</v>
      </c>
      <c r="Q24" s="355"/>
      <c r="R24" s="355"/>
      <c r="S24" s="355"/>
    </row>
    <row r="25" spans="1:19" s="889" customFormat="1" ht="15" customHeight="1">
      <c r="A25" s="884"/>
      <c r="B25" s="885" t="s">
        <v>241</v>
      </c>
      <c r="C25" s="1431">
        <v>177.04466542680666</v>
      </c>
      <c r="D25" s="1431">
        <v>6787.7016149907777</v>
      </c>
      <c r="E25" s="685">
        <v>18155.360479984505</v>
      </c>
      <c r="F25" s="685">
        <v>8178.8860480080102</v>
      </c>
      <c r="G25" s="685">
        <v>2367.1659839738372</v>
      </c>
      <c r="H25" s="685">
        <v>35666.158792383932</v>
      </c>
      <c r="I25" s="1431">
        <v>3117.7839292219196</v>
      </c>
      <c r="J25" s="1431">
        <v>5315.1122718567003</v>
      </c>
      <c r="K25" s="685">
        <v>13489.216786829315</v>
      </c>
      <c r="L25" s="685">
        <v>2036.1622392119077</v>
      </c>
      <c r="M25" s="685">
        <v>3729.9340096533865</v>
      </c>
      <c r="N25" s="1431">
        <v>27688.209236773229</v>
      </c>
      <c r="O25" s="685">
        <v>63354.368029157165</v>
      </c>
      <c r="P25" s="1454">
        <v>7008.9325346969727</v>
      </c>
      <c r="Q25" s="355"/>
      <c r="R25" s="355"/>
      <c r="S25" s="355"/>
    </row>
    <row r="26" spans="1:19" s="889" customFormat="1" ht="21" customHeight="1">
      <c r="A26" s="884">
        <v>2025</v>
      </c>
      <c r="B26" s="885" t="s">
        <v>242</v>
      </c>
      <c r="C26" s="1431">
        <v>138.49950399340256</v>
      </c>
      <c r="D26" s="1431">
        <v>7134.2694841983266</v>
      </c>
      <c r="E26" s="685">
        <v>19140.267395152896</v>
      </c>
      <c r="F26" s="685">
        <v>8330.3414190901585</v>
      </c>
      <c r="G26" s="685">
        <v>2431.5154194580423</v>
      </c>
      <c r="H26" s="685">
        <v>37174.903221892833</v>
      </c>
      <c r="I26" s="1431">
        <v>2990.3108053772266</v>
      </c>
      <c r="J26" s="1431">
        <v>4926.4537569179865</v>
      </c>
      <c r="K26" s="685">
        <v>12444.051932940492</v>
      </c>
      <c r="L26" s="685">
        <v>1411.4100355298074</v>
      </c>
      <c r="M26" s="685">
        <v>2568.9386147247956</v>
      </c>
      <c r="N26" s="1431">
        <v>24341.165145490311</v>
      </c>
      <c r="O26" s="685">
        <v>61516.068367383152</v>
      </c>
      <c r="P26" s="1454">
        <v>7854.147077882204</v>
      </c>
      <c r="Q26" s="355"/>
      <c r="R26" s="355"/>
      <c r="S26" s="355"/>
    </row>
    <row r="27" spans="1:19" s="889" customFormat="1" ht="15" customHeight="1">
      <c r="A27" s="884"/>
      <c r="B27" s="885" t="s">
        <v>243</v>
      </c>
      <c r="C27" s="1431">
        <v>157.06578928513451</v>
      </c>
      <c r="D27" s="1431">
        <v>7657.1315296206449</v>
      </c>
      <c r="E27" s="685">
        <v>19192.377278979227</v>
      </c>
      <c r="F27" s="685">
        <v>9272.1441901671424</v>
      </c>
      <c r="G27" s="685">
        <v>2866.876535323056</v>
      </c>
      <c r="H27" s="685">
        <v>39145.615323375205</v>
      </c>
      <c r="I27" s="1431">
        <v>3495.642057090829</v>
      </c>
      <c r="J27" s="1431">
        <v>5130.1909292823457</v>
      </c>
      <c r="K27" s="685">
        <v>13543.003194395274</v>
      </c>
      <c r="L27" s="685">
        <v>1696.5234574205033</v>
      </c>
      <c r="M27" s="685">
        <v>1459.3563909418604</v>
      </c>
      <c r="N27" s="1431">
        <v>25324.69602913081</v>
      </c>
      <c r="O27" s="685">
        <v>64470.311352506018</v>
      </c>
      <c r="P27" s="1454">
        <v>7688.6106485724295</v>
      </c>
      <c r="Q27" s="355"/>
      <c r="R27" s="355"/>
      <c r="S27" s="355"/>
    </row>
    <row r="28" spans="1:19" s="889" customFormat="1" ht="15" customHeight="1">
      <c r="A28" s="884"/>
      <c r="B28" s="885" t="s">
        <v>240</v>
      </c>
      <c r="C28" s="1431">
        <f t="shared" ref="C28:P28" si="1">C35</f>
        <v>405.84655689320539</v>
      </c>
      <c r="D28" s="1431">
        <f t="shared" si="1"/>
        <v>6866.1485138944417</v>
      </c>
      <c r="E28" s="685">
        <f t="shared" si="1"/>
        <v>19899.664698316221</v>
      </c>
      <c r="F28" s="685">
        <f t="shared" si="1"/>
        <v>9877.77838670663</v>
      </c>
      <c r="G28" s="685">
        <f t="shared" si="1"/>
        <v>3068.7606608401966</v>
      </c>
      <c r="H28" s="685">
        <f t="shared" si="1"/>
        <v>40118.198816650693</v>
      </c>
      <c r="I28" s="1431">
        <f t="shared" si="1"/>
        <v>3246.7640760384497</v>
      </c>
      <c r="J28" s="1431">
        <f t="shared" si="1"/>
        <v>6435.2108020325777</v>
      </c>
      <c r="K28" s="685">
        <f t="shared" si="1"/>
        <v>13646.286972336551</v>
      </c>
      <c r="L28" s="685">
        <f t="shared" si="1"/>
        <v>1795.4990523982369</v>
      </c>
      <c r="M28" s="685">
        <f t="shared" si="1"/>
        <v>1297.5835603635924</v>
      </c>
      <c r="N28" s="1431">
        <f t="shared" si="1"/>
        <v>26421.364463169408</v>
      </c>
      <c r="O28" s="685">
        <f t="shared" si="1"/>
        <v>66539.563279820111</v>
      </c>
      <c r="P28" s="1454">
        <f t="shared" si="1"/>
        <v>7309.5356580212019</v>
      </c>
      <c r="Q28" s="355"/>
      <c r="R28" s="355"/>
      <c r="S28" s="355"/>
    </row>
    <row r="29" spans="1:19" s="889" customFormat="1" ht="15" customHeight="1">
      <c r="A29" s="884"/>
      <c r="B29" s="885" t="s">
        <v>241</v>
      </c>
      <c r="C29" s="1431">
        <f t="shared" ref="C29:P29" si="2">C38</f>
        <v>291.02785962831706</v>
      </c>
      <c r="D29" s="1431">
        <f t="shared" si="2"/>
        <v>8864.8687864983185</v>
      </c>
      <c r="E29" s="685">
        <f t="shared" si="2"/>
        <v>19569.398227884049</v>
      </c>
      <c r="F29" s="685">
        <f t="shared" si="2"/>
        <v>10387.826806060872</v>
      </c>
      <c r="G29" s="685">
        <f t="shared" si="2"/>
        <v>2808.4801592572744</v>
      </c>
      <c r="H29" s="685">
        <f t="shared" si="2"/>
        <v>41921.601839328832</v>
      </c>
      <c r="I29" s="1431">
        <f t="shared" si="2"/>
        <v>4284.6120607811654</v>
      </c>
      <c r="J29" s="1431">
        <f t="shared" si="2"/>
        <v>6014.4888057151129</v>
      </c>
      <c r="K29" s="685">
        <f t="shared" si="2"/>
        <v>12357.950873808131</v>
      </c>
      <c r="L29" s="685">
        <f t="shared" si="2"/>
        <v>1073.1201221846184</v>
      </c>
      <c r="M29" s="685">
        <f t="shared" si="2"/>
        <v>1409.1306229236402</v>
      </c>
      <c r="N29" s="1431">
        <f t="shared" si="2"/>
        <v>25139.302485412671</v>
      </c>
      <c r="O29" s="685">
        <f t="shared" si="2"/>
        <v>67060.904324741496</v>
      </c>
      <c r="P29" s="1454">
        <f t="shared" si="2"/>
        <v>7208.3761195040861</v>
      </c>
      <c r="Q29" s="355"/>
      <c r="R29" s="355"/>
      <c r="S29" s="355"/>
    </row>
    <row r="30" spans="1:19" s="889" customFormat="1" ht="21" customHeight="1">
      <c r="A30" s="1681">
        <v>2026</v>
      </c>
      <c r="B30" s="1687" t="s">
        <v>242</v>
      </c>
      <c r="C30" s="1781">
        <f t="shared" ref="C30:P30" si="3">C41</f>
        <v>460.47599470095054</v>
      </c>
      <c r="D30" s="1781">
        <f t="shared" si="3"/>
        <v>8454.2238056328697</v>
      </c>
      <c r="E30" s="1777">
        <f t="shared" si="3"/>
        <v>19838.222935487087</v>
      </c>
      <c r="F30" s="1777">
        <f t="shared" si="3"/>
        <v>10974.71629861399</v>
      </c>
      <c r="G30" s="1777">
        <f t="shared" si="3"/>
        <v>3152.3679353328835</v>
      </c>
      <c r="H30" s="1777">
        <f t="shared" si="3"/>
        <v>42880.006969767783</v>
      </c>
      <c r="I30" s="1781">
        <f t="shared" si="3"/>
        <v>4910.3345940239078</v>
      </c>
      <c r="J30" s="1781">
        <f t="shared" si="3"/>
        <v>6169.5785967063603</v>
      </c>
      <c r="K30" s="1777">
        <f t="shared" si="3"/>
        <v>12703.59290808946</v>
      </c>
      <c r="L30" s="1777">
        <f t="shared" si="3"/>
        <v>1180.6768994349632</v>
      </c>
      <c r="M30" s="1777">
        <f t="shared" si="3"/>
        <v>1409.9243752029352</v>
      </c>
      <c r="N30" s="1781">
        <f t="shared" si="3"/>
        <v>26374.097373457626</v>
      </c>
      <c r="O30" s="1777">
        <f t="shared" si="3"/>
        <v>69254.104343225408</v>
      </c>
      <c r="P30" s="2337">
        <f t="shared" si="3"/>
        <v>5572.0409976146948</v>
      </c>
      <c r="Q30" s="355"/>
      <c r="R30" s="355"/>
      <c r="S30" s="355"/>
    </row>
    <row r="31" spans="1:19" s="483" customFormat="1" ht="21" customHeight="1">
      <c r="A31" s="1782">
        <v>2025</v>
      </c>
      <c r="B31" s="1783" t="s">
        <v>427</v>
      </c>
      <c r="C31" s="1784">
        <v>146.23369358299493</v>
      </c>
      <c r="D31" s="1784">
        <v>7417.0336882405963</v>
      </c>
      <c r="E31" s="1432">
        <v>19498.410718951265</v>
      </c>
      <c r="F31" s="1432">
        <v>9161.3755846018212</v>
      </c>
      <c r="G31" s="1432">
        <v>3003.3860425478329</v>
      </c>
      <c r="H31" s="1432">
        <v>39226.439727924502</v>
      </c>
      <c r="I31" s="1784">
        <v>2406.5010800394607</v>
      </c>
      <c r="J31" s="1784">
        <v>5098.2771861173296</v>
      </c>
      <c r="K31" s="1432">
        <v>12621.882875710475</v>
      </c>
      <c r="L31" s="1432">
        <v>1409.486779326839</v>
      </c>
      <c r="M31" s="1432">
        <v>1816.0043347054086</v>
      </c>
      <c r="N31" s="1784">
        <v>23352.152255899513</v>
      </c>
      <c r="O31" s="1432">
        <v>62578.591983824022</v>
      </c>
      <c r="P31" s="1432">
        <v>7022.9124158422646</v>
      </c>
      <c r="Q31" s="1837">
        <v>0</v>
      </c>
      <c r="R31" s="1837">
        <v>1.8189894035458565E-12</v>
      </c>
      <c r="S31" s="1837">
        <v>0</v>
      </c>
    </row>
    <row r="32" spans="1:19" s="483" customFormat="1" ht="15" customHeight="1">
      <c r="A32" s="1782"/>
      <c r="B32" s="1783" t="s">
        <v>428</v>
      </c>
      <c r="C32" s="1784">
        <f>SUM('[67]1'!$C$68:$D$68)</f>
        <v>157.06578928513451</v>
      </c>
      <c r="D32" s="1784">
        <f>SUM('[67]1'!$C$69:$D$69)+SUM('[67]1'!$C$72:$D$72)+SUM('[67]1'!$C$95:$D$95)</f>
        <v>7657.1315296206449</v>
      </c>
      <c r="E32" s="1432">
        <f>SUM('[67]1'!$C$79:$D$83)+SUM('[67]1'!$C$89:$D$89)+SUM('[67]1'!$C$92:$D$92)</f>
        <v>19192.377278979227</v>
      </c>
      <c r="F32" s="1241">
        <f>SUM('[67]1'!$C$77:$D$78)+SUM('[67]1'!$C$86:$D$86)-0.02</f>
        <v>9272.1441901671424</v>
      </c>
      <c r="G32" s="1432">
        <f>SUM('[67]1'!$C$93:$D$93)+SUM('[67]1'!$C$96:$D$97)</f>
        <v>2866.876535323056</v>
      </c>
      <c r="H32" s="1432">
        <f>SUM('[67]1'!$C$98:$D$98)</f>
        <v>39145.615323375205</v>
      </c>
      <c r="I32" s="1784">
        <f>SUM('[67]1'!$E$69:$P$69)+SUM('[67]1'!$E$72:$P$72)</f>
        <v>3495.642057090829</v>
      </c>
      <c r="J32" s="1784">
        <f>SUM('[67]1'!$E$76:$P$76)</f>
        <v>5130.1909292823457</v>
      </c>
      <c r="K32" s="1432">
        <f>SUM('[67]1'!$E$84:$P$84)</f>
        <v>13543.003194395274</v>
      </c>
      <c r="L32" s="1432">
        <f>SUM('[67]1'!$E$95:$P$95)</f>
        <v>1696.5234574205033</v>
      </c>
      <c r="M32" s="1241">
        <f>SUM('[67]1'!$E$93:$P$93)+SUM('[67]1'!$E$94:$P$94)+SUM('[67]1'!$E$97:$P$97)+0.02</f>
        <v>1459.3563909418604</v>
      </c>
      <c r="N32" s="1784">
        <f>SUM('[67]1'!$E$98:$P$98)</f>
        <v>25324.69602913081</v>
      </c>
      <c r="O32" s="1432">
        <f>'[67]1'!$Q$98</f>
        <v>64470.311352506018</v>
      </c>
      <c r="P32" s="1432">
        <f>SUM('[67]1'!$Q$100:$Q$102)</f>
        <v>7688.6106485724295</v>
      </c>
      <c r="Q32" s="1837">
        <f t="shared" ref="Q32" si="4">ROUND(H32,1)-ROUND(C32,1)-ROUND(D32,1)-ROUND(E32,1)-ROUND(F32,1)-ROUND(G32,1)</f>
        <v>0</v>
      </c>
      <c r="R32" s="1837">
        <f t="shared" ref="R32" si="5">ROUND(N32,1)-ROUND(I32,1)-ROUND(J32,1)-ROUND(K32,1)-ROUND(L32,1)-ROUND(M32,1)</f>
        <v>0</v>
      </c>
      <c r="S32" s="1837">
        <f t="shared" ref="S32" si="6">ROUND(O32,1)-ROUND(H32,1)-ROUND(N32,1)</f>
        <v>0</v>
      </c>
    </row>
    <row r="33" spans="1:19" s="483" customFormat="1" ht="15" customHeight="1">
      <c r="A33" s="1782"/>
      <c r="B33" s="1783" t="s">
        <v>429</v>
      </c>
      <c r="C33" s="1784">
        <f>SUM('[68]1'!$C$68:$D$68)</f>
        <v>306.05807866603703</v>
      </c>
      <c r="D33" s="1784">
        <f>SUM('[68]1'!$C$69:$D$69)+SUM('[68]1'!$C$72:$D$72)+SUM('[68]1'!$C$95:$D$95)</f>
        <v>7334.5342430003175</v>
      </c>
      <c r="E33" s="1432">
        <f>SUM('[68]1'!$C$79:$D$83)+SUM('[68]1'!$C$89:$D$89)+SUM('[68]1'!$C$92:$D$92)</f>
        <v>19690.630372833206</v>
      </c>
      <c r="F33" s="1432">
        <f>SUM('[68]1'!$C$77:$D$78)+SUM('[68]1'!$C$86:$D$86)</f>
        <v>9339.9909893289641</v>
      </c>
      <c r="G33" s="1432">
        <f>SUM('[68]1'!$C$93:$D$93)+SUM('[68]1'!$C$96:$D$97)</f>
        <v>2720.7050861925713</v>
      </c>
      <c r="H33" s="1432">
        <f>SUM('[68]1'!$C$98:$D$98)</f>
        <v>39391.918770021097</v>
      </c>
      <c r="I33" s="1784">
        <f>SUM('[68]1'!$E$69:$P$69)+SUM('[68]1'!$E$72:$P$72)</f>
        <v>3503.2244934031114</v>
      </c>
      <c r="J33" s="1784">
        <f>SUM('[68]1'!$E$76:$P$76)</f>
        <v>5793.8920997313771</v>
      </c>
      <c r="K33" s="1432">
        <f>SUM('[68]1'!$E$84:$P$84)</f>
        <v>13683.586610246293</v>
      </c>
      <c r="L33" s="1432">
        <f>SUM('[68]1'!$E$95:$P$95)</f>
        <v>1928.2042715052107</v>
      </c>
      <c r="M33" s="1432">
        <f>SUM('[68]1'!$E$93:$P$93)+SUM('[68]1'!$E$94:$P$94)+SUM('[68]1'!$E$97:$P$97)</f>
        <v>1005.9614042757405</v>
      </c>
      <c r="N33" s="1784">
        <f>SUM('[68]1'!$E$98:$P$98)</f>
        <v>25914.868879161735</v>
      </c>
      <c r="O33" s="1432">
        <f>'[68]1'!$Q$98</f>
        <v>65306.787649182836</v>
      </c>
      <c r="P33" s="1432">
        <f>SUM('[68]1'!$Q$100:$Q$102)</f>
        <v>7295.4870349226348</v>
      </c>
      <c r="Q33" s="1837">
        <f t="shared" ref="Q33" si="7">ROUND(H33,1)-ROUND(C33,1)-ROUND(D33,1)-ROUND(E33,1)-ROUND(F33,1)-ROUND(G33,1)</f>
        <v>4.5474735088646412E-12</v>
      </c>
      <c r="R33" s="1837">
        <f t="shared" ref="R33" si="8">ROUND(N33,1)-ROUND(I33,1)-ROUND(J33,1)-ROUND(K33,1)-ROUND(L33,1)-ROUND(M33,1)</f>
        <v>2.5011104298755527E-12</v>
      </c>
      <c r="S33" s="1837">
        <f t="shared" ref="S33" si="9">ROUND(O33,1)-ROUND(H33,1)-ROUND(N33,1)</f>
        <v>0</v>
      </c>
    </row>
    <row r="34" spans="1:19" s="483" customFormat="1" ht="15" customHeight="1">
      <c r="A34" s="1782"/>
      <c r="B34" s="1783" t="s">
        <v>430</v>
      </c>
      <c r="C34" s="1784">
        <f>SUM('[69]1'!$C$68:$D$68)</f>
        <v>265.87039202295529</v>
      </c>
      <c r="D34" s="1784">
        <f>SUM('[69]1'!$C$69:$D$69)+SUM('[69]1'!$C$72:$D$72)+SUM('[69]1'!$C$95:$D$95)</f>
        <v>6519.9213675391366</v>
      </c>
      <c r="E34" s="1432">
        <f>SUM('[69]1'!$C$79:$D$83)+SUM('[69]1'!$C$89:$D$89)+SUM('[69]1'!$C$92:$D$92)</f>
        <v>19738.592529765083</v>
      </c>
      <c r="F34" s="1432">
        <f>SUM('[69]1'!$C$77:$D$78)+SUM('[69]1'!$C$86:$D$86)</f>
        <v>9962.4925205343097</v>
      </c>
      <c r="G34" s="1432">
        <f>SUM('[69]1'!$C$93:$D$93)+SUM('[69]1'!$C$96:$D$97)</f>
        <v>2735.3679316653393</v>
      </c>
      <c r="H34" s="1241">
        <f>SUM('[69]1'!$C$98:$D$98)+0.02</f>
        <v>39222.264741526815</v>
      </c>
      <c r="I34" s="1784">
        <f>SUM('[69]1'!$E$69:$P$69)+SUM('[69]1'!$E$72:$P$72)</f>
        <v>3796.6359534162234</v>
      </c>
      <c r="J34" s="1784">
        <f>SUM('[69]1'!$E$76:$P$76)</f>
        <v>5973.7030812941684</v>
      </c>
      <c r="K34" s="1432">
        <f>SUM('[69]1'!$E$84:$P$84)</f>
        <v>13768.389554654335</v>
      </c>
      <c r="L34" s="1432">
        <f>SUM('[69]1'!$E$95:$P$95)</f>
        <v>1941.8797235263464</v>
      </c>
      <c r="M34" s="1432">
        <f>SUM('[69]1'!$E$93:$P$93)+SUM('[69]1'!$E$94:$P$94)+SUM('[69]1'!$E$97:$P$97)</f>
        <v>968.18571560299279</v>
      </c>
      <c r="N34" s="1784">
        <f>SUM('[69]1'!$E$98:$P$98)</f>
        <v>26448.794028494071</v>
      </c>
      <c r="O34" s="1241">
        <f>'[69]1'!$Q$98+0.02</f>
        <v>65671.0587700209</v>
      </c>
      <c r="P34" s="1432">
        <f>SUM('[69]1'!$Q$100:$Q$102)</f>
        <v>7626.7947334898272</v>
      </c>
      <c r="Q34" s="1837">
        <f t="shared" ref="Q34" si="10">ROUND(H34,1)-ROUND(C34,1)-ROUND(D34,1)-ROUND(E34,1)-ROUND(F34,1)-ROUND(G34,1)</f>
        <v>0</v>
      </c>
      <c r="R34" s="1837">
        <f t="shared" ref="R34" si="11">ROUND(N34,1)-ROUND(I34,1)-ROUND(J34,1)-ROUND(K34,1)-ROUND(L34,1)-ROUND(M34,1)</f>
        <v>0</v>
      </c>
      <c r="S34" s="1837">
        <f t="shared" ref="S34" si="12">ROUND(O34,1)-ROUND(H34,1)-ROUND(N34,1)</f>
        <v>0</v>
      </c>
    </row>
    <row r="35" spans="1:19" s="483" customFormat="1" ht="15" customHeight="1">
      <c r="A35" s="1782"/>
      <c r="B35" s="1783" t="s">
        <v>431</v>
      </c>
      <c r="C35" s="1784">
        <f>SUM('[70]1'!$C$68:$D$68)</f>
        <v>405.84655689320539</v>
      </c>
      <c r="D35" s="1784">
        <f>SUM('[70]1'!$C$69:$D$69)+SUM('[70]1'!$C$72:$D$72)+SUM('[70]1'!$C$95:$D$95)</f>
        <v>6866.1485138944417</v>
      </c>
      <c r="E35" s="1432">
        <f>SUM('[70]1'!$C$79:$D$83)+SUM('[70]1'!$C$89:$D$89)+SUM('[70]1'!$C$92:$D$92)</f>
        <v>19899.664698316221</v>
      </c>
      <c r="F35" s="1432">
        <f>SUM('[70]1'!$C$77:$D$78)+SUM('[70]1'!$C$86:$D$86)</f>
        <v>9877.77838670663</v>
      </c>
      <c r="G35" s="1432">
        <f>SUM('[70]1'!$C$93:$D$93)+SUM('[70]1'!$C$96:$D$97)</f>
        <v>3068.7606608401966</v>
      </c>
      <c r="H35" s="1432">
        <f>SUM('[70]1'!$C$98:$D$98)</f>
        <v>40118.198816650693</v>
      </c>
      <c r="I35" s="1784">
        <f>SUM('[70]1'!$E$69:$P$69)+SUM('[70]1'!$E$72:$P$72)</f>
        <v>3246.7640760384497</v>
      </c>
      <c r="J35" s="1784">
        <f>SUM('[70]1'!$E$76:$P$76)</f>
        <v>6435.2108020325777</v>
      </c>
      <c r="K35" s="1432">
        <f>SUM('[70]1'!$E$84:$P$84)</f>
        <v>13646.286972336551</v>
      </c>
      <c r="L35" s="1432">
        <f>SUM('[70]1'!$E$95:$P$95)</f>
        <v>1795.4990523982369</v>
      </c>
      <c r="M35" s="1432">
        <f>SUM('[70]1'!$E$93:$P$93)+SUM('[70]1'!$E$94:$P$94)+SUM('[70]1'!$E$97:$P$97)</f>
        <v>1297.5835603635924</v>
      </c>
      <c r="N35" s="1545">
        <f>SUM('[70]1'!$E$98:$P$98)+0.02</f>
        <v>26421.364463169408</v>
      </c>
      <c r="O35" s="1241">
        <f>'[70]1'!$Q$98+0.02</f>
        <v>66539.563279820111</v>
      </c>
      <c r="P35" s="1432">
        <f>SUM('[70]1'!$Q$100:$Q$102)</f>
        <v>7309.5356580212019</v>
      </c>
      <c r="Q35" s="1837">
        <f t="shared" ref="Q35" si="13">ROUND(H35,1)-ROUND(C35,1)-ROUND(D35,1)-ROUND(E35,1)-ROUND(F35,1)-ROUND(G35,1)</f>
        <v>-4.5474735088646412E-12</v>
      </c>
      <c r="R35" s="1837">
        <f t="shared" ref="R35" si="14">ROUND(N35,1)-ROUND(I35,1)-ROUND(J35,1)-ROUND(K35,1)-ROUND(L35,1)-ROUND(M35,1)</f>
        <v>2.2737367544323206E-12</v>
      </c>
      <c r="S35" s="1837">
        <f t="shared" ref="S35" si="15">ROUND(O35,1)-ROUND(H35,1)-ROUND(N35,1)</f>
        <v>0</v>
      </c>
    </row>
    <row r="36" spans="1:19" s="483" customFormat="1" ht="15" customHeight="1">
      <c r="A36" s="1782"/>
      <c r="B36" s="1783" t="s">
        <v>420</v>
      </c>
      <c r="C36" s="1784">
        <f>SUM('[71]1'!$C$68:$D$68)</f>
        <v>296.67788166773158</v>
      </c>
      <c r="D36" s="1784">
        <f>SUM('[71]1'!$C$69:$D$69)+SUM('[71]1'!$C$72:$D$72)+SUM('[71]1'!$C$95:$D$95)</f>
        <v>8267.907375653429</v>
      </c>
      <c r="E36" s="1432">
        <f>SUM('[71]1'!$C$79:$D$83)+SUM('[71]1'!$C$89:$D$89)+SUM('[71]1'!$C$92:$D$92)</f>
        <v>19545.982578519022</v>
      </c>
      <c r="F36" s="1241">
        <f>SUM('[71]1'!$C$77:$D$78)+SUM('[71]1'!$C$86:$D$86)-0.02</f>
        <v>10246.644878897025</v>
      </c>
      <c r="G36" s="1432">
        <f>SUM('[71]1'!$C$93:$D$93)+SUM('[71]1'!$C$96:$D$97)</f>
        <v>2744.5866295317524</v>
      </c>
      <c r="H36" s="1432">
        <f>SUM('[71]1'!$C$98:$D$98)</f>
        <v>41101.819344268952</v>
      </c>
      <c r="I36" s="1784">
        <f>SUM('[71]1'!$E$69:$P$69)+SUM('[71]1'!$E$72:$P$72)</f>
        <v>3696.9124154219448</v>
      </c>
      <c r="J36" s="1784">
        <f>SUM('[71]1'!$E$76:$P$76)</f>
        <v>6311.1819142419499</v>
      </c>
      <c r="K36" s="1432">
        <f>SUM('[71]1'!$E$84:$P$84)</f>
        <v>12112.753111061185</v>
      </c>
      <c r="L36" s="1432">
        <f>SUM('[71]1'!$E$95:$P$95)</f>
        <v>1391.5638991827052</v>
      </c>
      <c r="M36" s="1432">
        <f>SUM('[71]1'!$E$93:$P$93)+SUM('[71]1'!$E$94:$P$94)+SUM('[71]1'!$E$97:$P$97)</f>
        <v>1409.4736436397175</v>
      </c>
      <c r="N36" s="1545">
        <f>SUM('[71]1'!$E$98:$P$98)+0.1</f>
        <v>24921.984983547503</v>
      </c>
      <c r="O36" s="1241">
        <f>'[71]1'!$Q$98+0.05</f>
        <v>66023.754327816452</v>
      </c>
      <c r="P36" s="1432">
        <f>SUM('[71]1'!$Q$100:$Q$102)</f>
        <v>7098.7276960266536</v>
      </c>
      <c r="Q36" s="1837">
        <f t="shared" ref="Q36" si="16">ROUND(H36,1)-ROUND(C36,1)-ROUND(D36,1)-ROUND(E36,1)-ROUND(F36,1)-ROUND(G36,1)</f>
        <v>4.0927261579781771E-12</v>
      </c>
      <c r="R36" s="1837">
        <f t="shared" ref="R36" si="17">ROUND(N36,1)-ROUND(I36,1)-ROUND(J36,1)-ROUND(K36,1)-ROUND(L36,1)-ROUND(M36,1)</f>
        <v>0</v>
      </c>
      <c r="S36" s="1837">
        <f t="shared" ref="S36" si="18">ROUND(O36,1)-ROUND(H36,1)-ROUND(N36,1)</f>
        <v>0</v>
      </c>
    </row>
    <row r="37" spans="1:19" s="483" customFormat="1" ht="15" customHeight="1">
      <c r="A37" s="1782"/>
      <c r="B37" s="1783" t="s">
        <v>421</v>
      </c>
      <c r="C37" s="1784">
        <f>SUM('[72]1'!$C$68:$D$68)</f>
        <v>293.97501536496861</v>
      </c>
      <c r="D37" s="1784">
        <f>SUM('[72]1'!$C$69:$D$69)+SUM('[72]1'!$C$72:$D$72)+SUM('[72]1'!$C$95:$D$95)</f>
        <v>8533.0836112486086</v>
      </c>
      <c r="E37" s="1432">
        <f>SUM('[72]1'!$C$79:$D$83)+SUM('[72]1'!$C$89:$D$89)+SUM('[72]1'!$C$92:$D$92)</f>
        <v>19517.825150807432</v>
      </c>
      <c r="F37" s="1432">
        <f>SUM('[72]1'!$C$77:$D$78)+SUM('[72]1'!$C$86:$D$86)</f>
        <v>10240.699783929203</v>
      </c>
      <c r="G37" s="1432">
        <f>SUM('[72]1'!$C$93:$D$93)+SUM('[72]1'!$C$96:$D$97)</f>
        <v>2733.0920686367676</v>
      </c>
      <c r="H37" s="1432">
        <f>SUM('[72]1'!$C$98:$D$98)</f>
        <v>41318.675629986974</v>
      </c>
      <c r="I37" s="1784">
        <f>SUM('[72]1'!$E$69:$P$69)+SUM('[72]1'!$E$72:$P$72)</f>
        <v>5168.8690181881584</v>
      </c>
      <c r="J37" s="1784">
        <f>SUM('[72]1'!$E$76:$P$76)</f>
        <v>6573.1349504360223</v>
      </c>
      <c r="K37" s="1432">
        <f>SUM('[72]1'!$E$84:$P$84)</f>
        <v>12331.85085114604</v>
      </c>
      <c r="L37" s="1241">
        <f>SUM('[72]1'!$E$95:$P$95)+0.03</f>
        <v>1523.5637064853138</v>
      </c>
      <c r="M37" s="1432">
        <f>SUM('[72]1'!$E$93:$P$93)+SUM('[72]1'!$E$94:$P$94)+SUM('[72]1'!$E$97:$P$97)</f>
        <v>1310.623274966621</v>
      </c>
      <c r="N37" s="1545">
        <f>SUM('[72]1'!$E$98:$P$98)+0.05</f>
        <v>26908.061801222153</v>
      </c>
      <c r="O37" s="1241">
        <f>'[72]1'!$Q$98+0.1</f>
        <v>68226.78743120913</v>
      </c>
      <c r="P37" s="1432">
        <f>SUM('[72]1'!$Q$100:$Q$102)</f>
        <v>7052.1425001839434</v>
      </c>
      <c r="Q37" s="1837">
        <f t="shared" ref="Q37" si="19">ROUND(H37,1)-ROUND(C37,1)-ROUND(D37,1)-ROUND(E37,1)-ROUND(F37,1)-ROUND(G37,1)</f>
        <v>0</v>
      </c>
      <c r="R37" s="1837">
        <f t="shared" ref="R37" si="20">ROUND(N37,1)-ROUND(I37,1)-ROUND(J37,1)-ROUND(K37,1)-ROUND(L37,1)-ROUND(M37,1)</f>
        <v>-2.7284841053187847E-12</v>
      </c>
      <c r="S37" s="1837">
        <f t="shared" ref="S37" si="21">ROUND(O37,1)-ROUND(H37,1)-ROUND(N37,1)</f>
        <v>0</v>
      </c>
    </row>
    <row r="38" spans="1:19" s="483" customFormat="1" ht="15" customHeight="1">
      <c r="A38" s="1782"/>
      <c r="B38" s="1783" t="s">
        <v>422</v>
      </c>
      <c r="C38" s="1784">
        <f>SUM('[73]1'!$C$68:$D$68)</f>
        <v>291.02785962831706</v>
      </c>
      <c r="D38" s="1784">
        <f>SUM('[73]1'!$C$69:$D$69)+SUM('[73]1'!$C$72:$D$72)+SUM('[73]1'!$C$95:$D$95)</f>
        <v>8864.8687864983185</v>
      </c>
      <c r="E38" s="1432">
        <f>SUM('[73]1'!$C$79:$D$83)+SUM('[73]1'!$C$89:$D$89)+SUM('[73]1'!$C$92:$D$92)</f>
        <v>19569.398227884049</v>
      </c>
      <c r="F38" s="1432">
        <f>SUM('[73]1'!$C$77:$D$78)+SUM('[73]1'!$C$86:$D$86)</f>
        <v>10387.826806060872</v>
      </c>
      <c r="G38" s="1432">
        <f>SUM('[73]1'!$C$93:$D$93)+SUM('[73]1'!$C$96:$D$97)</f>
        <v>2808.4801592572744</v>
      </c>
      <c r="H38" s="1432">
        <f>SUM('[73]1'!$C$98:$D$98)</f>
        <v>41921.601839328832</v>
      </c>
      <c r="I38" s="1784">
        <f>SUM('[73]1'!$E$69:$P$69)+SUM('[73]1'!$E$72:$P$72)</f>
        <v>4284.6120607811654</v>
      </c>
      <c r="J38" s="1784">
        <f>SUM('[73]1'!$E$76:$P$76)</f>
        <v>6014.4888057151129</v>
      </c>
      <c r="K38" s="1432">
        <f>SUM('[73]1'!$E$84:$P$84)</f>
        <v>12357.950873808131</v>
      </c>
      <c r="L38" s="1432">
        <f>SUM('[73]1'!$E$95:$P$95)</f>
        <v>1073.1201221846184</v>
      </c>
      <c r="M38" s="1432">
        <f>SUM('[73]1'!$E$93:$P$93)+SUM('[73]1'!$E$94:$P$94)+SUM('[73]1'!$E$97:$P$97)</f>
        <v>1409.1306229236402</v>
      </c>
      <c r="N38" s="1784">
        <f>SUM('[73]1'!$E$98:$P$98)</f>
        <v>25139.302485412671</v>
      </c>
      <c r="O38" s="1432">
        <f>'[73]1'!$Q$98</f>
        <v>67060.904324741496</v>
      </c>
      <c r="P38" s="1432">
        <f>SUM('[73]1'!$Q$100:$Q$102)</f>
        <v>7208.3761195040861</v>
      </c>
      <c r="Q38" s="1837">
        <f t="shared" ref="Q38" si="22">ROUND(H38,1)-ROUND(C38,1)-ROUND(D38,1)-ROUND(E38,1)-ROUND(F38,1)-ROUND(G38,1)</f>
        <v>-3.637978807091713E-12</v>
      </c>
      <c r="R38" s="1837">
        <f t="shared" ref="R38" si="23">ROUND(N38,1)-ROUND(I38,1)-ROUND(J38,1)-ROUND(K38,1)-ROUND(L38,1)-ROUND(M38,1)</f>
        <v>-2.7284841053187847E-12</v>
      </c>
      <c r="S38" s="1837">
        <f t="shared" ref="S38" si="24">ROUND(O38,1)-ROUND(H38,1)-ROUND(N38,1)</f>
        <v>0</v>
      </c>
    </row>
    <row r="39" spans="1:19" s="483" customFormat="1" ht="21" customHeight="1">
      <c r="A39" s="1782">
        <v>2026</v>
      </c>
      <c r="B39" s="1783" t="s">
        <v>423</v>
      </c>
      <c r="C39" s="1784">
        <f>SUM('[74]1'!$C$68:$D$68)</f>
        <v>233.55341235846777</v>
      </c>
      <c r="D39" s="1784">
        <f>SUM('[74]1'!$C$69:$D$69)+SUM('[74]1'!$C$72:$D$72)+SUM('[74]1'!$C$95:$D$95)</f>
        <v>8614.3549236876497</v>
      </c>
      <c r="E39" s="1432">
        <f>SUM('[74]1'!$C$79:$D$83)+SUM('[74]1'!$C$89:$D$89)+SUM('[74]1'!$C$92:$D$92)</f>
        <v>19551.829201794724</v>
      </c>
      <c r="F39" s="1241">
        <f>SUM('[74]1'!$C$77:$D$78)+SUM('[74]1'!$C$86:$D$86)+0.05</f>
        <v>10501.332572590292</v>
      </c>
      <c r="G39" s="1241">
        <f>SUM('[74]1'!$C$93:$D$93)+SUM('[74]1'!$C$96:$D$97)+0.05</f>
        <v>2836.5996778749254</v>
      </c>
      <c r="H39" s="1241">
        <f>SUM('[74]1'!$C$98:$D$98)+0.09</f>
        <v>41737.659788306046</v>
      </c>
      <c r="I39" s="1784">
        <f>SUM('[74]1'!$E$69:$P$69)+SUM('[74]1'!$E$72:$P$72)</f>
        <v>5518.5136281962377</v>
      </c>
      <c r="J39" s="1784">
        <f>SUM('[74]1'!$E$76:$P$76)+0.01</f>
        <v>5917.5763844406383</v>
      </c>
      <c r="K39" s="1432">
        <f>SUM('[74]1'!$E$84:$P$84)</f>
        <v>12093.70118051091</v>
      </c>
      <c r="L39" s="1432">
        <f>SUM('[74]1'!$E$95:$P$95)</f>
        <v>1037.6854883790429</v>
      </c>
      <c r="M39" s="1432">
        <f>SUM('[74]1'!$E$93:$P$93)+SUM('[74]1'!$E$94:$P$94)+SUM('[74]1'!$E$97:$P$97)</f>
        <v>1327.009721618731</v>
      </c>
      <c r="N39" s="1784">
        <f>SUM('[74]1'!$E$98:$P$98)</f>
        <v>25894.476403145563</v>
      </c>
      <c r="O39" s="1241">
        <f>'[74]1'!$Q$98+0.2</f>
        <v>67632.246191451602</v>
      </c>
      <c r="P39" s="1432">
        <f>SUM('[74]1'!$Q$100:$Q$102)</f>
        <v>6785.6580549592354</v>
      </c>
      <c r="Q39" s="1837">
        <f t="shared" ref="Q39" si="25">ROUND(H39,1)-ROUND(C39,1)-ROUND(D39,1)-ROUND(E39,1)-ROUND(F39,1)-ROUND(G39,1)</f>
        <v>0</v>
      </c>
      <c r="R39" s="1837">
        <f t="shared" ref="R39" si="26">ROUND(N39,1)-ROUND(I39,1)-ROUND(J39,1)-ROUND(K39,1)-ROUND(L39,1)-ROUND(M39,1)</f>
        <v>0</v>
      </c>
      <c r="S39" s="1837">
        <f t="shared" ref="S39" si="27">ROUND(O39,1)-ROUND(H39,1)-ROUND(N39,1)</f>
        <v>0</v>
      </c>
    </row>
    <row r="40" spans="1:19" s="483" customFormat="1" ht="15" customHeight="1">
      <c r="A40" s="1782"/>
      <c r="B40" s="1783" t="s">
        <v>424</v>
      </c>
      <c r="C40" s="1784">
        <f>SUM('[75]1'!$C$68:$D$68)</f>
        <v>255.38475260999809</v>
      </c>
      <c r="D40" s="1784">
        <f>SUM('[75]1'!$C$69:$D$69)+SUM('[75]1'!$C$72:$D$72)+SUM('[75]1'!$C$95:$D$95)</f>
        <v>8265.0846628547315</v>
      </c>
      <c r="E40" s="1432">
        <f>SUM('[75]1'!$C$79:$D$83)+SUM('[75]1'!$C$89:$D$89)+SUM('[75]1'!$C$92:$D$92)</f>
        <v>19587.368301451384</v>
      </c>
      <c r="F40" s="1432">
        <f>SUM('[75]1'!$C$77:$D$78)+SUM('[75]1'!$C$86:$D$86)</f>
        <v>11042.439591676923</v>
      </c>
      <c r="G40" s="1432">
        <f>SUM('[75]1'!$C$93:$D$93)+SUM('[75]1'!$C$96:$D$97)</f>
        <v>3061.7965602329455</v>
      </c>
      <c r="H40" s="1432">
        <f>SUM('[75]1'!$C$98:$D$98)</f>
        <v>42212.073868825973</v>
      </c>
      <c r="I40" s="1784">
        <f>SUM('[75]1'!$E$69:$P$69)+SUM('[75]1'!$E$72:$P$72)</f>
        <v>5501.3501261500815</v>
      </c>
      <c r="J40" s="1784">
        <f>SUM('[75]1'!$E$76:$P$76)+0.01</f>
        <v>5796.7391758457634</v>
      </c>
      <c r="K40" s="1432">
        <f>SUM('[75]1'!$E$84:$P$84)</f>
        <v>13186.13315020096</v>
      </c>
      <c r="L40" s="1432">
        <f>SUM('[75]1'!$E$95:$P$95)</f>
        <v>1142.5383761148657</v>
      </c>
      <c r="M40" s="1241">
        <f>SUM('[75]1'!$E$93:$P$93)+SUM('[75]1'!$E$94:$P$94)+SUM('[75]1'!$E$97:$P$97)+0.03</f>
        <v>1268.451827243925</v>
      </c>
      <c r="N40" s="1784">
        <f>SUM('[75]1'!$E$98:$P$98)</f>
        <v>26895.172655555594</v>
      </c>
      <c r="O40" s="1241">
        <f>'[75]1'!$Q$98+0.01</f>
        <v>69107.256524381562</v>
      </c>
      <c r="P40" s="1432">
        <f>SUM('[75]1'!$Q$100:$Q$102)</f>
        <v>6545.4545365327549</v>
      </c>
      <c r="Q40" s="1837">
        <f t="shared" ref="Q40" si="28">ROUND(H40,1)-ROUND(C40,1)-ROUND(D40,1)-ROUND(E40,1)-ROUND(F40,1)-ROUND(G40,1)</f>
        <v>0</v>
      </c>
      <c r="R40" s="1837">
        <f t="shared" ref="R40" si="29">ROUND(N40,1)-ROUND(I40,1)-ROUND(J40,1)-ROUND(K40,1)-ROUND(L40,1)-ROUND(M40,1)</f>
        <v>1.8189894035458565E-12</v>
      </c>
      <c r="S40" s="1837">
        <f t="shared" ref="S40" si="30">ROUND(O40,1)-ROUND(H40,1)-ROUND(N40,1)</f>
        <v>0</v>
      </c>
    </row>
    <row r="41" spans="1:19" s="483" customFormat="1" ht="15" customHeight="1">
      <c r="A41" s="1782"/>
      <c r="B41" s="1783" t="s">
        <v>425</v>
      </c>
      <c r="C41" s="1784">
        <f>SUM('[76]1'!$C$68:$D$68)</f>
        <v>460.47599470095054</v>
      </c>
      <c r="D41" s="1784">
        <f>SUM('[76]1'!$C$69:$D$69)+SUM('[76]1'!$C$72:$D$72)+SUM('[76]1'!$C$95:$D$95)</f>
        <v>8454.2238056328697</v>
      </c>
      <c r="E41" s="1432">
        <f>SUM('[76]1'!$C$79:$D$83)+SUM('[76]1'!$C$89:$D$89)+SUM('[76]1'!$C$92:$D$92)</f>
        <v>19838.222935487087</v>
      </c>
      <c r="F41" s="1432">
        <f>SUM('[76]1'!$C$77:$D$78)+SUM('[76]1'!$C$86:$D$86)</f>
        <v>10974.71629861399</v>
      </c>
      <c r="G41" s="1432">
        <f>SUM('[76]1'!$C$93:$D$93)+SUM('[76]1'!$C$96:$D$97)</f>
        <v>3152.3679353328835</v>
      </c>
      <c r="H41" s="1432">
        <f>SUM('[76]1'!$C$98:$D$98)</f>
        <v>42880.006969767783</v>
      </c>
      <c r="I41" s="1784">
        <f>SUM('[76]1'!$E$69:$P$69)+SUM('[76]1'!$E$72:$P$72)</f>
        <v>4910.3345940239078</v>
      </c>
      <c r="J41" s="1784">
        <f>SUM('[76]1'!$E$76:$P$76)+0.01</f>
        <v>6169.5785967063603</v>
      </c>
      <c r="K41" s="1432">
        <f>SUM('[76]1'!$E$84:$P$84)</f>
        <v>12703.59290808946</v>
      </c>
      <c r="L41" s="1432">
        <f>SUM('[76]1'!$E$95:$P$95)</f>
        <v>1180.6768994349632</v>
      </c>
      <c r="M41" s="1432">
        <f>SUM('[76]1'!$E$93:$P$93)+SUM('[76]1'!$E$94:$P$94)+SUM('[76]1'!$E$97:$P$97)</f>
        <v>1409.9243752029352</v>
      </c>
      <c r="N41" s="1784">
        <f>SUM('[76]1'!$E$98:$P$98)</f>
        <v>26374.097373457626</v>
      </c>
      <c r="O41" s="1432">
        <f>'[76]1'!$Q$98</f>
        <v>69254.104343225408</v>
      </c>
      <c r="P41" s="1432">
        <f>SUM('[76]1'!$Q$100:$Q$102)</f>
        <v>5572.0409976146948</v>
      </c>
      <c r="Q41" s="1837">
        <f t="shared" ref="Q41" si="31">ROUND(H41,1)-ROUND(C41,1)-ROUND(D41,1)-ROUND(E41,1)-ROUND(F41,1)-ROUND(G41,1)</f>
        <v>0</v>
      </c>
      <c r="R41" s="1837">
        <f t="shared" ref="R41" si="32">ROUND(N41,1)-ROUND(I41,1)-ROUND(J41,1)-ROUND(K41,1)-ROUND(L41,1)-ROUND(M41,1)</f>
        <v>0</v>
      </c>
      <c r="S41" s="1837">
        <f t="shared" ref="S41" si="33">ROUND(O41,1)-ROUND(H41,1)-ROUND(N41,1)</f>
        <v>0</v>
      </c>
    </row>
    <row r="42" spans="1:19" s="483" customFormat="1" ht="15" customHeight="1">
      <c r="A42" s="1782"/>
      <c r="B42" s="1783" t="s">
        <v>426</v>
      </c>
      <c r="C42" s="1784">
        <f>SUM('[77]1'!$C$68:$D$68)</f>
        <v>457.76516054594873</v>
      </c>
      <c r="D42" s="1784">
        <f>SUM('[77]1'!$C$69:$D$69)+SUM('[77]1'!$C$72:$D$72)+SUM('[77]1'!$C$95:$D$95)</f>
        <v>8426.0072801913084</v>
      </c>
      <c r="E42" s="1432">
        <f>SUM('[77]1'!$C$79:$D$83)+SUM('[77]1'!$C$89:$D$89)+SUM('[77]1'!$C$92:$D$92)</f>
        <v>20069.161730708645</v>
      </c>
      <c r="F42" s="1432">
        <f>SUM('[77]1'!$C$77:$D$78)+SUM('[77]1'!$C$86:$D$86)</f>
        <v>11026.378813713434</v>
      </c>
      <c r="G42" s="1241">
        <f>SUM('[77]1'!$C$93:$D$93)+SUM('[77]1'!$C$96:$D$97)-0.01</f>
        <v>2748.1439055448764</v>
      </c>
      <c r="H42" s="1432">
        <f>SUM('[77]1'!$C$98:$D$98)</f>
        <v>42727.466890704221</v>
      </c>
      <c r="I42" s="1784">
        <f>SUM('[77]1'!$E$69:$P$69)+SUM('[77]1'!$E$72:$P$72)</f>
        <v>5862.2502810273381</v>
      </c>
      <c r="J42" s="1784">
        <f>SUM('[77]1'!$E$76:$P$76)+0.01</f>
        <v>6299.7079721460714</v>
      </c>
      <c r="K42" s="1432">
        <f>SUM('[77]1'!$E$84:$P$84)</f>
        <v>12701.237967112509</v>
      </c>
      <c r="L42" s="1432">
        <f>SUM('[77]1'!$E$95:$P$95)</f>
        <v>1387.318470700134</v>
      </c>
      <c r="M42" s="1432">
        <f>SUM('[77]1'!$E$93:$P$93)+SUM('[77]1'!$E$94:$P$94)+SUM('[77]1'!$E$97:$P$97)</f>
        <v>1528.4565967597007</v>
      </c>
      <c r="N42" s="1784">
        <f>SUM('[77]1'!$E$98:$P$98)</f>
        <v>27778.961287745755</v>
      </c>
      <c r="O42" s="1241">
        <f>'[77]1'!$Q$98+0.03</f>
        <v>70506.45817844999</v>
      </c>
      <c r="P42" s="1432">
        <f>SUM('[77]1'!$Q$100:$Q$102)</f>
        <v>5355.367763010534</v>
      </c>
      <c r="Q42" s="1837">
        <f t="shared" ref="Q42" si="34">ROUND(H42,1)-ROUND(C42,1)-ROUND(D42,1)-ROUND(E42,1)-ROUND(F42,1)-ROUND(G42,1)</f>
        <v>0</v>
      </c>
      <c r="R42" s="1837">
        <f t="shared" ref="R42" si="35">ROUND(N42,1)-ROUND(I42,1)-ROUND(J42,1)-ROUND(K42,1)-ROUND(L42,1)-ROUND(M42,1)</f>
        <v>0</v>
      </c>
      <c r="S42" s="1837">
        <f t="shared" ref="S42" si="36">ROUND(O42,1)-ROUND(H42,1)-ROUND(N42,1)</f>
        <v>0</v>
      </c>
    </row>
    <row r="43" spans="1:19" s="483" customFormat="1" ht="15" customHeight="1">
      <c r="A43" s="1782"/>
      <c r="B43" s="1783" t="s">
        <v>427</v>
      </c>
      <c r="C43" s="1545">
        <f>SUM('[78]1'!$C$68:$D$68)+0.01</f>
        <v>728.45573031462038</v>
      </c>
      <c r="D43" s="1784">
        <f>SUM('[78]1'!$C$69:$D$69)+SUM('[78]1'!$C$72:$D$72)+SUM('[78]1'!$C$95:$D$95)</f>
        <v>8067.2163880172648</v>
      </c>
      <c r="E43" s="1432">
        <f>SUM('[78]1'!$C$79:$D$83)+SUM('[78]1'!$C$89:$D$89)+SUM('[78]1'!$C$92:$D$92)</f>
        <v>20185.746229348064</v>
      </c>
      <c r="F43" s="1432">
        <f>SUM('[78]1'!$C$77:$D$78)+SUM('[78]1'!$C$86:$D$86)</f>
        <v>10901.282779476052</v>
      </c>
      <c r="G43" s="1432">
        <f>SUM('[78]1'!$C$93:$D$93)+SUM('[78]1'!$C$96:$D$97)</f>
        <v>2961.5051742119981</v>
      </c>
      <c r="H43" s="1432">
        <f>SUM('[78]1'!$C$98:$D$98)</f>
        <v>42844.196301368007</v>
      </c>
      <c r="I43" s="1784">
        <f>SUM('[78]1'!$E$69:$P$69)+SUM('[78]1'!$E$72:$P$72)</f>
        <v>5727.6565390087762</v>
      </c>
      <c r="J43" s="1784">
        <f>SUM('[78]1'!$E$76:$P$76)+0.01</f>
        <v>6357.7633861185241</v>
      </c>
      <c r="K43" s="1432">
        <f>SUM('[78]1'!$E$84:$P$84)</f>
        <v>12355.854915820088</v>
      </c>
      <c r="L43" s="1432">
        <f>SUM('[78]1'!$E$95:$P$95)</f>
        <v>1433.9713385590746</v>
      </c>
      <c r="M43" s="1432">
        <f>SUM('[78]1'!$E$93:$P$93)+SUM('[78]1'!$E$94:$P$94)+SUM('[78]1'!$E$97:$P$97)</f>
        <v>1272.8302961151048</v>
      </c>
      <c r="N43" s="1545">
        <f>SUM('[78]1'!$E$98:$P$98)+0.1</f>
        <v>27148.166475621569</v>
      </c>
      <c r="O43" s="1241">
        <f>'[78]1'!$Q$98+0.1</f>
        <v>69992.362776989583</v>
      </c>
      <c r="P43" s="1432">
        <f>SUM('[78]1'!$Q$100:$Q$102)</f>
        <v>5172.5114572328011</v>
      </c>
      <c r="Q43" s="1837">
        <f t="shared" ref="Q43" si="37">ROUND(H43,1)-ROUND(C43,1)-ROUND(D43,1)-ROUND(E43,1)-ROUND(F43,1)-ROUND(G43,1)</f>
        <v>0</v>
      </c>
      <c r="R43" s="1837">
        <f t="shared" ref="R43" si="38">ROUND(N43,1)-ROUND(I43,1)-ROUND(J43,1)-ROUND(K43,1)-ROUND(L43,1)-ROUND(M43,1)</f>
        <v>0</v>
      </c>
      <c r="S43" s="1837">
        <f t="shared" ref="S43" si="39">ROUND(O43,1)-ROUND(H43,1)-ROUND(N43,1)</f>
        <v>0</v>
      </c>
    </row>
    <row r="44" spans="1:19" ht="19.5" customHeight="1">
      <c r="A44" s="652" t="s">
        <v>1054</v>
      </c>
      <c r="B44" s="224"/>
      <c r="C44" s="224"/>
      <c r="D44" s="224"/>
      <c r="E44" s="224"/>
      <c r="F44" s="995"/>
      <c r="G44" s="995"/>
      <c r="H44" s="995"/>
      <c r="I44" s="995"/>
      <c r="J44" s="995"/>
      <c r="K44" s="995"/>
      <c r="L44" s="995"/>
      <c r="M44" s="995"/>
      <c r="N44" s="995"/>
      <c r="O44" s="996"/>
      <c r="P44" s="653" t="s">
        <v>1055</v>
      </c>
    </row>
    <row r="45" spans="1:19">
      <c r="A45" s="654" t="s">
        <v>1056</v>
      </c>
      <c r="F45" s="1657"/>
      <c r="O45" s="381"/>
      <c r="P45" s="381" t="s">
        <v>1057</v>
      </c>
    </row>
    <row r="46" spans="1:19">
      <c r="A46" s="654" t="s">
        <v>1058</v>
      </c>
      <c r="O46" s="381"/>
      <c r="P46" s="381" t="s">
        <v>1059</v>
      </c>
    </row>
    <row r="48" spans="1:19">
      <c r="A48" s="655" t="s">
        <v>1101</v>
      </c>
      <c r="B48" s="1"/>
      <c r="C48" s="1"/>
      <c r="D48" s="1"/>
      <c r="E48" s="1"/>
      <c r="F48" s="1"/>
      <c r="G48" s="1"/>
      <c r="H48" s="1"/>
      <c r="I48" s="1"/>
      <c r="J48" s="1"/>
      <c r="K48" s="1"/>
      <c r="L48" s="1"/>
      <c r="M48" s="1"/>
      <c r="N48" s="1"/>
      <c r="O48" s="1"/>
      <c r="P48" s="1"/>
    </row>
    <row r="49" spans="3:16">
      <c r="C49" s="146"/>
      <c r="D49" s="146"/>
      <c r="E49" s="146"/>
      <c r="F49" s="146"/>
      <c r="G49" s="146"/>
      <c r="H49" s="146"/>
      <c r="I49" s="146"/>
      <c r="J49" s="146"/>
      <c r="K49" s="146"/>
      <c r="L49" s="146"/>
      <c r="M49" s="146"/>
      <c r="N49" s="146"/>
      <c r="O49" s="146"/>
      <c r="P49" s="146"/>
    </row>
  </sheetData>
  <phoneticPr fontId="51" type="noConversion"/>
  <printOptions horizontalCentered="1" verticalCentered="1"/>
  <pageMargins left="0" right="0" top="0" bottom="0" header="0.5" footer="0.5"/>
  <pageSetup paperSize="9" scale="75"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tabColor rgb="FFFF0000"/>
    <pageSetUpPr fitToPage="1"/>
  </sheetPr>
  <dimension ref="A1:S48"/>
  <sheetViews>
    <sheetView zoomScale="75" zoomScaleNormal="75" workbookViewId="0">
      <pane ySplit="12" topLeftCell="A39" activePane="bottomLeft" state="frozen"/>
      <selection activeCell="B44" sqref="B44"/>
      <selection pane="bottomLeft" activeCell="E43" sqref="E43"/>
    </sheetView>
  </sheetViews>
  <sheetFormatPr defaultColWidth="8.81640625" defaultRowHeight="12.5"/>
  <cols>
    <col min="1" max="2" width="9.7265625" customWidth="1"/>
    <col min="3" max="3" width="11.453125" customWidth="1"/>
    <col min="4" max="4" width="12.7265625" customWidth="1"/>
    <col min="5" max="5" width="14" customWidth="1"/>
    <col min="6" max="6" width="14.7265625" customWidth="1"/>
    <col min="7" max="7" width="10.7265625" customWidth="1"/>
    <col min="8" max="8" width="14.26953125" customWidth="1"/>
    <col min="9" max="9" width="12" customWidth="1"/>
    <col min="10" max="10" width="12.7265625" customWidth="1"/>
    <col min="11" max="11" width="14" customWidth="1"/>
    <col min="12" max="12" width="12.7265625" customWidth="1"/>
    <col min="13" max="13" width="9.7265625" bestFit="1" customWidth="1"/>
    <col min="14" max="14" width="12" customWidth="1"/>
    <col min="15" max="15" width="12.7265625" customWidth="1"/>
    <col min="16" max="16" width="10.7265625" customWidth="1"/>
  </cols>
  <sheetData>
    <row r="1" spans="1:19" s="1104" customFormat="1" ht="18" customHeight="1">
      <c r="A1" s="1073" t="s">
        <v>1102</v>
      </c>
      <c r="B1" s="1090"/>
      <c r="C1" s="1090"/>
      <c r="D1" s="1090"/>
      <c r="E1" s="1090"/>
      <c r="F1" s="1090"/>
      <c r="G1" s="1090"/>
      <c r="H1" s="1090"/>
      <c r="I1" s="1090"/>
      <c r="J1" s="1090"/>
      <c r="K1" s="1090"/>
      <c r="L1" s="1090"/>
      <c r="M1" s="1090"/>
      <c r="N1" s="1090"/>
      <c r="O1" s="1090"/>
      <c r="P1" s="1090"/>
    </row>
    <row r="2" spans="1:19" s="1104" customFormat="1" ht="18" customHeight="1">
      <c r="A2" s="1105" t="s">
        <v>1099</v>
      </c>
      <c r="B2" s="1087"/>
      <c r="C2" s="1087"/>
      <c r="D2" s="1087"/>
      <c r="E2" s="1087"/>
      <c r="F2" s="1087"/>
      <c r="G2" s="1087"/>
      <c r="H2" s="1087"/>
      <c r="I2" s="1087"/>
      <c r="J2" s="1087"/>
      <c r="K2" s="1087"/>
      <c r="L2" s="1087"/>
      <c r="M2" s="1087"/>
      <c r="N2" s="1087"/>
      <c r="O2" s="1087"/>
      <c r="P2" s="1087"/>
    </row>
    <row r="3" spans="1:19" s="1104" customFormat="1" ht="18" customHeight="1">
      <c r="A3" s="1103" t="s">
        <v>1100</v>
      </c>
      <c r="B3" s="1087"/>
      <c r="C3" s="1087"/>
      <c r="D3" s="1087"/>
      <c r="E3" s="1087"/>
      <c r="F3" s="1087"/>
      <c r="G3" s="1087"/>
      <c r="H3" s="1087"/>
      <c r="I3" s="1087"/>
      <c r="J3" s="1087"/>
      <c r="K3" s="1087"/>
      <c r="L3" s="1087"/>
      <c r="M3" s="1087"/>
      <c r="N3" s="1087"/>
      <c r="O3" s="1087"/>
      <c r="P3" s="1087"/>
    </row>
    <row r="4" spans="1:19" s="1104" customFormat="1" ht="18" customHeight="1">
      <c r="A4" s="1073" t="s">
        <v>382</v>
      </c>
      <c r="B4" s="1090"/>
      <c r="C4" s="1090"/>
      <c r="D4" s="1090"/>
      <c r="E4" s="1090"/>
      <c r="F4" s="1090"/>
      <c r="G4" s="1090"/>
      <c r="H4" s="1090"/>
      <c r="I4" s="1090"/>
      <c r="J4" s="1090"/>
      <c r="K4" s="1090"/>
      <c r="L4" s="1090"/>
      <c r="M4" s="1090"/>
      <c r="N4" s="1090"/>
      <c r="O4" s="1090"/>
      <c r="P4" s="1090"/>
    </row>
    <row r="5" spans="1:19" s="1111" customFormat="1" ht="20.25" customHeight="1">
      <c r="A5" s="1154" t="s">
        <v>381</v>
      </c>
      <c r="B5" s="1081"/>
      <c r="C5" s="1081"/>
      <c r="D5" s="1081"/>
      <c r="E5" s="1081"/>
      <c r="F5" s="1081"/>
      <c r="G5" s="1081"/>
      <c r="H5" s="1081"/>
      <c r="I5" s="1081"/>
      <c r="J5" s="1081"/>
      <c r="K5" s="1081"/>
      <c r="L5" s="1081"/>
      <c r="M5" s="1081"/>
      <c r="N5" s="1081"/>
      <c r="O5" s="1081"/>
      <c r="P5" s="1081"/>
    </row>
    <row r="6" spans="1:19" ht="13.75" customHeight="1">
      <c r="A6" s="9" t="s">
        <v>784</v>
      </c>
      <c r="O6" s="9"/>
      <c r="P6" s="9" t="s">
        <v>1103</v>
      </c>
    </row>
    <row r="7" spans="1:19" s="1181" customFormat="1" ht="23.25" customHeight="1">
      <c r="A7" s="1172"/>
      <c r="B7" s="1173"/>
      <c r="C7" s="1174" t="s">
        <v>832</v>
      </c>
      <c r="D7" s="1175"/>
      <c r="E7" s="1176"/>
      <c r="F7" s="1176"/>
      <c r="G7" s="1176"/>
      <c r="H7" s="1177" t="s">
        <v>833</v>
      </c>
      <c r="I7" s="1178" t="s">
        <v>1066</v>
      </c>
      <c r="J7" s="1179"/>
      <c r="K7" s="1176"/>
      <c r="L7" s="1176"/>
      <c r="M7" s="1176"/>
      <c r="N7" s="1177" t="s">
        <v>1067</v>
      </c>
      <c r="O7" s="1180"/>
      <c r="P7" s="1180"/>
    </row>
    <row r="8" spans="1:19" s="41" customFormat="1" ht="16.5" customHeight="1">
      <c r="A8" s="641" t="s">
        <v>387</v>
      </c>
      <c r="B8" s="83"/>
      <c r="D8" s="310" t="s">
        <v>510</v>
      </c>
      <c r="E8" s="310"/>
      <c r="F8" s="310" t="s">
        <v>394</v>
      </c>
      <c r="G8" s="642"/>
      <c r="I8" s="310"/>
      <c r="J8" s="310"/>
      <c r="K8" s="642" t="s">
        <v>1041</v>
      </c>
      <c r="L8" s="310" t="s">
        <v>394</v>
      </c>
      <c r="M8" s="643"/>
      <c r="O8" s="65" t="s">
        <v>835</v>
      </c>
      <c r="P8" s="310" t="s">
        <v>1042</v>
      </c>
    </row>
    <row r="9" spans="1:19" s="41" customFormat="1" ht="16.5" customHeight="1">
      <c r="A9" s="64" t="s">
        <v>395</v>
      </c>
      <c r="B9" s="76"/>
      <c r="C9" s="310" t="s">
        <v>441</v>
      </c>
      <c r="D9" s="311" t="s">
        <v>787</v>
      </c>
      <c r="E9" s="311" t="s">
        <v>398</v>
      </c>
      <c r="F9" s="311" t="s">
        <v>1068</v>
      </c>
      <c r="G9" s="97" t="s">
        <v>788</v>
      </c>
      <c r="H9" s="310" t="s">
        <v>1069</v>
      </c>
      <c r="I9" s="310" t="s">
        <v>441</v>
      </c>
      <c r="J9" s="81" t="s">
        <v>854</v>
      </c>
      <c r="K9" s="310" t="s">
        <v>1043</v>
      </c>
      <c r="L9" s="311" t="s">
        <v>1068</v>
      </c>
      <c r="M9" s="643" t="s">
        <v>399</v>
      </c>
      <c r="N9" s="310" t="s">
        <v>390</v>
      </c>
      <c r="O9" s="310" t="s">
        <v>382</v>
      </c>
      <c r="P9" s="65" t="s">
        <v>1044</v>
      </c>
    </row>
    <row r="10" spans="1:19" s="41" customFormat="1" ht="16.5" customHeight="1">
      <c r="A10" s="84"/>
      <c r="B10" s="76"/>
      <c r="C10" s="645"/>
      <c r="D10" s="109" t="s">
        <v>790</v>
      </c>
      <c r="E10" s="109" t="s">
        <v>476</v>
      </c>
      <c r="F10" s="109" t="s">
        <v>411</v>
      </c>
      <c r="G10" s="656"/>
      <c r="H10" s="241"/>
      <c r="I10" s="645"/>
      <c r="J10" s="109"/>
      <c r="K10" s="241" t="s">
        <v>1047</v>
      </c>
      <c r="L10" s="109" t="s">
        <v>411</v>
      </c>
      <c r="M10" s="646"/>
      <c r="N10" s="241"/>
      <c r="O10" s="645" t="s">
        <v>400</v>
      </c>
      <c r="P10" s="645" t="s">
        <v>1048</v>
      </c>
    </row>
    <row r="11" spans="1:19" s="41" customFormat="1" ht="16.5" customHeight="1">
      <c r="A11" s="84"/>
      <c r="B11" s="76"/>
      <c r="C11" s="645" t="s">
        <v>413</v>
      </c>
      <c r="D11" s="109" t="s">
        <v>792</v>
      </c>
      <c r="E11" s="109" t="s">
        <v>516</v>
      </c>
      <c r="F11" s="109" t="s">
        <v>418</v>
      </c>
      <c r="G11" s="109" t="s">
        <v>407</v>
      </c>
      <c r="H11" s="241" t="s">
        <v>400</v>
      </c>
      <c r="I11" s="241" t="s">
        <v>413</v>
      </c>
      <c r="J11" s="109" t="s">
        <v>792</v>
      </c>
      <c r="K11" s="65" t="s">
        <v>1052</v>
      </c>
      <c r="L11" s="109" t="s">
        <v>418</v>
      </c>
      <c r="M11" s="646" t="s">
        <v>407</v>
      </c>
      <c r="N11" s="241" t="s">
        <v>400</v>
      </c>
      <c r="O11" s="241" t="s">
        <v>381</v>
      </c>
      <c r="P11" s="241" t="s">
        <v>771</v>
      </c>
    </row>
    <row r="12" spans="1:19" s="41" customFormat="1" ht="16.5" customHeight="1">
      <c r="A12" s="89"/>
      <c r="B12" s="100"/>
      <c r="C12" s="649" t="s">
        <v>820</v>
      </c>
      <c r="D12" s="142"/>
      <c r="E12" s="650"/>
      <c r="F12" s="657"/>
      <c r="G12" s="142"/>
      <c r="H12" s="141"/>
      <c r="I12" s="141"/>
      <c r="J12" s="142"/>
      <c r="K12" s="132"/>
      <c r="L12" s="119"/>
      <c r="M12" s="142"/>
      <c r="N12" s="141"/>
      <c r="O12" s="141" t="s">
        <v>819</v>
      </c>
      <c r="P12" s="141" t="s">
        <v>1053</v>
      </c>
    </row>
    <row r="13" spans="1:19" s="274" customFormat="1" ht="20.25" customHeight="1">
      <c r="A13" s="263">
        <v>2016</v>
      </c>
      <c r="B13" s="273"/>
      <c r="C13" s="1427">
        <v>2808.1265450605624</v>
      </c>
      <c r="D13" s="1427">
        <v>9657.9580489980453</v>
      </c>
      <c r="E13" s="1427">
        <v>1543.2992124664511</v>
      </c>
      <c r="F13" s="1427">
        <v>3124.2201250677854</v>
      </c>
      <c r="G13" s="1427">
        <v>650.68248832766426</v>
      </c>
      <c r="H13" s="1427">
        <v>17784.276419920512</v>
      </c>
      <c r="I13" s="1427">
        <v>2170.6594328236256</v>
      </c>
      <c r="J13" s="1427">
        <v>1316.8800125930354</v>
      </c>
      <c r="K13" s="1427">
        <v>754.59398919997318</v>
      </c>
      <c r="L13" s="1427">
        <v>3946.7296395681483</v>
      </c>
      <c r="M13" s="658">
        <v>317.25815851613697</v>
      </c>
      <c r="N13" s="1427">
        <v>8506.2012327009215</v>
      </c>
      <c r="O13" s="481">
        <v>26290.47765262143</v>
      </c>
      <c r="P13" s="1454">
        <f>SUM('[61]1'!$I$40:$I$42)</f>
        <v>500.0573229558936</v>
      </c>
      <c r="Q13" s="355"/>
      <c r="R13" s="355"/>
      <c r="S13" s="355"/>
    </row>
    <row r="14" spans="1:19" s="276" customFormat="1" ht="14.25" customHeight="1">
      <c r="A14" s="265">
        <v>2017</v>
      </c>
      <c r="B14" s="275"/>
      <c r="C14" s="1428">
        <v>2782.4644292720213</v>
      </c>
      <c r="D14" s="1428">
        <v>10523.743100082333</v>
      </c>
      <c r="E14" s="659">
        <v>1449.1910483419003</v>
      </c>
      <c r="F14" s="659">
        <v>3422.8719105847936</v>
      </c>
      <c r="G14" s="659">
        <v>684.43174972046609</v>
      </c>
      <c r="H14" s="659">
        <v>18862.702238001511</v>
      </c>
      <c r="I14" s="659">
        <v>2189.6096609167271</v>
      </c>
      <c r="J14" s="1428">
        <v>1567.0330521168528</v>
      </c>
      <c r="K14" s="659">
        <v>408.67949108830442</v>
      </c>
      <c r="L14" s="659">
        <v>3433.0369736222387</v>
      </c>
      <c r="M14" s="659">
        <v>284.45918301779483</v>
      </c>
      <c r="N14" s="659">
        <v>7882.8183607619176</v>
      </c>
      <c r="O14" s="659">
        <v>26745.520598763429</v>
      </c>
      <c r="P14" s="1454">
        <f>SUM('[62]1'!$I$40:$I$42)</f>
        <v>726.69582643533954</v>
      </c>
      <c r="Q14" s="355"/>
      <c r="R14" s="355"/>
      <c r="S14" s="355"/>
    </row>
    <row r="15" spans="1:19" s="889" customFormat="1" ht="14.25" customHeight="1">
      <c r="A15" s="884">
        <v>2018</v>
      </c>
      <c r="B15" s="885"/>
      <c r="C15" s="1431">
        <v>3298.3922684051067</v>
      </c>
      <c r="D15" s="1431">
        <v>10658.32677088996</v>
      </c>
      <c r="E15" s="685">
        <v>1457.8572165731014</v>
      </c>
      <c r="F15" s="685">
        <v>3287.5838046594868</v>
      </c>
      <c r="G15" s="685">
        <v>917.54257493251066</v>
      </c>
      <c r="H15" s="685">
        <v>19619.722635460166</v>
      </c>
      <c r="I15" s="685">
        <v>2411.7194159203059</v>
      </c>
      <c r="J15" s="1431">
        <v>1877.0206727024197</v>
      </c>
      <c r="K15" s="685">
        <v>368.46042397555516</v>
      </c>
      <c r="L15" s="685">
        <v>3356.4228835296044</v>
      </c>
      <c r="M15" s="685">
        <v>294.87963241310479</v>
      </c>
      <c r="N15" s="685">
        <v>8308.4730285409896</v>
      </c>
      <c r="O15" s="685">
        <v>27928.195664001156</v>
      </c>
      <c r="P15" s="1454">
        <f>SUM('[63]1'!$I$40:$I$42)</f>
        <v>863.93560726087571</v>
      </c>
      <c r="Q15" s="355"/>
      <c r="R15" s="355"/>
      <c r="S15" s="355"/>
    </row>
    <row r="16" spans="1:19" s="889" customFormat="1" ht="14.25" customHeight="1">
      <c r="A16" s="884">
        <v>2019</v>
      </c>
      <c r="B16" s="885"/>
      <c r="C16" s="1431">
        <v>2648.1251509171325</v>
      </c>
      <c r="D16" s="1431">
        <v>12215.44044754835</v>
      </c>
      <c r="E16" s="685">
        <v>1465.4896821406587</v>
      </c>
      <c r="F16" s="685">
        <v>3528.6022478184514</v>
      </c>
      <c r="G16" s="685">
        <v>1091.1179279307084</v>
      </c>
      <c r="H16" s="685">
        <v>20948.745456355307</v>
      </c>
      <c r="I16" s="685">
        <v>5246.9232433291145</v>
      </c>
      <c r="J16" s="1431">
        <v>1981.6908049802964</v>
      </c>
      <c r="K16" s="685">
        <v>471.99059004027674</v>
      </c>
      <c r="L16" s="685">
        <v>3197.5152318289965</v>
      </c>
      <c r="M16" s="685">
        <v>235.7177895254012</v>
      </c>
      <c r="N16" s="685">
        <v>11133.887659704085</v>
      </c>
      <c r="O16" s="685">
        <v>32082.633116059391</v>
      </c>
      <c r="P16" s="1454">
        <f>SUM('[64]1'!$I$40:$I$42)</f>
        <v>759.70140558993626</v>
      </c>
      <c r="Q16" s="355"/>
      <c r="R16" s="355"/>
      <c r="S16" s="355"/>
    </row>
    <row r="17" spans="1:19" s="889" customFormat="1" ht="14.25" customHeight="1">
      <c r="A17" s="884">
        <v>2020</v>
      </c>
      <c r="B17" s="885"/>
      <c r="C17" s="1431">
        <v>2816.7169051047181</v>
      </c>
      <c r="D17" s="1431">
        <v>13113.569616804331</v>
      </c>
      <c r="E17" s="685">
        <v>1172.6932473231223</v>
      </c>
      <c r="F17" s="685">
        <v>2941.6005236347742</v>
      </c>
      <c r="G17" s="685">
        <v>1308.0551920424421</v>
      </c>
      <c r="H17" s="685">
        <v>21352.655484909385</v>
      </c>
      <c r="I17" s="685">
        <v>4024.0438308358389</v>
      </c>
      <c r="J17" s="1431">
        <v>2604.4013560606354</v>
      </c>
      <c r="K17" s="685">
        <v>604.85678452347008</v>
      </c>
      <c r="L17" s="685">
        <v>2718.0570703134777</v>
      </c>
      <c r="M17" s="685">
        <v>307.3380540978518</v>
      </c>
      <c r="N17" s="685">
        <v>10258.677095831274</v>
      </c>
      <c r="O17" s="685">
        <v>31611.382580740654</v>
      </c>
      <c r="P17" s="1454">
        <f>SUM('[65]1'!$I$40:$I$42)</f>
        <v>819.92092452229599</v>
      </c>
      <c r="Q17" s="355"/>
      <c r="R17" s="355"/>
      <c r="S17" s="355"/>
    </row>
    <row r="18" spans="1:19" s="889" customFormat="1" ht="14.25" customHeight="1">
      <c r="A18" s="884">
        <v>2021</v>
      </c>
      <c r="B18" s="885"/>
      <c r="C18" s="1431">
        <v>3245.7588134885691</v>
      </c>
      <c r="D18" s="1431">
        <v>14533.68937072066</v>
      </c>
      <c r="E18" s="685">
        <v>1086.9578953738028</v>
      </c>
      <c r="F18" s="685">
        <v>2737.9019001063134</v>
      </c>
      <c r="G18" s="685">
        <v>1018.0906603466869</v>
      </c>
      <c r="H18" s="685">
        <v>22622.458640036035</v>
      </c>
      <c r="I18" s="685">
        <v>5826.2275112204197</v>
      </c>
      <c r="J18" s="1431">
        <v>3314.4066355169757</v>
      </c>
      <c r="K18" s="685">
        <v>734.85057526395326</v>
      </c>
      <c r="L18" s="685">
        <v>1837.063740502321</v>
      </c>
      <c r="M18" s="685">
        <v>219.7144119713642</v>
      </c>
      <c r="N18" s="685">
        <v>11932.262874475033</v>
      </c>
      <c r="O18" s="685">
        <v>34554.801514509956</v>
      </c>
      <c r="P18" s="1454">
        <f>SUM('[66]1'!$I$40:$I$42)</f>
        <v>640.04642634880315</v>
      </c>
      <c r="Q18" s="355"/>
      <c r="R18" s="355"/>
      <c r="S18" s="355"/>
    </row>
    <row r="19" spans="1:19" s="483" customFormat="1" ht="14.25" customHeight="1">
      <c r="A19" s="1782">
        <v>2022</v>
      </c>
      <c r="B19" s="1783"/>
      <c r="C19" s="1784">
        <v>3876.7492942223089</v>
      </c>
      <c r="D19" s="1432">
        <v>14311.411305187155</v>
      </c>
      <c r="E19" s="1432">
        <v>965.11924333900538</v>
      </c>
      <c r="F19" s="1432">
        <v>3530.1717745519736</v>
      </c>
      <c r="G19" s="1432">
        <v>1420.7930555898947</v>
      </c>
      <c r="H19" s="1432">
        <v>24104.244672890338</v>
      </c>
      <c r="I19" s="1432">
        <v>6877.1166952142748</v>
      </c>
      <c r="J19" s="1784">
        <v>3146.7126503923055</v>
      </c>
      <c r="K19" s="1432">
        <v>787.3988433238776</v>
      </c>
      <c r="L19" s="1432">
        <v>577.0597078589783</v>
      </c>
      <c r="M19" s="1432">
        <v>572.55347112472168</v>
      </c>
      <c r="N19" s="1432">
        <v>11960.921367914159</v>
      </c>
      <c r="O19" s="1432">
        <v>36065.066040804501</v>
      </c>
      <c r="P19" s="1454">
        <v>548.76655183907974</v>
      </c>
    </row>
    <row r="20" spans="1:19" s="483" customFormat="1" ht="14.25" customHeight="1">
      <c r="A20" s="1782">
        <v>2023</v>
      </c>
      <c r="B20" s="1783"/>
      <c r="C20" s="1784">
        <v>3355.7990370976386</v>
      </c>
      <c r="D20" s="1784">
        <v>14516.281554268764</v>
      </c>
      <c r="E20" s="1432">
        <v>1019.2075178131645</v>
      </c>
      <c r="F20" s="1432">
        <v>3403.3167497559962</v>
      </c>
      <c r="G20" s="1432">
        <v>1463.3493064448742</v>
      </c>
      <c r="H20" s="1432">
        <v>23757.944165380439</v>
      </c>
      <c r="I20" s="1432">
        <v>7103.0113365120742</v>
      </c>
      <c r="J20" s="1784">
        <v>5105.8678003462264</v>
      </c>
      <c r="K20" s="1432">
        <v>857.39851003021454</v>
      </c>
      <c r="L20" s="1432">
        <v>555.52267761903204</v>
      </c>
      <c r="M20" s="1432">
        <v>854.71192167085132</v>
      </c>
      <c r="N20" s="1432">
        <v>14476.462246178398</v>
      </c>
      <c r="O20" s="1432">
        <v>38234.416411558843</v>
      </c>
      <c r="P20" s="1454">
        <v>454.26916329993622</v>
      </c>
    </row>
    <row r="21" spans="1:19" s="483" customFormat="1" ht="14.25" customHeight="1">
      <c r="A21" s="1782">
        <v>2024</v>
      </c>
      <c r="B21" s="1783"/>
      <c r="C21" s="1784">
        <v>4562.3217298076315</v>
      </c>
      <c r="D21" s="1784">
        <v>19936.770069994003</v>
      </c>
      <c r="E21" s="1432">
        <v>1593.563847750612</v>
      </c>
      <c r="F21" s="1432">
        <v>3626.0125184576232</v>
      </c>
      <c r="G21" s="1432">
        <v>1360.5001635101908</v>
      </c>
      <c r="H21" s="1432">
        <v>31079.16832952006</v>
      </c>
      <c r="I21" s="1432">
        <v>17736.727415640569</v>
      </c>
      <c r="J21" s="1784">
        <v>7357.8589559839838</v>
      </c>
      <c r="K21" s="1432">
        <v>677.02146712126023</v>
      </c>
      <c r="L21" s="1432">
        <v>5799.2745308849589</v>
      </c>
      <c r="M21" s="1432">
        <v>704.32554133858866</v>
      </c>
      <c r="N21" s="1432">
        <v>32275.207910969362</v>
      </c>
      <c r="O21" s="1432">
        <v>63354.376240489422</v>
      </c>
      <c r="P21" s="1454">
        <v>7099.9859692193722</v>
      </c>
    </row>
    <row r="22" spans="1:19" s="483" customFormat="1" ht="14.25" customHeight="1">
      <c r="A22" s="2058">
        <v>2025</v>
      </c>
      <c r="B22" s="2200"/>
      <c r="C22" s="2201">
        <f t="shared" ref="C22:P22" si="0">C29</f>
        <v>5917.6053432477056</v>
      </c>
      <c r="D22" s="2201">
        <f t="shared" si="0"/>
        <v>20663.914405030075</v>
      </c>
      <c r="E22" s="2202">
        <f t="shared" si="0"/>
        <v>1251.3529959863563</v>
      </c>
      <c r="F22" s="2202">
        <f t="shared" si="0"/>
        <v>3708.6448094659472</v>
      </c>
      <c r="G22" s="2202">
        <f t="shared" si="0"/>
        <v>1468.0733909537407</v>
      </c>
      <c r="H22" s="2202">
        <f t="shared" si="0"/>
        <v>33009.600944683829</v>
      </c>
      <c r="I22" s="2202">
        <f t="shared" si="0"/>
        <v>18084.148589047938</v>
      </c>
      <c r="J22" s="2201">
        <f t="shared" si="0"/>
        <v>9521.6440770185673</v>
      </c>
      <c r="K22" s="2202">
        <f t="shared" si="0"/>
        <v>336.52680588653305</v>
      </c>
      <c r="L22" s="2202">
        <f t="shared" si="0"/>
        <v>5916.1853665733297</v>
      </c>
      <c r="M22" s="2202">
        <f t="shared" si="0"/>
        <v>192.87284557808007</v>
      </c>
      <c r="N22" s="2202">
        <f t="shared" si="0"/>
        <v>34051.327684104443</v>
      </c>
      <c r="O22" s="2202">
        <f t="shared" si="0"/>
        <v>67060.928628788271</v>
      </c>
      <c r="P22" s="2337">
        <f t="shared" si="0"/>
        <v>7250.3602279886054</v>
      </c>
    </row>
    <row r="23" spans="1:19" s="889" customFormat="1" ht="21" customHeight="1">
      <c r="A23" s="884">
        <v>2024</v>
      </c>
      <c r="B23" s="885" t="s">
        <v>243</v>
      </c>
      <c r="C23" s="1431">
        <v>4223.3182859601202</v>
      </c>
      <c r="D23" s="1431">
        <v>19905.569637026336</v>
      </c>
      <c r="E23" s="685">
        <v>1355.893866060133</v>
      </c>
      <c r="F23" s="685">
        <v>3370.5225278299172</v>
      </c>
      <c r="G23" s="685">
        <v>1598.7243011239507</v>
      </c>
      <c r="H23" s="685">
        <v>30454.028618000462</v>
      </c>
      <c r="I23" s="685">
        <v>16546.460251607063</v>
      </c>
      <c r="J23" s="1431">
        <v>7771.5684879357323</v>
      </c>
      <c r="K23" s="685">
        <v>628.95118638307463</v>
      </c>
      <c r="L23" s="685">
        <v>5192.2041104544796</v>
      </c>
      <c r="M23" s="685">
        <v>1109.5008843083958</v>
      </c>
      <c r="N23" s="685">
        <v>31248.754920688742</v>
      </c>
      <c r="O23" s="685">
        <v>61702.783538689204</v>
      </c>
      <c r="P23" s="1454">
        <v>5853.5287673456805</v>
      </c>
      <c r="Q23" s="355"/>
      <c r="R23" s="355"/>
      <c r="S23" s="355"/>
    </row>
    <row r="24" spans="1:19" s="889" customFormat="1" ht="15" customHeight="1">
      <c r="A24" s="884"/>
      <c r="B24" s="885" t="s">
        <v>240</v>
      </c>
      <c r="C24" s="1431">
        <v>4602.3040107294382</v>
      </c>
      <c r="D24" s="1431">
        <v>20377.4300162459</v>
      </c>
      <c r="E24" s="685">
        <v>1588.5648083490692</v>
      </c>
      <c r="F24" s="685">
        <v>3477.5340150437787</v>
      </c>
      <c r="G24" s="685">
        <v>1759.5522010900063</v>
      </c>
      <c r="H24" s="685">
        <v>31805.385051458194</v>
      </c>
      <c r="I24" s="685">
        <v>15479.084720333196</v>
      </c>
      <c r="J24" s="1431">
        <v>7366.0241449047335</v>
      </c>
      <c r="K24" s="685">
        <v>706.70281009499172</v>
      </c>
      <c r="L24" s="685">
        <v>5416.440257044088</v>
      </c>
      <c r="M24" s="685">
        <v>1536.8574827639441</v>
      </c>
      <c r="N24" s="685">
        <v>30505.10941514096</v>
      </c>
      <c r="O24" s="685">
        <v>62310.494466599135</v>
      </c>
      <c r="P24" s="1454">
        <v>5986.1897349339097</v>
      </c>
      <c r="Q24" s="355"/>
      <c r="R24" s="355"/>
      <c r="S24" s="355"/>
    </row>
    <row r="25" spans="1:19" s="889" customFormat="1" ht="15" customHeight="1">
      <c r="A25" s="884"/>
      <c r="B25" s="885" t="s">
        <v>241</v>
      </c>
      <c r="C25" s="1431">
        <v>4562.3217298076315</v>
      </c>
      <c r="D25" s="1431">
        <v>19936.770069994003</v>
      </c>
      <c r="E25" s="685">
        <v>1593.563847750612</v>
      </c>
      <c r="F25" s="685">
        <v>3626.0125184576232</v>
      </c>
      <c r="G25" s="685">
        <v>1360.5001635101908</v>
      </c>
      <c r="H25" s="685">
        <v>31079.16832952006</v>
      </c>
      <c r="I25" s="685">
        <v>17736.727415640569</v>
      </c>
      <c r="J25" s="1431">
        <v>7357.8589559839838</v>
      </c>
      <c r="K25" s="685">
        <v>677.02146712126023</v>
      </c>
      <c r="L25" s="685">
        <v>5799.2745308849589</v>
      </c>
      <c r="M25" s="685">
        <v>704.32554133858866</v>
      </c>
      <c r="N25" s="685">
        <v>32275.207910969362</v>
      </c>
      <c r="O25" s="685">
        <v>63354.376240489422</v>
      </c>
      <c r="P25" s="1454">
        <v>7099.9859692193722</v>
      </c>
      <c r="Q25" s="355"/>
      <c r="R25" s="355"/>
      <c r="S25" s="355"/>
    </row>
    <row r="26" spans="1:19" s="889" customFormat="1" ht="21" customHeight="1">
      <c r="A26" s="884">
        <v>2025</v>
      </c>
      <c r="B26" s="885" t="s">
        <v>242</v>
      </c>
      <c r="C26" s="1431">
        <v>5699.4442318190668</v>
      </c>
      <c r="D26" s="1431">
        <v>19937.105545862887</v>
      </c>
      <c r="E26" s="685">
        <v>1513.3904585456385</v>
      </c>
      <c r="F26" s="685">
        <v>3232.0817427092165</v>
      </c>
      <c r="G26" s="685">
        <v>2009.6329206256423</v>
      </c>
      <c r="H26" s="685">
        <v>32391.624899562448</v>
      </c>
      <c r="I26" s="685">
        <v>15775.613840548498</v>
      </c>
      <c r="J26" s="1431">
        <v>6722.3657276824924</v>
      </c>
      <c r="K26" s="685">
        <v>788.22835129553869</v>
      </c>
      <c r="L26" s="685">
        <v>5468.1974600100002</v>
      </c>
      <c r="M26" s="685">
        <v>370.14424267327962</v>
      </c>
      <c r="N26" s="685">
        <v>29124.529622209808</v>
      </c>
      <c r="O26" s="685">
        <v>61516.104521772264</v>
      </c>
      <c r="P26" s="1454">
        <v>7914.1785332618256</v>
      </c>
      <c r="Q26" s="355"/>
      <c r="R26" s="355"/>
      <c r="S26" s="355"/>
    </row>
    <row r="27" spans="1:19" s="889" customFormat="1" ht="15" customHeight="1">
      <c r="A27" s="884"/>
      <c r="B27" s="885" t="s">
        <v>243</v>
      </c>
      <c r="C27" s="1431">
        <v>5759.4064604318282</v>
      </c>
      <c r="D27" s="1431">
        <v>20013.796662639001</v>
      </c>
      <c r="E27" s="685">
        <v>1405.2976167792563</v>
      </c>
      <c r="F27" s="685">
        <v>3487.7965950408598</v>
      </c>
      <c r="G27" s="685">
        <v>1531.5401166807576</v>
      </c>
      <c r="H27" s="685">
        <v>32197.847451571703</v>
      </c>
      <c r="I27" s="685">
        <v>17929.553531658446</v>
      </c>
      <c r="J27" s="1431">
        <v>7097.315652403815</v>
      </c>
      <c r="K27" s="685">
        <v>1025.7562867582783</v>
      </c>
      <c r="L27" s="685">
        <v>5927.5188164748433</v>
      </c>
      <c r="M27" s="685">
        <v>292.29646471656287</v>
      </c>
      <c r="N27" s="685">
        <v>32272.460752011943</v>
      </c>
      <c r="O27" s="685">
        <v>64470.288203583637</v>
      </c>
      <c r="P27" s="1454">
        <v>7761.1637619448184</v>
      </c>
      <c r="Q27" s="355"/>
      <c r="R27" s="355"/>
      <c r="S27" s="355"/>
    </row>
    <row r="28" spans="1:19" s="889" customFormat="1" ht="15" customHeight="1">
      <c r="A28" s="884"/>
      <c r="B28" s="885" t="s">
        <v>240</v>
      </c>
      <c r="C28" s="1431">
        <f t="shared" ref="C28:P28" si="1">C35</f>
        <v>5880.0501049236827</v>
      </c>
      <c r="D28" s="1431">
        <f t="shared" si="1"/>
        <v>20092.048809434069</v>
      </c>
      <c r="E28" s="685">
        <f t="shared" si="1"/>
        <v>1380.5200631453999</v>
      </c>
      <c r="F28" s="685">
        <f t="shared" si="1"/>
        <v>3627.2970871792568</v>
      </c>
      <c r="G28" s="685">
        <f t="shared" si="1"/>
        <v>1486.2753438507189</v>
      </c>
      <c r="H28" s="685">
        <f t="shared" si="1"/>
        <v>32466.191408533123</v>
      </c>
      <c r="I28" s="685">
        <f t="shared" si="1"/>
        <v>18266.141163692773</v>
      </c>
      <c r="J28" s="1431">
        <f t="shared" si="1"/>
        <v>8223.3757204002723</v>
      </c>
      <c r="K28" s="685">
        <f t="shared" si="1"/>
        <v>1192.8481617984883</v>
      </c>
      <c r="L28" s="685">
        <f t="shared" si="1"/>
        <v>6074.9583086717385</v>
      </c>
      <c r="M28" s="685">
        <f t="shared" si="1"/>
        <v>316.12091436945542</v>
      </c>
      <c r="N28" s="685">
        <f t="shared" si="1"/>
        <v>34073.444268932733</v>
      </c>
      <c r="O28" s="685">
        <f t="shared" si="1"/>
        <v>66539.635677465849</v>
      </c>
      <c r="P28" s="1454">
        <f t="shared" si="1"/>
        <v>7349.6691770874295</v>
      </c>
      <c r="Q28" s="355"/>
      <c r="R28" s="355"/>
      <c r="S28" s="355"/>
    </row>
    <row r="29" spans="1:19" s="889" customFormat="1" ht="15" customHeight="1">
      <c r="A29" s="884"/>
      <c r="B29" s="885" t="s">
        <v>241</v>
      </c>
      <c r="C29" s="1431">
        <f t="shared" ref="C29:P29" si="2">C38</f>
        <v>5917.6053432477056</v>
      </c>
      <c r="D29" s="1431">
        <f t="shared" si="2"/>
        <v>20663.914405030075</v>
      </c>
      <c r="E29" s="685">
        <f t="shared" si="2"/>
        <v>1251.3529959863563</v>
      </c>
      <c r="F29" s="685">
        <f t="shared" si="2"/>
        <v>3708.6448094659472</v>
      </c>
      <c r="G29" s="685">
        <f t="shared" si="2"/>
        <v>1468.0733909537407</v>
      </c>
      <c r="H29" s="685">
        <f t="shared" si="2"/>
        <v>33009.600944683829</v>
      </c>
      <c r="I29" s="685">
        <f t="shared" si="2"/>
        <v>18084.148589047938</v>
      </c>
      <c r="J29" s="1431">
        <f t="shared" si="2"/>
        <v>9521.6440770185673</v>
      </c>
      <c r="K29" s="685">
        <f t="shared" si="2"/>
        <v>336.52680588653305</v>
      </c>
      <c r="L29" s="685">
        <f t="shared" si="2"/>
        <v>5916.1853665733297</v>
      </c>
      <c r="M29" s="685">
        <f t="shared" si="2"/>
        <v>192.87284557808007</v>
      </c>
      <c r="N29" s="685">
        <f t="shared" si="2"/>
        <v>34051.327684104443</v>
      </c>
      <c r="O29" s="685">
        <f t="shared" si="2"/>
        <v>67060.928628788271</v>
      </c>
      <c r="P29" s="1454">
        <f t="shared" si="2"/>
        <v>7250.3602279886054</v>
      </c>
      <c r="Q29" s="355"/>
      <c r="R29" s="355"/>
      <c r="S29" s="355"/>
    </row>
    <row r="30" spans="1:19" s="889" customFormat="1" ht="21" customHeight="1">
      <c r="A30" s="1681">
        <v>2026</v>
      </c>
      <c r="B30" s="1687" t="s">
        <v>242</v>
      </c>
      <c r="C30" s="1781">
        <f t="shared" ref="C30:P30" si="3">C41</f>
        <v>6011.5377109973488</v>
      </c>
      <c r="D30" s="1781">
        <f t="shared" si="3"/>
        <v>21558.214997773943</v>
      </c>
      <c r="E30" s="1777">
        <f t="shared" si="3"/>
        <v>1164.6759949258783</v>
      </c>
      <c r="F30" s="1777">
        <f t="shared" si="3"/>
        <v>3422.8831969647672</v>
      </c>
      <c r="G30" s="1777">
        <f t="shared" si="3"/>
        <v>1548.3297851167474</v>
      </c>
      <c r="H30" s="1777">
        <f t="shared" si="3"/>
        <v>33705.641685778683</v>
      </c>
      <c r="I30" s="1777">
        <f t="shared" si="3"/>
        <v>19423.815859088583</v>
      </c>
      <c r="J30" s="1781">
        <f t="shared" si="3"/>
        <v>9587.2028690403349</v>
      </c>
      <c r="K30" s="1777">
        <f t="shared" si="3"/>
        <v>357.05230756692026</v>
      </c>
      <c r="L30" s="1777">
        <f t="shared" si="3"/>
        <v>5579.2327688660571</v>
      </c>
      <c r="M30" s="1777">
        <f t="shared" si="3"/>
        <v>601.24608632866375</v>
      </c>
      <c r="N30" s="1777">
        <f t="shared" si="3"/>
        <v>35548.549890890557</v>
      </c>
      <c r="O30" s="1777">
        <f t="shared" si="3"/>
        <v>69254.141576669237</v>
      </c>
      <c r="P30" s="2337">
        <f t="shared" si="3"/>
        <v>5593.8362869649509</v>
      </c>
      <c r="Q30" s="355"/>
      <c r="R30" s="355"/>
      <c r="S30" s="355"/>
    </row>
    <row r="31" spans="1:19" s="483" customFormat="1" ht="21" customHeight="1">
      <c r="A31" s="1782">
        <v>2025</v>
      </c>
      <c r="B31" s="1783" t="s">
        <v>427</v>
      </c>
      <c r="C31" s="1784">
        <v>5823.4467544886147</v>
      </c>
      <c r="D31" s="1784">
        <v>20271.873814085018</v>
      </c>
      <c r="E31" s="1432">
        <v>1533.0752458369416</v>
      </c>
      <c r="F31" s="1432">
        <v>3316.5367051936632</v>
      </c>
      <c r="G31" s="1432">
        <v>1464.6244181902687</v>
      </c>
      <c r="H31" s="1432">
        <v>32409.536937794499</v>
      </c>
      <c r="I31" s="1432">
        <v>16666.335596410438</v>
      </c>
      <c r="J31" s="1784">
        <v>6519.3868892264363</v>
      </c>
      <c r="K31" s="1432">
        <v>785.04246557114288</v>
      </c>
      <c r="L31" s="1432">
        <v>5730.9858458029848</v>
      </c>
      <c r="M31" s="1432">
        <v>467.40366104524571</v>
      </c>
      <c r="N31" s="1432">
        <v>30169.144458056253</v>
      </c>
      <c r="O31" s="1432">
        <v>62578.641395850747</v>
      </c>
      <c r="P31" s="1505">
        <v>7108.4059396885332</v>
      </c>
      <c r="Q31" s="1837">
        <v>-3.1832314562052488E-12</v>
      </c>
      <c r="R31" s="1837">
        <v>0</v>
      </c>
      <c r="S31" s="1837">
        <v>0</v>
      </c>
    </row>
    <row r="32" spans="1:19" s="483" customFormat="1" ht="15" customHeight="1">
      <c r="A32" s="1782"/>
      <c r="B32" s="1783" t="s">
        <v>428</v>
      </c>
      <c r="C32" s="1784">
        <f>SUM('[67]1'!$C$14:$D$14)+SUM('[67]1'!$C$18:$D$18)+SUM('[67]1'!$C$30:$D$30)+SUM('[67]1'!$C$33:$D$33)</f>
        <v>5759.4064604318282</v>
      </c>
      <c r="D32" s="1784">
        <f>SUM('[67]1'!$C$25:$D$29)</f>
        <v>20013.796662639001</v>
      </c>
      <c r="E32" s="1432">
        <f>SUM('[67]1'!$C$23:$D$24)</f>
        <v>1405.2976167792563</v>
      </c>
      <c r="F32" s="1432">
        <f>SUM('[67]1'!$C$34:$D$34)+SUM('[67]1'!$C$36:$D$36)</f>
        <v>3487.7965950408598</v>
      </c>
      <c r="G32" s="1241">
        <f>SUM('[67]1'!$C$31:$D$31)+SUM('[67]1'!$C$37:$D$37)-0.01</f>
        <v>1531.5401166807576</v>
      </c>
      <c r="H32" s="1432">
        <f>SUM('[67]1'!$C$38:$D$38)</f>
        <v>32197.847451571703</v>
      </c>
      <c r="I32" s="1432">
        <f>SUM('[67]1'!$E$14:$P$14)+SUM('[67]1'!$E$18:$P$18)+SUM('[67]1'!$E$30:$P$30)</f>
        <v>17929.553531658446</v>
      </c>
      <c r="J32" s="1784">
        <f>SUM('[67]1'!$E$22:$P$22)</f>
        <v>7097.315652403815</v>
      </c>
      <c r="K32" s="1432">
        <f>SUM('[67]1'!$E$33:$P$33)</f>
        <v>1025.7562867582783</v>
      </c>
      <c r="L32" s="1432">
        <f>SUM('[67]1'!$E$34:$P$34)+SUM('[67]1'!$E$36:$P$36)</f>
        <v>5927.5188164748433</v>
      </c>
      <c r="M32" s="1432">
        <f>SUM('[67]1'!$E$31:$P$31)+SUM('[67]1'!$E$32:$P$32)+SUM('[67]1'!$E$37:$P$37)</f>
        <v>292.29646471656287</v>
      </c>
      <c r="N32" s="1241">
        <f>SUM('[67]1'!$E$38:$P$38)+0.02</f>
        <v>32272.460752011943</v>
      </c>
      <c r="O32" s="1432">
        <f>'[67]1'!$Q$38</f>
        <v>64470.288203583637</v>
      </c>
      <c r="P32" s="1505">
        <f>SUM('[67]1'!$Q$40:$Q$42)</f>
        <v>7761.1637619448184</v>
      </c>
      <c r="Q32" s="1837">
        <f t="shared" ref="Q32" si="4">ROUND(H32,1)-ROUND(C32,1)-ROUND(D32,1)-ROUND(E32,1)-ROUND(F32,1)-ROUND(G32,1)</f>
        <v>1.8189894035458565E-12</v>
      </c>
      <c r="R32" s="1837">
        <f t="shared" ref="R32" si="5">ROUND(N32,1)-ROUND(I32,1)-ROUND(J32,1)-ROUND(K32,1)-ROUND(L32,1)-ROUND(M32,1)</f>
        <v>1.0800249583553523E-12</v>
      </c>
      <c r="S32" s="1837">
        <f t="shared" ref="S32" si="6">ROUND(O32,1)-ROUND(H32,1)-ROUND(N32,1)</f>
        <v>0</v>
      </c>
    </row>
    <row r="33" spans="1:19" s="483" customFormat="1" ht="15" customHeight="1">
      <c r="A33" s="1782"/>
      <c r="B33" s="1783" t="s">
        <v>429</v>
      </c>
      <c r="C33" s="1784">
        <f>SUM('[68]1'!$C$14:$D$14)+SUM('[68]1'!$C$18:$D$18)+SUM('[68]1'!$C$30:$D$30)+SUM('[68]1'!$C$33:$D$33)</f>
        <v>6031.0213226840624</v>
      </c>
      <c r="D33" s="1784">
        <f>SUM('[68]1'!$C$25:$D$29)</f>
        <v>19551.028257805287</v>
      </c>
      <c r="E33" s="1432">
        <f>SUM('[68]1'!$C$23:$D$24)</f>
        <v>1530.6885597907717</v>
      </c>
      <c r="F33" s="1432">
        <f>SUM('[68]1'!$C$34:$D$34)+SUM('[68]1'!$C$36:$D$36)</f>
        <v>3565.8460345079848</v>
      </c>
      <c r="G33" s="1241">
        <f>SUM('[68]1'!$C$31:$D$31)+SUM('[68]1'!$C$37:$D$37)+0.01</f>
        <v>1543.7571498482091</v>
      </c>
      <c r="H33" s="1432">
        <f>SUM('[68]1'!$C$38:$D$38)</f>
        <v>32222.33132463631</v>
      </c>
      <c r="I33" s="1432">
        <f>SUM('[68]1'!$E$14:$P$14)+SUM('[68]1'!$E$18:$P$18)+SUM('[68]1'!$E$30:$P$30)</f>
        <v>17828.805819746038</v>
      </c>
      <c r="J33" s="1784">
        <f>SUM('[68]1'!$E$22:$P$22)</f>
        <v>7695.2617726303133</v>
      </c>
      <c r="K33" s="1432">
        <f>SUM('[68]1'!$E$33:$P$33)</f>
        <v>1279.1144423574283</v>
      </c>
      <c r="L33" s="1432">
        <f>SUM('[68]1'!$E$34:$P$34)+SUM('[68]1'!$E$36:$P$36)</f>
        <v>6003.4364762356108</v>
      </c>
      <c r="M33" s="1241">
        <f>SUM('[68]1'!$E$31:$P$31)+SUM('[68]1'!$E$32:$P$32)+SUM('[68]1'!$E$37:$P$37)+0.01</f>
        <v>277.85832632808274</v>
      </c>
      <c r="N33" s="1432">
        <f>SUM('[68]1'!$E$38:$P$38)</f>
        <v>33084.46683729747</v>
      </c>
      <c r="O33" s="1432">
        <f>'[68]1'!$Q$38</f>
        <v>65306.798161933781</v>
      </c>
      <c r="P33" s="1505">
        <f>SUM('[68]1'!$Q$40:$Q$42)</f>
        <v>7357.2193948115146</v>
      </c>
      <c r="Q33" s="1837">
        <f t="shared" ref="Q33" si="7">ROUND(H33,1)-ROUND(C33,1)-ROUND(D33,1)-ROUND(E33,1)-ROUND(F33,1)-ROUND(G33,1)</f>
        <v>0</v>
      </c>
      <c r="R33" s="1837">
        <f t="shared" ref="R33" si="8">ROUND(N33,1)-ROUND(I33,1)-ROUND(J33,1)-ROUND(K33,1)-ROUND(L33,1)-ROUND(M33,1)</f>
        <v>1.4779288903810084E-12</v>
      </c>
      <c r="S33" s="1837">
        <f t="shared" ref="S33" si="9">ROUND(O33,1)-ROUND(H33,1)-ROUND(N33,1)</f>
        <v>0</v>
      </c>
    </row>
    <row r="34" spans="1:19" s="483" customFormat="1" ht="15" customHeight="1">
      <c r="A34" s="1782"/>
      <c r="B34" s="1783" t="s">
        <v>430</v>
      </c>
      <c r="C34" s="1784">
        <f>SUM('[69]1'!$C$14:$D$14)+SUM('[69]1'!$C$18:$D$18)+SUM('[69]1'!$C$30:$D$30)+SUM('[69]1'!$C$33:$D$33)</f>
        <v>5981.4584712719898</v>
      </c>
      <c r="D34" s="1784">
        <f>SUM('[69]1'!$C$25:$D$29)</f>
        <v>19626.364134964151</v>
      </c>
      <c r="E34" s="1432">
        <f>SUM('[69]1'!$C$23:$D$24)</f>
        <v>1417.2177024611715</v>
      </c>
      <c r="F34" s="1432">
        <f>SUM('[69]1'!$C$34:$D$34)+SUM('[69]1'!$C$36:$D$36)</f>
        <v>3552.1308634062575</v>
      </c>
      <c r="G34" s="1432">
        <f>SUM('[69]1'!$C$31:$D$31)+SUM('[69]1'!$C$37:$D$37)</f>
        <v>1524.5157056924602</v>
      </c>
      <c r="H34" s="1432">
        <f>SUM('[69]1'!$C$38:$D$38)</f>
        <v>32101.686877796026</v>
      </c>
      <c r="I34" s="1241">
        <f>SUM('[69]1'!$E$14:$P$14)+SUM('[69]1'!$E$18:$P$18)+SUM('[69]1'!$E$30:$P$30)-0.01</f>
        <v>18091.24324157336</v>
      </c>
      <c r="J34" s="1784">
        <f>SUM('[69]1'!$E$22:$P$22)</f>
        <v>7916.2985242706882</v>
      </c>
      <c r="K34" s="1432">
        <f>SUM('[69]1'!$E$33:$P$33)</f>
        <v>1279.1144423574283</v>
      </c>
      <c r="L34" s="1432">
        <f>SUM('[69]1'!$E$34:$P$34)+SUM('[69]1'!$E$36:$P$36)</f>
        <v>5985.7635561343695</v>
      </c>
      <c r="M34" s="1432">
        <f>SUM('[69]1'!$E$31:$P$31)+SUM('[69]1'!$E$32:$P$32)+SUM('[69]1'!$E$37:$P$37)</f>
        <v>297.02676347228146</v>
      </c>
      <c r="N34" s="1241">
        <f>SUM('[69]1'!$E$38:$P$38)-0.02</f>
        <v>33569.436527808131</v>
      </c>
      <c r="O34" s="1432">
        <f>'[69]1'!$Q$38</f>
        <v>65671.143405604162</v>
      </c>
      <c r="P34" s="1505">
        <f>SUM('[69]1'!$Q$40:$Q$42)</f>
        <v>7679.7223960506826</v>
      </c>
      <c r="Q34" s="1837">
        <f t="shared" ref="Q34" si="10">ROUND(H34,1)-ROUND(C34,1)-ROUND(D34,1)-ROUND(E34,1)-ROUND(F34,1)-ROUND(G34,1)</f>
        <v>0</v>
      </c>
      <c r="R34" s="1837">
        <f t="shared" ref="R34" si="11">ROUND(N34,1)-ROUND(I34,1)-ROUND(J34,1)-ROUND(K34,1)-ROUND(L34,1)-ROUND(M34,1)</f>
        <v>9.0949470177292824E-13</v>
      </c>
      <c r="S34" s="1837">
        <f t="shared" ref="S34" si="12">ROUND(O34,1)-ROUND(H34,1)-ROUND(N34,1)</f>
        <v>0</v>
      </c>
    </row>
    <row r="35" spans="1:19" s="483" customFormat="1" ht="15" customHeight="1">
      <c r="A35" s="1782"/>
      <c r="B35" s="1783" t="s">
        <v>431</v>
      </c>
      <c r="C35" s="1784">
        <f>SUM('[70]1'!$C$14:$D$14)+SUM('[70]1'!$C$18:$D$18)+SUM('[70]1'!$C$30:$D$30)+SUM('[70]1'!$C$33:$D$33)</f>
        <v>5880.0501049236827</v>
      </c>
      <c r="D35" s="1784">
        <f>SUM('[70]1'!$C$25:$D$29)</f>
        <v>20092.048809434069</v>
      </c>
      <c r="E35" s="1432">
        <f>SUM('[70]1'!$C$23:$D$24)</f>
        <v>1380.5200631453999</v>
      </c>
      <c r="F35" s="1432">
        <f>SUM('[70]1'!$C$34:$D$34)+SUM('[70]1'!$C$36:$D$36)</f>
        <v>3627.2970871792568</v>
      </c>
      <c r="G35" s="1432">
        <f>SUM('[70]1'!$C$31:$D$31)+SUM('[70]1'!$C$37:$D$37)</f>
        <v>1486.2753438507189</v>
      </c>
      <c r="H35" s="1432">
        <f>SUM('[70]1'!$C$38:$D$38)</f>
        <v>32466.191408533123</v>
      </c>
      <c r="I35" s="1241">
        <f>SUM('[70]1'!$E$14:$P$14)+SUM('[70]1'!$E$18:$P$18)+SUM('[70]1'!$E$30:$P$30)-0.02</f>
        <v>18266.141163692773</v>
      </c>
      <c r="J35" s="1784">
        <f>SUM('[70]1'!$E$22:$P$22)</f>
        <v>8223.3757204002723</v>
      </c>
      <c r="K35" s="1432">
        <f>SUM('[70]1'!$E$33:$P$33)</f>
        <v>1192.8481617984883</v>
      </c>
      <c r="L35" s="1432">
        <f>SUM('[70]1'!$E$34:$P$34)+SUM('[70]1'!$E$36:$P$36)</f>
        <v>6074.9583086717385</v>
      </c>
      <c r="M35" s="1432">
        <f>SUM('[70]1'!$E$31:$P$31)+SUM('[70]1'!$E$32:$P$32)+SUM('[70]1'!$E$37:$P$37)</f>
        <v>316.12091436945542</v>
      </c>
      <c r="N35" s="1241">
        <f>SUM('[70]1'!$E$38:$P$38)-0.02</f>
        <v>34073.444268932733</v>
      </c>
      <c r="O35" s="1241">
        <f>'[70]1'!$Q$38-0.02</f>
        <v>66539.635677465849</v>
      </c>
      <c r="P35" s="1505">
        <f>SUM('[70]1'!$Q$40:$Q$42)</f>
        <v>7349.6691770874295</v>
      </c>
      <c r="Q35" s="1837">
        <f t="shared" ref="Q35" si="13">ROUND(H35,1)-ROUND(C35,1)-ROUND(D35,1)-ROUND(E35,1)-ROUND(F35,1)-ROUND(G35,1)</f>
        <v>0</v>
      </c>
      <c r="R35" s="1837">
        <f t="shared" ref="R35" si="14">ROUND(N35,1)-ROUND(I35,1)-ROUND(J35,1)-ROUND(K35,1)-ROUND(L35,1)-ROUND(M35,1)</f>
        <v>3.0695446184836328E-12</v>
      </c>
      <c r="S35" s="1837">
        <f t="shared" ref="S35" si="15">ROUND(O35,1)-ROUND(H35,1)-ROUND(N35,1)</f>
        <v>0</v>
      </c>
    </row>
    <row r="36" spans="1:19" s="483" customFormat="1" ht="15" customHeight="1">
      <c r="A36" s="1782"/>
      <c r="B36" s="1783" t="s">
        <v>420</v>
      </c>
      <c r="C36" s="1784">
        <f>SUM('[71]1'!$C$14:$D$14)+SUM('[71]1'!$C$18:$D$18)+SUM('[71]1'!$C$30:$D$30)+SUM('[71]1'!$C$33:$D$33)</f>
        <v>5764.1164106948454</v>
      </c>
      <c r="D36" s="1545">
        <f>SUM('[71]1'!$C$25:$D$29)-0.01</f>
        <v>19813.344155729905</v>
      </c>
      <c r="E36" s="1432">
        <f>SUM('[71]1'!$C$23:$D$24)</f>
        <v>1316.757093442553</v>
      </c>
      <c r="F36" s="1432">
        <f>SUM('[71]1'!$C$34:$D$34)+SUM('[71]1'!$C$36:$D$36)</f>
        <v>3751.1524472792953</v>
      </c>
      <c r="G36" s="1432">
        <f>SUM('[71]1'!$C$31:$D$31)+SUM('[71]1'!$C$37:$D$37)</f>
        <v>1529.3461138872387</v>
      </c>
      <c r="H36" s="1432">
        <f>SUM('[71]1'!$C$38:$D$38)</f>
        <v>32174.726221033838</v>
      </c>
      <c r="I36" s="1432">
        <f>SUM('[71]1'!$E$14:$P$14)+SUM('[71]1'!$E$18:$P$18)+SUM('[71]1'!$E$30:$P$30)</f>
        <v>17622.367624646096</v>
      </c>
      <c r="J36" s="1784">
        <f>SUM('[71]1'!$E$22:$P$22)</f>
        <v>8604.9351384701858</v>
      </c>
      <c r="K36" s="1432">
        <f>SUM('[71]1'!$E$33:$P$33)</f>
        <v>1261.0534601714307</v>
      </c>
      <c r="L36" s="1432">
        <f>SUM('[71]1'!$E$34:$P$34)+SUM('[71]1'!$E$36:$P$36)</f>
        <v>6034.7164253678511</v>
      </c>
      <c r="M36" s="1432">
        <f>SUM('[71]1'!$E$31:$P$31)+SUM('[71]1'!$E$32:$P$32)+SUM('[71]1'!$E$37:$P$37)</f>
        <v>326.02633864885695</v>
      </c>
      <c r="N36" s="1432">
        <f>SUM('[71]1'!$E$38:$P$38)</f>
        <v>33849.098987304416</v>
      </c>
      <c r="O36" s="1432">
        <f>'[71]1'!$Q$38</f>
        <v>66023.825208338254</v>
      </c>
      <c r="P36" s="1505">
        <f>SUM('[71]1'!$Q$40:$Q$42)</f>
        <v>7136.3698914346933</v>
      </c>
      <c r="Q36" s="1837">
        <f t="shared" ref="Q36" si="16">ROUND(H36,1)-ROUND(C36,1)-ROUND(D36,1)-ROUND(E36,1)-ROUND(F36,1)-ROUND(G36,1)</f>
        <v>0</v>
      </c>
      <c r="R36" s="1837">
        <f t="shared" ref="R36" si="17">ROUND(N36,1)-ROUND(I36,1)-ROUND(J36,1)-ROUND(K36,1)-ROUND(L36,1)-ROUND(M36,1)</f>
        <v>-2.7284841053187847E-12</v>
      </c>
      <c r="S36" s="1837">
        <f t="shared" ref="S36" si="18">ROUND(O36,1)-ROUND(H36,1)-ROUND(N36,1)</f>
        <v>0</v>
      </c>
    </row>
    <row r="37" spans="1:19" s="483" customFormat="1" ht="15" customHeight="1">
      <c r="A37" s="1782"/>
      <c r="B37" s="1783" t="s">
        <v>421</v>
      </c>
      <c r="C37" s="1784">
        <f>SUM('[72]1'!$C$14:$D$14)+SUM('[72]1'!$C$18:$D$18)+SUM('[72]1'!$C$30:$D$30)+SUM('[72]1'!$C$33:$D$33)</f>
        <v>6032.5587910218528</v>
      </c>
      <c r="D37" s="1784">
        <f>SUM('[72]1'!$C$25:$D$29)</f>
        <v>19969.938454394112</v>
      </c>
      <c r="E37" s="1241">
        <f>SUM('[72]1'!$C$23:$D$24)-0.03</f>
        <v>1267.7447511126861</v>
      </c>
      <c r="F37" s="1432">
        <f>SUM('[72]1'!$C$34:$D$34)+SUM('[72]1'!$C$36:$D$36)</f>
        <v>3823.9762641382094</v>
      </c>
      <c r="G37" s="1432">
        <f>SUM('[72]1'!$C$31:$D$31)+SUM('[72]1'!$C$37:$D$37)</f>
        <v>1552.9864543171645</v>
      </c>
      <c r="H37" s="1432">
        <f>SUM('[72]1'!$C$38:$D$38)</f>
        <v>32647.234714984028</v>
      </c>
      <c r="I37" s="1432">
        <f>SUM('[72]1'!$E$14:$P$14)+SUM('[72]1'!$E$18:$P$18)+SUM('[72]1'!$E$30:$P$30)</f>
        <v>18177.655566420421</v>
      </c>
      <c r="J37" s="1784">
        <f>SUM('[72]1'!$E$22:$P$22)</f>
        <v>9752.0197873834331</v>
      </c>
      <c r="K37" s="1432">
        <f>SUM('[72]1'!$E$33:$P$33)</f>
        <v>1278.3963891543219</v>
      </c>
      <c r="L37" s="1432">
        <f>SUM('[72]1'!$E$34:$P$34)+SUM('[72]1'!$E$36:$P$36)</f>
        <v>6022.9847574192081</v>
      </c>
      <c r="M37" s="1432">
        <f>SUM('[72]1'!$E$31:$P$31)+SUM('[72]1'!$E$32:$P$32)+SUM('[72]1'!$E$37:$P$37)</f>
        <v>348.54575680403491</v>
      </c>
      <c r="N37" s="1432">
        <f>SUM('[72]1'!$E$38:$P$38)</f>
        <v>35579.602257181417</v>
      </c>
      <c r="O37" s="1432">
        <f>'[72]1'!$Q$38</f>
        <v>68226.836972165445</v>
      </c>
      <c r="P37" s="1505">
        <f>SUM('[72]1'!$Q$40:$Q$42)</f>
        <v>7073.6603355584957</v>
      </c>
      <c r="Q37" s="1837">
        <f t="shared" ref="Q37" si="19">ROUND(H37,1)-ROUND(C37,1)-ROUND(D37,1)-ROUND(E37,1)-ROUND(F37,1)-ROUND(G37,1)</f>
        <v>-2.7284841053187847E-12</v>
      </c>
      <c r="R37" s="1837">
        <f t="shared" ref="R37" si="20">ROUND(N37,1)-ROUND(I37,1)-ROUND(J37,1)-ROUND(K37,1)-ROUND(L37,1)-ROUND(M37,1)</f>
        <v>-1.8189894035458565E-12</v>
      </c>
      <c r="S37" s="1837">
        <f t="shared" ref="S37" si="21">ROUND(O37,1)-ROUND(H37,1)-ROUND(N37,1)</f>
        <v>0</v>
      </c>
    </row>
    <row r="38" spans="1:19" s="483" customFormat="1" ht="15" customHeight="1">
      <c r="A38" s="1782"/>
      <c r="B38" s="1783" t="s">
        <v>422</v>
      </c>
      <c r="C38" s="1784">
        <f>SUM('[73]1'!$C$14:$D$14)+SUM('[73]1'!$C$18:$D$18)+SUM('[73]1'!$C$30:$D$30)+SUM('[73]1'!$C$33:$D$33)</f>
        <v>5917.6053432477056</v>
      </c>
      <c r="D38" s="1784">
        <f>SUM('[73]1'!$C$25:$D$29)</f>
        <v>20663.914405030075</v>
      </c>
      <c r="E38" s="1432">
        <f>SUM('[73]1'!$C$23:$D$24)</f>
        <v>1251.3529959863563</v>
      </c>
      <c r="F38" s="1241">
        <f>SUM('[73]1'!$C$34:$D$34)+SUM('[73]1'!$C$36:$D$36)-0.01</f>
        <v>3708.6448094659472</v>
      </c>
      <c r="G38" s="1432">
        <f>SUM('[73]1'!$C$31:$D$31)+SUM('[73]1'!$C$37:$D$37)</f>
        <v>1468.0733909537407</v>
      </c>
      <c r="H38" s="1432">
        <f>SUM('[73]1'!$C$38:$D$38)</f>
        <v>33009.600944683829</v>
      </c>
      <c r="I38" s="1432">
        <f>SUM('[73]1'!$E$14:$P$14)+SUM('[73]1'!$E$18:$P$18)+SUM('[73]1'!$E$30:$P$30)</f>
        <v>18084.148589047938</v>
      </c>
      <c r="J38" s="1784">
        <f>SUM('[73]1'!$E$22:$P$22)</f>
        <v>9521.6440770185673</v>
      </c>
      <c r="K38" s="1432">
        <f>SUM('[73]1'!$E$33:$P$33)</f>
        <v>336.52680588653305</v>
      </c>
      <c r="L38" s="1432">
        <f>SUM('[73]1'!$E$34:$P$34)+SUM('[73]1'!$E$36:$P$36)</f>
        <v>5916.1853665733297</v>
      </c>
      <c r="M38" s="1432">
        <f>SUM('[73]1'!$E$31:$P$31)+SUM('[73]1'!$E$32:$P$32)+SUM('[73]1'!$E$37:$P$37)</f>
        <v>192.87284557808007</v>
      </c>
      <c r="N38" s="1241">
        <f>SUM('[73]1'!$E$38:$P$38)-0.05</f>
        <v>34051.327684104443</v>
      </c>
      <c r="O38" s="1241">
        <f>'[73]1'!$Q$38-0.05</f>
        <v>67060.928628788271</v>
      </c>
      <c r="P38" s="1505">
        <f>SUM('[73]1'!$Q$40:$Q$42)</f>
        <v>7250.3602279886054</v>
      </c>
      <c r="Q38" s="1837">
        <f t="shared" ref="Q38" si="22">ROUND(H38,1)-ROUND(C38,1)-ROUND(D38,1)-ROUND(E38,1)-ROUND(F38,1)-ROUND(G38,1)</f>
        <v>0</v>
      </c>
      <c r="R38" s="1837">
        <f t="shared" ref="R38" si="23">ROUND(N38,1)-ROUND(I38,1)-ROUND(J38,1)-ROUND(K38,1)-ROUND(L38,1)-ROUND(M38,1)</f>
        <v>4.1779912862693891E-12</v>
      </c>
      <c r="S38" s="1837">
        <f t="shared" ref="S38" si="24">ROUND(O38,1)-ROUND(H38,1)-ROUND(N38,1)</f>
        <v>0</v>
      </c>
    </row>
    <row r="39" spans="1:19" s="483" customFormat="1" ht="21" customHeight="1">
      <c r="A39" s="1782">
        <v>2026</v>
      </c>
      <c r="B39" s="1783" t="s">
        <v>423</v>
      </c>
      <c r="C39" s="1784">
        <f>SUM('[74]1'!$C$14:$D$14)+SUM('[74]1'!$C$18:$D$18)+SUM('[74]1'!$C$30:$D$30)+SUM('[74]1'!$C$33:$D$33)</f>
        <v>5999.5330530274987</v>
      </c>
      <c r="D39" s="1784">
        <f>SUM('[74]1'!$C$25:$D$29)</f>
        <v>20518.758573414063</v>
      </c>
      <c r="E39" s="1432">
        <f>SUM('[74]1'!$C$23:$D$24)</f>
        <v>1178.4272992548938</v>
      </c>
      <c r="F39" s="1432">
        <f>SUM('[74]1'!$C$34:$D$34)+SUM('[74]1'!$C$36:$D$36)</f>
        <v>3827.3002069798658</v>
      </c>
      <c r="G39" s="1432">
        <f>SUM('[74]1'!$C$31:$D$31)+SUM('[74]1'!$C$37:$D$37)</f>
        <v>1548.1771996964512</v>
      </c>
      <c r="H39" s="1432">
        <f>SUM('[74]1'!$C$38:$D$38)</f>
        <v>33072.196332372776</v>
      </c>
      <c r="I39" s="1432">
        <f>SUM('[74]1'!$E$14:$P$14)+SUM('[74]1'!$E$18:$P$18)+SUM('[74]1'!$E$30:$P$30)</f>
        <v>18208.352355733728</v>
      </c>
      <c r="J39" s="1784">
        <f>SUM('[74]1'!$E$22:$P$22)</f>
        <v>9867.8442197387922</v>
      </c>
      <c r="K39" s="1432">
        <f>SUM('[74]1'!$E$33:$P$33)-0.05</f>
        <v>341.04165026318975</v>
      </c>
      <c r="L39" s="1432">
        <f>SUM('[74]1'!$E$34:$P$34)+SUM('[74]1'!$E$36:$P$36)</f>
        <v>5929.3178745467958</v>
      </c>
      <c r="M39" s="1241">
        <f>SUM('[74]1'!$E$31:$P$31)+SUM('[74]1'!$E$32:$P$32)+SUM('[74]1'!$E$37:$P$37)+0.02</f>
        <v>213.45845234461675</v>
      </c>
      <c r="N39" s="1432">
        <f>SUM('[74]1'!$E$38:$P$38)</f>
        <v>34560.044552627121</v>
      </c>
      <c r="O39" s="1241">
        <f>'[74]1'!$Q$38-0.09</f>
        <v>67632.150884999894</v>
      </c>
      <c r="P39" s="1505">
        <f>SUM('[74]1'!$Q$40:$Q$42)</f>
        <v>6819.6170586999251</v>
      </c>
      <c r="Q39" s="1837">
        <f t="shared" ref="Q39" si="25">ROUND(H39,1)-ROUND(C39,1)-ROUND(D39,1)-ROUND(E39,1)-ROUND(F39,1)-ROUND(G39,1)</f>
        <v>-2.0463630789890885E-12</v>
      </c>
      <c r="R39" s="1837">
        <f t="shared" ref="R39" si="26">ROUND(N39,1)-ROUND(I39,1)-ROUND(J39,1)-ROUND(K39,1)-ROUND(L39,1)-ROUND(M39,1)</f>
        <v>-9.0949470177292824E-13</v>
      </c>
      <c r="S39" s="1837">
        <f t="shared" ref="S39" si="27">ROUND(O39,1)-ROUND(H39,1)-ROUND(N39,1)</f>
        <v>0</v>
      </c>
    </row>
    <row r="40" spans="1:19" s="483" customFormat="1" ht="15" customHeight="1">
      <c r="A40" s="1782"/>
      <c r="B40" s="1783" t="s">
        <v>424</v>
      </c>
      <c r="C40" s="1784">
        <f>SUM('[75]1'!$C$14:$D$14)+SUM('[75]1'!$C$18:$D$18)+SUM('[75]1'!$C$30:$D$30)+SUM('[75]1'!$C$33:$D$33)</f>
        <v>5825.4902696898444</v>
      </c>
      <c r="D40" s="1784">
        <f>SUM('[75]1'!$C$25:$D$29)</f>
        <v>21230.8355439884</v>
      </c>
      <c r="E40" s="1432">
        <f>SUM('[75]1'!$C$23:$D$24)</f>
        <v>1180.271091386463</v>
      </c>
      <c r="F40" s="1432">
        <f>SUM('[75]1'!$C$34:$D$34)+SUM('[75]1'!$C$36:$D$36)</f>
        <v>3843.3621031952466</v>
      </c>
      <c r="G40" s="1432">
        <f>SUM('[75]1'!$C$31:$D$31)+SUM('[75]1'!$C$37:$D$37)</f>
        <v>1469.832625954743</v>
      </c>
      <c r="H40" s="1432">
        <f>SUM('[75]1'!$C$38:$D$38)</f>
        <v>33549.7916342147</v>
      </c>
      <c r="I40" s="1432">
        <f>SUM('[75]1'!$E$14:$P$14)+SUM('[75]1'!$E$18:$P$18)+SUM('[75]1'!$E$30:$P$30)</f>
        <v>18356.500086804775</v>
      </c>
      <c r="J40" s="1784">
        <f>SUM('[75]1'!$E$22:$P$22)</f>
        <v>10617.365107588048</v>
      </c>
      <c r="K40" s="1432">
        <f>SUM('[75]1'!$E$33:$P$33)-0.05</f>
        <v>378.16590601959928</v>
      </c>
      <c r="L40" s="1241">
        <f>SUM('[75]1'!$E$34:$P$34)+SUM('[75]1'!$E$36:$P$36)-0.01</f>
        <v>5923.2428501507893</v>
      </c>
      <c r="M40" s="1241">
        <f>SUM('[75]1'!$E$31:$P$31)+SUM('[75]1'!$E$32:$P$32)+SUM('[75]1'!$E$37:$P$37)-0.02</f>
        <v>282.2487722585301</v>
      </c>
      <c r="N40" s="1241">
        <f>SUM('[75]1'!$E$38:$P$38)-0.06</f>
        <v>35557.542722821745</v>
      </c>
      <c r="O40" s="1241">
        <f>'[75]1'!$Q$38-0.05</f>
        <v>69107.344357036447</v>
      </c>
      <c r="P40" s="1505">
        <f>SUM('[75]1'!$Q$40:$Q$42)</f>
        <v>6580.0034210498179</v>
      </c>
      <c r="Q40" s="1837">
        <f t="shared" ref="Q40" si="28">ROUND(H40,1)-ROUND(C40,1)-ROUND(D40,1)-ROUND(E40,1)-ROUND(F40,1)-ROUND(G40,1)</f>
        <v>3.4106051316484809E-12</v>
      </c>
      <c r="R40" s="1837">
        <f t="shared" ref="R40" si="29">ROUND(N40,1)-ROUND(I40,1)-ROUND(J40,1)-ROUND(K40,1)-ROUND(L40,1)-ROUND(M40,1)</f>
        <v>7.3896444519050419E-13</v>
      </c>
      <c r="S40" s="1837">
        <f t="shared" ref="S40" si="30">ROUND(O40,1)-ROUND(H40,1)-ROUND(N40,1)</f>
        <v>0</v>
      </c>
    </row>
    <row r="41" spans="1:19" s="483" customFormat="1" ht="15" customHeight="1">
      <c r="A41" s="1782"/>
      <c r="B41" s="1783" t="s">
        <v>425</v>
      </c>
      <c r="C41" s="1784">
        <f>SUM('[76]1'!$C$14:$D$14)+SUM('[76]1'!$C$18:$D$18)+SUM('[76]1'!$C$30:$D$30)+SUM('[76]1'!$C$33:$D$33)</f>
        <v>6011.5377109973488</v>
      </c>
      <c r="D41" s="1784">
        <f>SUM('[76]1'!$C$25:$D$29)</f>
        <v>21558.214997773943</v>
      </c>
      <c r="E41" s="1432">
        <f>SUM('[76]1'!$C$23:$D$24)</f>
        <v>1164.6759949258783</v>
      </c>
      <c r="F41" s="1432">
        <f>SUM('[76]1'!$C$34:$D$34)+SUM('[76]1'!$C$36:$D$36)</f>
        <v>3422.8831969647672</v>
      </c>
      <c r="G41" s="1432">
        <f>SUM('[76]1'!$C$31:$D$31)+SUM('[76]1'!$C$37:$D$37)</f>
        <v>1548.3297851167474</v>
      </c>
      <c r="H41" s="1432">
        <f>SUM('[76]1'!$C$38:$D$38)</f>
        <v>33705.641685778683</v>
      </c>
      <c r="I41" s="1432">
        <f>SUM('[76]1'!$E$14:$P$14)+SUM('[76]1'!$E$18:$P$18)+SUM('[76]1'!$E$30:$P$30)</f>
        <v>19423.815859088583</v>
      </c>
      <c r="J41" s="1784">
        <f>SUM('[76]1'!$E$22:$P$22)</f>
        <v>9587.2028690403349</v>
      </c>
      <c r="K41" s="1432">
        <f>SUM('[76]1'!$E$33:$P$33)-0.05</f>
        <v>357.05230756692026</v>
      </c>
      <c r="L41" s="1432">
        <f>SUM('[76]1'!$E$34:$P$34)+SUM('[76]1'!$E$36:$P$36)</f>
        <v>5579.2327688660571</v>
      </c>
      <c r="M41" s="1432">
        <f>SUM('[76]1'!$E$31:$P$31)+SUM('[76]1'!$E$32:$P$32)+SUM('[76]1'!$E$37:$P$37)</f>
        <v>601.24608632866375</v>
      </c>
      <c r="N41" s="1241">
        <f>SUM('[76]1'!$E$38:$P$38)-0.05</f>
        <v>35548.549890890557</v>
      </c>
      <c r="O41" s="1241">
        <f>'[76]1'!$Q$38-0.1</f>
        <v>69254.141576669237</v>
      </c>
      <c r="P41" s="1505">
        <f>SUM('[76]1'!$Q$40:$Q$42)</f>
        <v>5593.8362869649509</v>
      </c>
      <c r="Q41" s="1837">
        <f t="shared" ref="Q41" si="31">ROUND(H41,1)-ROUND(C41,1)-ROUND(D41,1)-ROUND(E41,1)-ROUND(F41,1)-ROUND(G41,1)</f>
        <v>-2.0463630789890885E-12</v>
      </c>
      <c r="R41" s="1837">
        <f t="shared" ref="R41" si="32">ROUND(N41,1)-ROUND(I41,1)-ROUND(J41,1)-ROUND(K41,1)-ROUND(L41,1)-ROUND(M41,1)</f>
        <v>0</v>
      </c>
      <c r="S41" s="1837">
        <f t="shared" ref="S41" si="33">ROUND(O41,1)-ROUND(H41,1)-ROUND(N41,1)</f>
        <v>0</v>
      </c>
    </row>
    <row r="42" spans="1:19" s="483" customFormat="1" ht="15" customHeight="1">
      <c r="A42" s="1782"/>
      <c r="B42" s="1783" t="s">
        <v>426</v>
      </c>
      <c r="C42" s="1784">
        <f>SUM('[77]1'!$C$14:$D$14)+SUM('[77]1'!$C$18:$D$18)+SUM('[77]1'!$C$30:$D$30)+SUM('[77]1'!$C$33:$D$33)</f>
        <v>6156.2424750985492</v>
      </c>
      <c r="D42" s="1784">
        <f>SUM('[77]1'!$C$25:$D$29)</f>
        <v>22060.017430892418</v>
      </c>
      <c r="E42" s="1432">
        <f>SUM('[77]1'!$C$23:$D$24)</f>
        <v>1095.3790963926604</v>
      </c>
      <c r="F42" s="1432">
        <f>SUM('[77]1'!$C$34:$D$34)+SUM('[77]1'!$C$36:$D$36)</f>
        <v>3613.1922274253602</v>
      </c>
      <c r="G42" s="1432">
        <f>SUM('[77]1'!$C$31:$D$31)+SUM('[77]1'!$C$37:$D$37)</f>
        <v>1636.4905712131131</v>
      </c>
      <c r="H42" s="1432">
        <f>SUM('[77]1'!$C$38:$D$38)</f>
        <v>34561.321801022103</v>
      </c>
      <c r="I42" s="1432">
        <f>SUM('[77]1'!$E$14:$P$14)+SUM('[77]1'!$E$18:$P$18)+SUM('[77]1'!$E$30:$P$30)</f>
        <v>18351.69116590163</v>
      </c>
      <c r="J42" s="1784">
        <f>SUM('[77]1'!$E$22:$P$22)</f>
        <v>11001.709913734348</v>
      </c>
      <c r="K42" s="1432">
        <f>SUM('[77]1'!$E$33:$P$33)</f>
        <v>345.61742733391554</v>
      </c>
      <c r="L42" s="1241">
        <f>SUM('[77]1'!$E$34:$P$34)+SUM('[77]1'!$E$36:$P$36)-0.03</f>
        <v>5672.3456391200225</v>
      </c>
      <c r="M42" s="1432">
        <f>SUM('[77]1'!$E$31:$P$31)+SUM('[77]1'!$E$32:$P$32)+SUM('[77]1'!$E$37:$P$37)</f>
        <v>573.89477554680343</v>
      </c>
      <c r="N42" s="1241">
        <f>SUM('[77]1'!$E$38:$P$38)-0.04</f>
        <v>35945.248921636718</v>
      </c>
      <c r="O42" s="1241">
        <f>'[77]1'!$Q$38-0.07</f>
        <v>70506.540722658814</v>
      </c>
      <c r="P42" s="1505">
        <f>SUM('[77]1'!$Q$40:$Q$42)</f>
        <v>5375.8344340643262</v>
      </c>
      <c r="Q42" s="1837">
        <f t="shared" ref="Q42" si="34">ROUND(H42,1)-ROUND(C42,1)-ROUND(D42,1)-ROUND(E42,1)-ROUND(F42,1)-ROUND(G42,1)</f>
        <v>2.7284841053187847E-12</v>
      </c>
      <c r="R42" s="1837">
        <f t="shared" ref="R42" si="35">ROUND(N42,1)-ROUND(I42,1)-ROUND(J42,1)-ROUND(K42,1)-ROUND(L42,1)-ROUND(M42,1)</f>
        <v>-4.8885340220294893E-12</v>
      </c>
      <c r="S42" s="1837">
        <f t="shared" ref="S42" si="36">ROUND(O42,1)-ROUND(H42,1)-ROUND(N42,1)</f>
        <v>0</v>
      </c>
    </row>
    <row r="43" spans="1:19" s="483" customFormat="1" ht="15" customHeight="1">
      <c r="A43" s="1782"/>
      <c r="B43" s="1783" t="s">
        <v>427</v>
      </c>
      <c r="C43" s="1784">
        <f>SUM('[78]1'!$C$14:$D$14)+SUM('[78]1'!$C$18:$D$18)+SUM('[78]1'!$C$30:$D$30)+SUM('[78]1'!$C$33:$D$33)</f>
        <v>6028.0576091735957</v>
      </c>
      <c r="D43" s="1784">
        <f>SUM('[78]1'!$C$25:$D$29)</f>
        <v>22210.608730009124</v>
      </c>
      <c r="E43" s="1241">
        <f>SUM('[78]1'!$C$23:$D$24)-0.01</f>
        <v>1113.3409880025797</v>
      </c>
      <c r="F43" s="1432">
        <f>SUM('[78]1'!$C$34:$D$34)+SUM('[78]1'!$C$36:$D$36)</f>
        <v>3622.8717385458554</v>
      </c>
      <c r="G43" s="1432">
        <f>SUM('[78]1'!$C$31:$D$31)+SUM('[78]1'!$C$37:$D$37)</f>
        <v>1759.6876337802485</v>
      </c>
      <c r="H43" s="1432">
        <f>SUM('[78]1'!$C$38:$D$38)</f>
        <v>34734.576699511403</v>
      </c>
      <c r="I43" s="1432">
        <f>SUM('[78]1'!$E$14:$P$14)+SUM('[78]1'!$E$18:$P$18)+SUM('[78]1'!$E$30:$P$30)</f>
        <v>17297.779359491848</v>
      </c>
      <c r="J43" s="1784">
        <f>SUM('[78]1'!$E$22:$P$22)</f>
        <v>11359.82973753674</v>
      </c>
      <c r="K43" s="1432">
        <f>SUM('[78]1'!$E$33:$P$33)</f>
        <v>342.24179117342965</v>
      </c>
      <c r="L43" s="1432">
        <f>SUM('[78]1'!$E$34:$P$34)+SUM('[78]1'!$E$36:$P$36)</f>
        <v>5710.1650351480012</v>
      </c>
      <c r="M43" s="1432">
        <f>SUM('[78]1'!$E$31:$P$31)+SUM('[78]1'!$E$32:$P$32)+SUM('[78]1'!$E$37:$P$37)</f>
        <v>547.82713173926925</v>
      </c>
      <c r="N43" s="1432">
        <f>SUM('[78]1'!$E$38:$P$38)</f>
        <v>35257.843055089281</v>
      </c>
      <c r="O43" s="1432">
        <f>'[78]1'!$Q$38</f>
        <v>69992.419754600691</v>
      </c>
      <c r="P43" s="1505">
        <f>SUM('[78]1'!$Q$40:$Q$42)</f>
        <v>5191.2366443874516</v>
      </c>
      <c r="Q43" s="1837">
        <f t="shared" ref="Q43" si="37">ROUND(H43,1)-ROUND(C43,1)-ROUND(D43,1)-ROUND(E43,1)-ROUND(F43,1)-ROUND(G43,1)</f>
        <v>0</v>
      </c>
      <c r="R43" s="1837">
        <f t="shared" ref="R43" si="38">ROUND(N43,1)-ROUND(I43,1)-ROUND(J43,1)-ROUND(K43,1)-ROUND(L43,1)-ROUND(M43,1)</f>
        <v>4.7748471843078732E-12</v>
      </c>
      <c r="S43" s="1837">
        <f t="shared" ref="S43" si="39">ROUND(O43,1)-ROUND(H43,1)-ROUND(N43,1)</f>
        <v>0</v>
      </c>
    </row>
    <row r="44" spans="1:19" ht="19.5" customHeight="1">
      <c r="A44" s="652" t="s">
        <v>1054</v>
      </c>
      <c r="B44" s="224"/>
      <c r="C44" s="224"/>
      <c r="D44" s="224"/>
      <c r="E44" s="224"/>
      <c r="F44" s="224"/>
      <c r="G44" s="224"/>
      <c r="H44" s="224"/>
      <c r="I44" s="224"/>
      <c r="J44" s="224"/>
      <c r="K44" s="224"/>
      <c r="L44" s="224"/>
      <c r="M44" s="224"/>
      <c r="N44" s="660"/>
      <c r="O44" s="1617"/>
      <c r="P44" s="653" t="s">
        <v>1055</v>
      </c>
    </row>
    <row r="45" spans="1:19" ht="14">
      <c r="A45" s="654" t="s">
        <v>1056</v>
      </c>
      <c r="J45" s="1813"/>
      <c r="O45" s="381"/>
      <c r="P45" s="381" t="s">
        <v>1057</v>
      </c>
    </row>
    <row r="46" spans="1:19">
      <c r="A46" s="654" t="s">
        <v>1058</v>
      </c>
      <c r="O46" s="381"/>
      <c r="P46" s="381" t="s">
        <v>1059</v>
      </c>
    </row>
    <row r="48" spans="1:19">
      <c r="A48" s="655" t="s">
        <v>1104</v>
      </c>
      <c r="B48" s="1"/>
      <c r="C48" s="1"/>
      <c r="D48" s="1"/>
      <c r="E48" s="1"/>
      <c r="F48" s="1"/>
      <c r="G48" s="1"/>
      <c r="H48" s="1"/>
      <c r="I48" s="1"/>
      <c r="J48" s="1"/>
      <c r="K48" s="1"/>
      <c r="L48" s="1"/>
      <c r="M48" s="1"/>
      <c r="N48" s="1"/>
      <c r="O48" s="1"/>
      <c r="P48" s="1"/>
    </row>
  </sheetData>
  <phoneticPr fontId="51" type="noConversion"/>
  <printOptions horizontalCentered="1" verticalCentered="1"/>
  <pageMargins left="0" right="0" top="0" bottom="0" header="0.5" footer="0.5"/>
  <pageSetup paperSize="9" scale="75"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tabColor rgb="FFFF0000"/>
  </sheetPr>
  <dimension ref="A1:U47"/>
  <sheetViews>
    <sheetView zoomScale="80" zoomScaleNormal="80" workbookViewId="0">
      <pane ySplit="12" topLeftCell="A37" activePane="bottomLeft" state="frozen"/>
      <selection activeCell="B44" sqref="B44"/>
      <selection pane="bottomLeft" activeCell="M43" sqref="M43"/>
    </sheetView>
  </sheetViews>
  <sheetFormatPr defaultColWidth="9.1796875" defaultRowHeight="12.5"/>
  <cols>
    <col min="1" max="2" width="9.7265625" style="18" customWidth="1"/>
    <col min="3" max="3" width="12.7265625" style="18" customWidth="1"/>
    <col min="4" max="4" width="10.26953125" style="18" customWidth="1"/>
    <col min="5" max="5" width="12.7265625" style="18" customWidth="1"/>
    <col min="6" max="6" width="11.7265625" style="18" customWidth="1"/>
    <col min="7" max="8" width="10.7265625" style="18" customWidth="1"/>
    <col min="9" max="9" width="10.26953125" style="18" customWidth="1"/>
    <col min="10" max="10" width="11.81640625" style="18" customWidth="1"/>
    <col min="11" max="11" width="12.7265625" style="18" customWidth="1"/>
    <col min="12" max="12" width="10.26953125" style="18" customWidth="1"/>
    <col min="13" max="13" width="12.7265625" style="18" customWidth="1"/>
    <col min="14" max="14" width="11.7265625" style="18" customWidth="1"/>
    <col min="15" max="16" width="10.7265625" style="18" customWidth="1"/>
    <col min="17" max="17" width="10.26953125" style="18" customWidth="1"/>
    <col min="18" max="18" width="8.26953125" style="18" customWidth="1"/>
    <col min="19" max="16384" width="9.1796875" style="18"/>
  </cols>
  <sheetData>
    <row r="1" spans="1:21" s="915" customFormat="1" ht="18">
      <c r="A1" s="1091" t="s">
        <v>1105</v>
      </c>
      <c r="B1" s="1113"/>
      <c r="C1" s="1113"/>
      <c r="D1" s="1113"/>
      <c r="E1" s="1113"/>
      <c r="F1" s="1113"/>
      <c r="G1" s="1113"/>
      <c r="H1" s="1113"/>
      <c r="I1" s="1113"/>
      <c r="J1" s="1113"/>
      <c r="K1" s="1113"/>
      <c r="L1" s="1113"/>
      <c r="M1" s="1113"/>
      <c r="N1" s="1113"/>
      <c r="O1" s="1113"/>
      <c r="P1" s="1113"/>
      <c r="Q1" s="1113"/>
    </row>
    <row r="2" spans="1:21" s="915" customFormat="1" ht="18">
      <c r="A2" s="1153" t="s">
        <v>1106</v>
      </c>
      <c r="B2" s="1113"/>
      <c r="C2" s="1113"/>
      <c r="D2" s="1113"/>
      <c r="E2" s="1113"/>
      <c r="F2" s="1113"/>
      <c r="G2" s="1113"/>
      <c r="H2" s="1113"/>
      <c r="I2" s="1113"/>
      <c r="J2" s="1113"/>
      <c r="K2" s="1113"/>
      <c r="L2" s="1113"/>
      <c r="M2" s="1113"/>
      <c r="N2" s="1113"/>
      <c r="O2" s="1113"/>
      <c r="P2" s="1113"/>
      <c r="Q2" s="1113"/>
    </row>
    <row r="3" spans="1:21" s="915" customFormat="1" ht="18">
      <c r="A3" s="1146" t="s">
        <v>1107</v>
      </c>
      <c r="B3" s="1113"/>
      <c r="C3" s="1113"/>
      <c r="D3" s="1113"/>
      <c r="E3" s="1113"/>
      <c r="F3" s="1113"/>
      <c r="G3" s="1113"/>
      <c r="H3" s="1113"/>
      <c r="I3" s="1113"/>
      <c r="J3" s="1113"/>
      <c r="K3" s="1113"/>
      <c r="L3" s="1113"/>
      <c r="M3" s="1113"/>
      <c r="N3" s="1113"/>
      <c r="O3" s="1114"/>
      <c r="P3" s="1113"/>
      <c r="Q3" s="1113"/>
    </row>
    <row r="4" spans="1:21" s="662" customFormat="1" ht="14">
      <c r="A4" s="662" t="s">
        <v>784</v>
      </c>
      <c r="B4" s="1147"/>
      <c r="Q4" s="1148" t="s">
        <v>785</v>
      </c>
    </row>
    <row r="5" spans="1:21" s="662" customFormat="1" ht="14" hidden="1">
      <c r="B5" s="1147"/>
      <c r="Q5" s="1148"/>
    </row>
    <row r="6" spans="1:21" s="274" customFormat="1" ht="14" hidden="1">
      <c r="B6" s="613"/>
      <c r="Q6" s="640"/>
    </row>
    <row r="7" spans="1:21" s="662" customFormat="1" ht="14" hidden="1">
      <c r="B7" s="1147"/>
      <c r="Q7" s="1148"/>
    </row>
    <row r="8" spans="1:21" s="166" customFormat="1" ht="23.9" customHeight="1">
      <c r="A8" s="176"/>
      <c r="B8" s="164"/>
      <c r="C8" s="630" t="s">
        <v>379</v>
      </c>
      <c r="D8" s="179"/>
      <c r="E8" s="186"/>
      <c r="F8" s="186"/>
      <c r="G8" s="186"/>
      <c r="H8" s="165"/>
      <c r="I8" s="631" t="s">
        <v>380</v>
      </c>
      <c r="J8" s="632"/>
      <c r="K8" s="630" t="s">
        <v>381</v>
      </c>
      <c r="L8" s="179"/>
      <c r="M8" s="186"/>
      <c r="N8" s="186"/>
      <c r="O8" s="186"/>
      <c r="P8" s="165"/>
      <c r="Q8" s="633" t="s">
        <v>382</v>
      </c>
    </row>
    <row r="9" spans="1:21" s="181" customFormat="1" ht="18" customHeight="1">
      <c r="A9" s="180"/>
      <c r="C9" s="196" t="s">
        <v>806</v>
      </c>
      <c r="D9" s="187" t="s">
        <v>964</v>
      </c>
      <c r="E9" s="182" t="s">
        <v>965</v>
      </c>
      <c r="F9" s="171"/>
      <c r="G9" s="182"/>
      <c r="H9" s="171"/>
      <c r="I9" s="182"/>
      <c r="J9" s="198"/>
      <c r="K9" s="187" t="s">
        <v>806</v>
      </c>
      <c r="L9" s="187" t="s">
        <v>964</v>
      </c>
      <c r="M9" s="182" t="s">
        <v>965</v>
      </c>
      <c r="N9" s="171"/>
      <c r="O9" s="182"/>
      <c r="P9" s="171"/>
      <c r="Q9" s="182"/>
    </row>
    <row r="10" spans="1:21" s="181" customFormat="1" ht="18" customHeight="1">
      <c r="A10" s="168" t="s">
        <v>387</v>
      </c>
      <c r="B10" s="170"/>
      <c r="C10" s="187" t="s">
        <v>966</v>
      </c>
      <c r="D10" s="187" t="s">
        <v>967</v>
      </c>
      <c r="E10" s="182" t="s">
        <v>511</v>
      </c>
      <c r="F10" s="167" t="s">
        <v>968</v>
      </c>
      <c r="G10" s="182" t="s">
        <v>969</v>
      </c>
      <c r="H10" s="182" t="s">
        <v>970</v>
      </c>
      <c r="I10" s="182" t="s">
        <v>399</v>
      </c>
      <c r="J10" s="198" t="s">
        <v>390</v>
      </c>
      <c r="K10" s="187" t="s">
        <v>966</v>
      </c>
      <c r="L10" s="187" t="s">
        <v>967</v>
      </c>
      <c r="M10" s="182" t="s">
        <v>511</v>
      </c>
      <c r="N10" s="167" t="s">
        <v>968</v>
      </c>
      <c r="O10" s="182" t="s">
        <v>969</v>
      </c>
      <c r="P10" s="182" t="s">
        <v>970</v>
      </c>
      <c r="Q10" s="182" t="s">
        <v>399</v>
      </c>
    </row>
    <row r="11" spans="1:21" s="169" customFormat="1" ht="18" customHeight="1">
      <c r="A11" s="183" t="s">
        <v>395</v>
      </c>
      <c r="B11" s="170"/>
      <c r="C11" s="294" t="s">
        <v>971</v>
      </c>
      <c r="D11" s="296" t="s">
        <v>972</v>
      </c>
      <c r="E11" s="297" t="s">
        <v>973</v>
      </c>
      <c r="F11" s="298" t="s">
        <v>974</v>
      </c>
      <c r="G11" s="298" t="s">
        <v>975</v>
      </c>
      <c r="H11" s="298" t="s">
        <v>976</v>
      </c>
      <c r="I11" s="298" t="s">
        <v>407</v>
      </c>
      <c r="J11" s="299" t="s">
        <v>400</v>
      </c>
      <c r="K11" s="294" t="s">
        <v>971</v>
      </c>
      <c r="L11" s="296" t="s">
        <v>972</v>
      </c>
      <c r="M11" s="300" t="s">
        <v>973</v>
      </c>
      <c r="N11" s="298" t="s">
        <v>974</v>
      </c>
      <c r="O11" s="298" t="s">
        <v>975</v>
      </c>
      <c r="P11" s="298" t="s">
        <v>976</v>
      </c>
      <c r="Q11" s="298" t="s">
        <v>407</v>
      </c>
    </row>
    <row r="12" spans="1:21" s="169" customFormat="1" ht="18" customHeight="1">
      <c r="A12" s="184"/>
      <c r="B12" s="175"/>
      <c r="C12" s="295" t="s">
        <v>977</v>
      </c>
      <c r="D12" s="295"/>
      <c r="E12" s="301" t="s">
        <v>978</v>
      </c>
      <c r="F12" s="302" t="s">
        <v>819</v>
      </c>
      <c r="G12" s="302"/>
      <c r="H12" s="302"/>
      <c r="I12" s="302"/>
      <c r="J12" s="303"/>
      <c r="K12" s="295" t="s">
        <v>977</v>
      </c>
      <c r="L12" s="295"/>
      <c r="M12" s="302" t="s">
        <v>978</v>
      </c>
      <c r="N12" s="302" t="s">
        <v>819</v>
      </c>
      <c r="O12" s="302"/>
      <c r="P12" s="302"/>
      <c r="Q12" s="302"/>
    </row>
    <row r="13" spans="1:21" s="667" customFormat="1" ht="27" customHeight="1">
      <c r="A13" s="664">
        <v>2016</v>
      </c>
      <c r="B13" s="665"/>
      <c r="C13" s="668">
        <v>16915.870636761112</v>
      </c>
      <c r="D13" s="668">
        <v>3738.7233965944033</v>
      </c>
      <c r="E13" s="669">
        <v>1290.7583252354243</v>
      </c>
      <c r="F13" s="669">
        <v>1341.7605968333933</v>
      </c>
      <c r="G13" s="669">
        <v>2218.7744604677996</v>
      </c>
      <c r="H13" s="669">
        <v>612.86765593321309</v>
      </c>
      <c r="I13" s="669">
        <v>171.56334655839095</v>
      </c>
      <c r="J13" s="671">
        <v>26290.458418383736</v>
      </c>
      <c r="K13" s="669">
        <v>17784.335360812427</v>
      </c>
      <c r="L13" s="669">
        <v>5862.603460448001</v>
      </c>
      <c r="M13" s="669">
        <v>949.36712528992302</v>
      </c>
      <c r="N13" s="669">
        <v>256.27209994279195</v>
      </c>
      <c r="O13" s="669">
        <v>880.90726747326516</v>
      </c>
      <c r="P13" s="669">
        <v>515.46360070008632</v>
      </c>
      <c r="Q13" s="669">
        <v>41.461432493150085</v>
      </c>
      <c r="R13" s="352"/>
      <c r="S13" s="352"/>
      <c r="T13" s="666"/>
    </row>
    <row r="14" spans="1:21" s="666" customFormat="1" ht="18" customHeight="1">
      <c r="A14" s="664">
        <v>2017</v>
      </c>
      <c r="B14" s="665"/>
      <c r="C14" s="668">
        <v>18432.709030170547</v>
      </c>
      <c r="D14" s="668">
        <v>2865.5700775625482</v>
      </c>
      <c r="E14" s="669">
        <v>1809.5480220937636</v>
      </c>
      <c r="F14" s="669">
        <v>932.18692299415534</v>
      </c>
      <c r="G14" s="669">
        <v>1981.4173135986537</v>
      </c>
      <c r="H14" s="669">
        <v>612.25750694573287</v>
      </c>
      <c r="I14" s="669">
        <v>111.76840006063679</v>
      </c>
      <c r="J14" s="671">
        <v>26745.537273426035</v>
      </c>
      <c r="K14" s="668">
        <v>18862.656854744506</v>
      </c>
      <c r="L14" s="668">
        <v>5044.0204808779454</v>
      </c>
      <c r="M14" s="669">
        <v>1112.2894674128968</v>
      </c>
      <c r="N14" s="669">
        <v>383.59697149632933</v>
      </c>
      <c r="O14" s="669">
        <v>779.24300911382079</v>
      </c>
      <c r="P14" s="669">
        <v>550.23878994357437</v>
      </c>
      <c r="Q14" s="669">
        <v>13.450326419601062</v>
      </c>
      <c r="R14" s="352"/>
      <c r="S14" s="352"/>
      <c r="U14" s="667"/>
    </row>
    <row r="15" spans="1:21" s="666" customFormat="1" ht="18" customHeight="1">
      <c r="A15" s="664">
        <v>2018</v>
      </c>
      <c r="B15" s="665"/>
      <c r="C15" s="668">
        <v>20393.124016193731</v>
      </c>
      <c r="D15" s="668">
        <v>2884.2357736747476</v>
      </c>
      <c r="E15" s="668">
        <v>1666.7575897744146</v>
      </c>
      <c r="F15" s="668">
        <v>855.85782442056234</v>
      </c>
      <c r="G15" s="668">
        <v>1406.5961209812149</v>
      </c>
      <c r="H15" s="668">
        <v>588.72433772389945</v>
      </c>
      <c r="I15" s="668">
        <v>132.88033882308676</v>
      </c>
      <c r="J15" s="671">
        <v>27928.239076870166</v>
      </c>
      <c r="K15" s="668">
        <v>19619.740638052135</v>
      </c>
      <c r="L15" s="668">
        <v>4756.3216053224423</v>
      </c>
      <c r="M15" s="668">
        <v>1257.4746967035805</v>
      </c>
      <c r="N15" s="668">
        <v>357.38052764009814</v>
      </c>
      <c r="O15" s="668">
        <v>1319.3527413938016</v>
      </c>
      <c r="P15" s="668">
        <v>601.15795357424622</v>
      </c>
      <c r="Q15" s="669">
        <v>16.679904792487513</v>
      </c>
      <c r="R15" s="1006"/>
      <c r="S15" s="1006"/>
      <c r="U15" s="667"/>
    </row>
    <row r="16" spans="1:21" s="666" customFormat="1" ht="18" customHeight="1">
      <c r="A16" s="664">
        <v>2019</v>
      </c>
      <c r="B16" s="665"/>
      <c r="C16" s="668">
        <v>23552.28119473876</v>
      </c>
      <c r="D16" s="668">
        <v>3110.6735767465689</v>
      </c>
      <c r="E16" s="668">
        <v>1623.5195529504001</v>
      </c>
      <c r="F16" s="668">
        <v>1709.0431877292126</v>
      </c>
      <c r="G16" s="668">
        <v>1398.1926550595988</v>
      </c>
      <c r="H16" s="668">
        <v>617.26589346202991</v>
      </c>
      <c r="I16" s="668">
        <v>71.558650050930936</v>
      </c>
      <c r="J16" s="671">
        <v>32082.564438416543</v>
      </c>
      <c r="K16" s="668">
        <v>20948.741957092185</v>
      </c>
      <c r="L16" s="668">
        <v>6089.9239975312303</v>
      </c>
      <c r="M16" s="668">
        <v>1543.1060293388455</v>
      </c>
      <c r="N16" s="668">
        <v>646.30002941017699</v>
      </c>
      <c r="O16" s="668">
        <v>1947.4309181834878</v>
      </c>
      <c r="P16" s="668">
        <v>873.52436963516539</v>
      </c>
      <c r="Q16" s="669">
        <v>33.728170188672408</v>
      </c>
      <c r="R16" s="1006"/>
      <c r="S16" s="1006"/>
      <c r="U16" s="667"/>
    </row>
    <row r="17" spans="1:21" s="666" customFormat="1" ht="18" customHeight="1">
      <c r="A17" s="664">
        <v>2020</v>
      </c>
      <c r="B17" s="665"/>
      <c r="C17" s="668">
        <v>23601.118171711008</v>
      </c>
      <c r="D17" s="668">
        <v>2730.0935360605836</v>
      </c>
      <c r="E17" s="668">
        <v>1506.6075883880833</v>
      </c>
      <c r="F17" s="668">
        <v>1565.0255963192205</v>
      </c>
      <c r="G17" s="668">
        <v>1448.3863198724164</v>
      </c>
      <c r="H17" s="668">
        <v>648.71153596720308</v>
      </c>
      <c r="I17" s="668">
        <v>111.48937847034576</v>
      </c>
      <c r="J17" s="671">
        <v>31611.432126788863</v>
      </c>
      <c r="K17" s="668">
        <v>21352.662279479049</v>
      </c>
      <c r="L17" s="668">
        <v>5715.9107546634223</v>
      </c>
      <c r="M17" s="668">
        <v>1602.777944884564</v>
      </c>
      <c r="N17" s="668">
        <v>533.15749133234021</v>
      </c>
      <c r="O17" s="668">
        <v>1427.1896484610129</v>
      </c>
      <c r="P17" s="668">
        <v>898.32527042068114</v>
      </c>
      <c r="Q17" s="669">
        <v>81.319633875936006</v>
      </c>
      <c r="R17" s="1006"/>
      <c r="S17" s="1006"/>
      <c r="U17" s="667"/>
    </row>
    <row r="18" spans="1:21" s="666" customFormat="1" ht="18" customHeight="1">
      <c r="A18" s="664">
        <v>2021</v>
      </c>
      <c r="B18" s="665"/>
      <c r="C18" s="668">
        <v>26473.372563242312</v>
      </c>
      <c r="D18" s="668">
        <v>3258.5639318622998</v>
      </c>
      <c r="E18" s="668">
        <v>861.95875885256726</v>
      </c>
      <c r="F18" s="668">
        <v>2488.9226764650712</v>
      </c>
      <c r="G18" s="668">
        <v>1062.6583625777816</v>
      </c>
      <c r="H18" s="668">
        <v>286.45235958026149</v>
      </c>
      <c r="I18" s="668">
        <v>122.70345194789324</v>
      </c>
      <c r="J18" s="671">
        <v>34554.802104528186</v>
      </c>
      <c r="K18" s="668">
        <v>22622.479047562199</v>
      </c>
      <c r="L18" s="668">
        <v>6612.1835401926255</v>
      </c>
      <c r="M18" s="668">
        <v>960.24234062718097</v>
      </c>
      <c r="N18" s="668">
        <v>781.71133762640943</v>
      </c>
      <c r="O18" s="668">
        <v>2849.8113595303885</v>
      </c>
      <c r="P18" s="668">
        <v>620.19414207371904</v>
      </c>
      <c r="Q18" s="669">
        <v>108.17891564742459</v>
      </c>
      <c r="R18" s="1006"/>
      <c r="S18" s="1006"/>
      <c r="U18" s="667"/>
    </row>
    <row r="19" spans="1:21" s="2199" customFormat="1" ht="18" customHeight="1">
      <c r="A19" s="1983">
        <v>2022</v>
      </c>
      <c r="B19" s="1984"/>
      <c r="C19" s="674">
        <v>26788.956822715747</v>
      </c>
      <c r="D19" s="675">
        <v>3677.6370362191919</v>
      </c>
      <c r="E19" s="674">
        <v>724.3390627572453</v>
      </c>
      <c r="F19" s="674">
        <v>3252.772414884425</v>
      </c>
      <c r="G19" s="674">
        <v>1309.5187396788594</v>
      </c>
      <c r="H19" s="674">
        <v>227.18150363268208</v>
      </c>
      <c r="I19" s="674">
        <v>84.657128353989776</v>
      </c>
      <c r="J19" s="1461">
        <v>36065.052708242132</v>
      </c>
      <c r="K19" s="674">
        <v>24104.239860056325</v>
      </c>
      <c r="L19" s="674">
        <v>6617.0625936390388</v>
      </c>
      <c r="M19" s="674">
        <v>1388.2293532276065</v>
      </c>
      <c r="N19" s="674">
        <v>1269.5068120255546</v>
      </c>
      <c r="O19" s="674">
        <v>1952.4128673489683</v>
      </c>
      <c r="P19" s="674">
        <v>606.08538484757287</v>
      </c>
      <c r="Q19" s="675">
        <v>127.64408332446808</v>
      </c>
      <c r="R19" s="618"/>
      <c r="S19" s="618"/>
      <c r="U19" s="185"/>
    </row>
    <row r="20" spans="1:21" s="2199" customFormat="1" ht="18" customHeight="1">
      <c r="A20" s="1983">
        <v>2023</v>
      </c>
      <c r="B20" s="1984"/>
      <c r="C20" s="674">
        <v>28245.0958159697</v>
      </c>
      <c r="D20" s="674">
        <v>3654.1317282963441</v>
      </c>
      <c r="E20" s="674">
        <v>946.22078191032858</v>
      </c>
      <c r="F20" s="674">
        <v>3668.5918989521219</v>
      </c>
      <c r="G20" s="674">
        <v>1545.1655927968395</v>
      </c>
      <c r="H20" s="674">
        <v>147.93438408348715</v>
      </c>
      <c r="I20" s="674">
        <v>27.262403103729884</v>
      </c>
      <c r="J20" s="1461">
        <v>38234.382605112551</v>
      </c>
      <c r="K20" s="674">
        <v>23757.932858925506</v>
      </c>
      <c r="L20" s="674">
        <v>9031.3945705547521</v>
      </c>
      <c r="M20" s="674">
        <v>1533.2130792050843</v>
      </c>
      <c r="N20" s="674">
        <v>1292.485231204681</v>
      </c>
      <c r="O20" s="674">
        <v>1953.4846860099246</v>
      </c>
      <c r="P20" s="674">
        <v>618.073442214235</v>
      </c>
      <c r="Q20" s="675">
        <v>47.798736998374807</v>
      </c>
      <c r="R20" s="618"/>
      <c r="S20" s="618"/>
      <c r="U20" s="185"/>
    </row>
    <row r="21" spans="1:21" s="2199" customFormat="1" ht="18" customHeight="1">
      <c r="A21" s="1983">
        <v>2024</v>
      </c>
      <c r="B21" s="1984"/>
      <c r="C21" s="674">
        <v>35666.166580377969</v>
      </c>
      <c r="D21" s="674">
        <v>11908.69736138275</v>
      </c>
      <c r="E21" s="674">
        <v>2607.6842712068897</v>
      </c>
      <c r="F21" s="674">
        <v>6975.4494418132863</v>
      </c>
      <c r="G21" s="674">
        <v>4415.5863569453668</v>
      </c>
      <c r="H21" s="674">
        <v>1380.0864249703741</v>
      </c>
      <c r="I21" s="674">
        <v>400.72818193368875</v>
      </c>
      <c r="J21" s="1461">
        <v>63354.448618630326</v>
      </c>
      <c r="K21" s="674">
        <v>31079.174129476036</v>
      </c>
      <c r="L21" s="674">
        <v>17838.281410897907</v>
      </c>
      <c r="M21" s="674">
        <v>3718.7411874902173</v>
      </c>
      <c r="N21" s="674">
        <v>2488.9286083254688</v>
      </c>
      <c r="O21" s="674">
        <v>6574.8407911432851</v>
      </c>
      <c r="P21" s="674">
        <v>1529.9598550351161</v>
      </c>
      <c r="Q21" s="675">
        <v>124.52263626229251</v>
      </c>
      <c r="R21" s="618"/>
      <c r="S21" s="618"/>
      <c r="U21" s="185"/>
    </row>
    <row r="22" spans="1:21" s="2199" customFormat="1" ht="18" customHeight="1">
      <c r="A22" s="2194">
        <v>2025</v>
      </c>
      <c r="B22" s="2195"/>
      <c r="C22" s="2196">
        <f t="shared" ref="C22:Q22" si="0">C29</f>
        <v>41921.622877057787</v>
      </c>
      <c r="D22" s="2196">
        <f t="shared" si="0"/>
        <v>11993.886170670605</v>
      </c>
      <c r="E22" s="2196">
        <f t="shared" si="0"/>
        <v>2309.085492164952</v>
      </c>
      <c r="F22" s="2196">
        <f t="shared" si="0"/>
        <v>5318.0100223856516</v>
      </c>
      <c r="G22" s="2196">
        <f t="shared" si="0"/>
        <v>4144.8597337199217</v>
      </c>
      <c r="H22" s="2196">
        <f t="shared" si="0"/>
        <v>1065.5951096080084</v>
      </c>
      <c r="I22" s="2196">
        <f t="shared" si="0"/>
        <v>307.84337560617945</v>
      </c>
      <c r="J22" s="2198">
        <f t="shared" si="0"/>
        <v>67060.942781213103</v>
      </c>
      <c r="K22" s="2196">
        <f t="shared" si="0"/>
        <v>33009.579002405277</v>
      </c>
      <c r="L22" s="2196">
        <f t="shared" si="0"/>
        <v>19929.275109303602</v>
      </c>
      <c r="M22" s="2196">
        <f t="shared" si="0"/>
        <v>3140.3101905847257</v>
      </c>
      <c r="N22" s="2196">
        <f t="shared" si="0"/>
        <v>1788.1371306342965</v>
      </c>
      <c r="O22" s="2196">
        <f t="shared" si="0"/>
        <v>7422.6045373900679</v>
      </c>
      <c r="P22" s="2196">
        <f t="shared" si="0"/>
        <v>1621.5929301330366</v>
      </c>
      <c r="Q22" s="2197">
        <f t="shared" si="0"/>
        <v>149.42388076208996</v>
      </c>
      <c r="R22" s="618"/>
      <c r="S22" s="618"/>
      <c r="U22" s="185"/>
    </row>
    <row r="23" spans="1:21" s="666" customFormat="1" ht="21" customHeight="1">
      <c r="A23" s="664">
        <v>2024</v>
      </c>
      <c r="B23" s="665" t="s">
        <v>243</v>
      </c>
      <c r="C23" s="668">
        <v>35460.243678652703</v>
      </c>
      <c r="D23" s="668">
        <v>11891.612024044454</v>
      </c>
      <c r="E23" s="668">
        <v>1836.0142459775482</v>
      </c>
      <c r="F23" s="668">
        <v>6244.3511943905069</v>
      </c>
      <c r="G23" s="668">
        <v>4128.8513751869232</v>
      </c>
      <c r="H23" s="668">
        <v>1749.2186659528086</v>
      </c>
      <c r="I23" s="668">
        <v>392.46893136623112</v>
      </c>
      <c r="J23" s="671">
        <v>61702.760115571175</v>
      </c>
      <c r="K23" s="668">
        <v>30453.955270576014</v>
      </c>
      <c r="L23" s="668">
        <v>18773.685402320225</v>
      </c>
      <c r="M23" s="668">
        <v>2886.6784358674927</v>
      </c>
      <c r="N23" s="668">
        <v>2047.3349171350796</v>
      </c>
      <c r="O23" s="668">
        <v>5800.20535743654</v>
      </c>
      <c r="P23" s="668">
        <v>1646.8727144520622</v>
      </c>
      <c r="Q23" s="669">
        <v>94.028017783763062</v>
      </c>
      <c r="R23" s="1006"/>
      <c r="S23" s="1006"/>
      <c r="U23" s="667"/>
    </row>
    <row r="24" spans="1:21" s="666" customFormat="1" ht="15" customHeight="1">
      <c r="A24" s="664"/>
      <c r="B24" s="665" t="s">
        <v>240</v>
      </c>
      <c r="C24" s="668">
        <v>35935.192611948165</v>
      </c>
      <c r="D24" s="668">
        <v>11831.157568871629</v>
      </c>
      <c r="E24" s="668">
        <v>1984.0156293004084</v>
      </c>
      <c r="F24" s="668">
        <v>6993.0955797329907</v>
      </c>
      <c r="G24" s="668">
        <v>4056.836924852124</v>
      </c>
      <c r="H24" s="668">
        <v>1134.541586639052</v>
      </c>
      <c r="I24" s="668">
        <v>375.66465723191618</v>
      </c>
      <c r="J24" s="671">
        <v>62310.474558576287</v>
      </c>
      <c r="K24" s="668">
        <v>31805.392807007731</v>
      </c>
      <c r="L24" s="668">
        <v>17919.954757575197</v>
      </c>
      <c r="M24" s="668">
        <v>3212.9328598095494</v>
      </c>
      <c r="N24" s="668">
        <v>1988.1036626044652</v>
      </c>
      <c r="O24" s="668">
        <v>5713.9812263077029</v>
      </c>
      <c r="P24" s="668">
        <v>1603.3455707081632</v>
      </c>
      <c r="Q24" s="669">
        <v>66.763674563466338</v>
      </c>
      <c r="R24" s="1006"/>
      <c r="S24" s="1006"/>
      <c r="U24" s="667"/>
    </row>
    <row r="25" spans="1:21" s="666" customFormat="1" ht="15" customHeight="1">
      <c r="A25" s="664"/>
      <c r="B25" s="665" t="s">
        <v>241</v>
      </c>
      <c r="C25" s="668">
        <v>35666.166580377969</v>
      </c>
      <c r="D25" s="668">
        <v>11908.69736138275</v>
      </c>
      <c r="E25" s="668">
        <v>2607.6842712068897</v>
      </c>
      <c r="F25" s="668">
        <v>6975.4494418132863</v>
      </c>
      <c r="G25" s="668">
        <v>4415.5863569453668</v>
      </c>
      <c r="H25" s="668">
        <v>1380.0864249703741</v>
      </c>
      <c r="I25" s="668">
        <v>400.72818193368875</v>
      </c>
      <c r="J25" s="671">
        <v>63354.448618630326</v>
      </c>
      <c r="K25" s="668">
        <v>31079.174129476036</v>
      </c>
      <c r="L25" s="668">
        <v>17838.281410897907</v>
      </c>
      <c r="M25" s="668">
        <v>3718.7411874902173</v>
      </c>
      <c r="N25" s="668">
        <v>2488.9286083254688</v>
      </c>
      <c r="O25" s="668">
        <v>6574.8407911432851</v>
      </c>
      <c r="P25" s="668">
        <v>1529.9598550351161</v>
      </c>
      <c r="Q25" s="669">
        <v>124.52263626229251</v>
      </c>
      <c r="R25" s="1006"/>
      <c r="S25" s="1006"/>
      <c r="U25" s="667"/>
    </row>
    <row r="26" spans="1:21" s="666" customFormat="1" ht="21" customHeight="1">
      <c r="A26" s="664">
        <v>2025</v>
      </c>
      <c r="B26" s="665" t="s">
        <v>242</v>
      </c>
      <c r="C26" s="668">
        <v>37174.860514398039</v>
      </c>
      <c r="D26" s="668">
        <v>11801.089049713642</v>
      </c>
      <c r="E26" s="668">
        <v>2545.1247007401398</v>
      </c>
      <c r="F26" s="668">
        <v>4535.4961811068624</v>
      </c>
      <c r="G26" s="668">
        <v>3797.0488836860604</v>
      </c>
      <c r="H26" s="668">
        <v>1296.5586355617386</v>
      </c>
      <c r="I26" s="668">
        <v>365.92623757687397</v>
      </c>
      <c r="J26" s="671">
        <v>61516.104202783361</v>
      </c>
      <c r="K26" s="668">
        <v>32391.597633826983</v>
      </c>
      <c r="L26" s="668">
        <v>16643.729910823939</v>
      </c>
      <c r="M26" s="668">
        <v>3328.2529583183032</v>
      </c>
      <c r="N26" s="668">
        <v>1885.8360991990387</v>
      </c>
      <c r="O26" s="668">
        <v>5598.1128569223847</v>
      </c>
      <c r="P26" s="668">
        <v>1535.6053595418707</v>
      </c>
      <c r="Q26" s="669">
        <v>132.96938415083423</v>
      </c>
      <c r="R26" s="1006"/>
      <c r="S26" s="1006"/>
      <c r="U26" s="667"/>
    </row>
    <row r="27" spans="1:21" s="666" customFormat="1" ht="15" customHeight="1">
      <c r="A27" s="664"/>
      <c r="B27" s="665" t="s">
        <v>243</v>
      </c>
      <c r="C27" s="668">
        <v>39145.589016989863</v>
      </c>
      <c r="D27" s="668">
        <v>12639.522560265539</v>
      </c>
      <c r="E27" s="668">
        <v>3235.0354931325242</v>
      </c>
      <c r="F27" s="668">
        <v>4109.8876316677452</v>
      </c>
      <c r="G27" s="668">
        <v>3847.6656202660415</v>
      </c>
      <c r="H27" s="668">
        <v>1145.6975710733814</v>
      </c>
      <c r="I27" s="668">
        <v>346.9410391700585</v>
      </c>
      <c r="J27" s="671">
        <v>64470.338932565159</v>
      </c>
      <c r="K27" s="668">
        <v>32197.829038017346</v>
      </c>
      <c r="L27" s="668">
        <v>18366.796072158773</v>
      </c>
      <c r="M27" s="668">
        <v>3876.9992541387487</v>
      </c>
      <c r="N27" s="668">
        <v>1593.9539555634683</v>
      </c>
      <c r="O27" s="668">
        <v>6709.6760347666932</v>
      </c>
      <c r="P27" s="668">
        <v>1606.4455608731653</v>
      </c>
      <c r="Q27" s="669">
        <v>118.63901704696764</v>
      </c>
      <c r="R27" s="1006"/>
      <c r="S27" s="1006"/>
      <c r="U27" s="667"/>
    </row>
    <row r="28" spans="1:21" s="666" customFormat="1" ht="15" customHeight="1">
      <c r="A28" s="664"/>
      <c r="B28" s="665" t="s">
        <v>240</v>
      </c>
      <c r="C28" s="668">
        <f t="shared" ref="C28:Q28" si="1">C35</f>
        <v>40118.169060660432</v>
      </c>
      <c r="D28" s="668">
        <f t="shared" si="1"/>
        <v>12853.441122411488</v>
      </c>
      <c r="E28" s="668">
        <f t="shared" si="1"/>
        <v>3535.7632305995617</v>
      </c>
      <c r="F28" s="668">
        <f t="shared" si="1"/>
        <v>4583.2330833241977</v>
      </c>
      <c r="G28" s="668">
        <f t="shared" si="1"/>
        <v>4106.5144368518459</v>
      </c>
      <c r="H28" s="668">
        <f t="shared" si="1"/>
        <v>1011.3085320434973</v>
      </c>
      <c r="I28" s="668">
        <f t="shared" si="1"/>
        <v>331.21213175691082</v>
      </c>
      <c r="J28" s="671">
        <f t="shared" si="1"/>
        <v>66539.641597647933</v>
      </c>
      <c r="K28" s="668">
        <f t="shared" si="1"/>
        <v>32466.166937688144</v>
      </c>
      <c r="L28" s="668">
        <f t="shared" si="1"/>
        <v>19158.429659085668</v>
      </c>
      <c r="M28" s="668">
        <f t="shared" si="1"/>
        <v>4157.4782230516857</v>
      </c>
      <c r="N28" s="668">
        <f t="shared" si="1"/>
        <v>1720.0315594059125</v>
      </c>
      <c r="O28" s="668">
        <f t="shared" si="1"/>
        <v>7230.8392378506924</v>
      </c>
      <c r="P28" s="668">
        <f t="shared" si="1"/>
        <v>1661.3583561665107</v>
      </c>
      <c r="Q28" s="669">
        <f t="shared" si="1"/>
        <v>145.33762439931161</v>
      </c>
      <c r="R28" s="1006"/>
      <c r="S28" s="1006"/>
      <c r="U28" s="667"/>
    </row>
    <row r="29" spans="1:21" s="666" customFormat="1" ht="15" customHeight="1">
      <c r="A29" s="664"/>
      <c r="B29" s="665" t="s">
        <v>241</v>
      </c>
      <c r="C29" s="668">
        <f t="shared" ref="C29:Q29" si="2">C38</f>
        <v>41921.622877057787</v>
      </c>
      <c r="D29" s="668">
        <f t="shared" si="2"/>
        <v>11993.886170670605</v>
      </c>
      <c r="E29" s="668">
        <f t="shared" si="2"/>
        <v>2309.085492164952</v>
      </c>
      <c r="F29" s="668">
        <f t="shared" si="2"/>
        <v>5318.0100223856516</v>
      </c>
      <c r="G29" s="668">
        <f t="shared" si="2"/>
        <v>4144.8597337199217</v>
      </c>
      <c r="H29" s="668">
        <f t="shared" si="2"/>
        <v>1065.5951096080084</v>
      </c>
      <c r="I29" s="668">
        <f t="shared" si="2"/>
        <v>307.84337560617945</v>
      </c>
      <c r="J29" s="671">
        <f t="shared" si="2"/>
        <v>67060.942781213103</v>
      </c>
      <c r="K29" s="668">
        <f t="shared" si="2"/>
        <v>33009.579002405277</v>
      </c>
      <c r="L29" s="668">
        <f t="shared" si="2"/>
        <v>19929.275109303602</v>
      </c>
      <c r="M29" s="668">
        <f t="shared" si="2"/>
        <v>3140.3101905847257</v>
      </c>
      <c r="N29" s="668">
        <f t="shared" si="2"/>
        <v>1788.1371306342965</v>
      </c>
      <c r="O29" s="668">
        <f t="shared" si="2"/>
        <v>7422.6045373900679</v>
      </c>
      <c r="P29" s="668">
        <f t="shared" si="2"/>
        <v>1621.5929301330366</v>
      </c>
      <c r="Q29" s="669">
        <f t="shared" si="2"/>
        <v>149.42388076208996</v>
      </c>
      <c r="R29" s="1006"/>
      <c r="S29" s="1006"/>
      <c r="U29" s="667"/>
    </row>
    <row r="30" spans="1:21" s="666" customFormat="1" ht="21" customHeight="1">
      <c r="A30" s="1757">
        <v>2026</v>
      </c>
      <c r="B30" s="1758" t="s">
        <v>242</v>
      </c>
      <c r="C30" s="1759">
        <f t="shared" ref="C30:Q30" si="3">C41</f>
        <v>42880.011491359066</v>
      </c>
      <c r="D30" s="1759">
        <f t="shared" si="3"/>
        <v>13227.622401473955</v>
      </c>
      <c r="E30" s="1759">
        <f t="shared" si="3"/>
        <v>2499.5956606652894</v>
      </c>
      <c r="F30" s="1759">
        <f t="shared" si="3"/>
        <v>4655.0805454757301</v>
      </c>
      <c r="G30" s="1759">
        <f t="shared" si="3"/>
        <v>4727.8900188903208</v>
      </c>
      <c r="H30" s="1759">
        <f t="shared" si="3"/>
        <v>1000.1957490637025</v>
      </c>
      <c r="I30" s="1759">
        <f t="shared" si="3"/>
        <v>263.73796844834578</v>
      </c>
      <c r="J30" s="1761">
        <f t="shared" si="3"/>
        <v>69254.1338353764</v>
      </c>
      <c r="K30" s="1759">
        <f t="shared" si="3"/>
        <v>33705.617160546833</v>
      </c>
      <c r="L30" s="1759">
        <f t="shared" si="3"/>
        <v>20770.021308299732</v>
      </c>
      <c r="M30" s="1759">
        <f t="shared" si="3"/>
        <v>3592.0801882453934</v>
      </c>
      <c r="N30" s="1759">
        <f t="shared" si="3"/>
        <v>2221.1770072292675</v>
      </c>
      <c r="O30" s="1759">
        <f t="shared" si="3"/>
        <v>7129.1126602112436</v>
      </c>
      <c r="P30" s="1759">
        <f t="shared" si="3"/>
        <v>1692.3357248341499</v>
      </c>
      <c r="Q30" s="1760">
        <f t="shared" si="3"/>
        <v>143.7897860097728</v>
      </c>
      <c r="R30" s="1006"/>
      <c r="S30" s="1006"/>
      <c r="U30" s="667"/>
    </row>
    <row r="31" spans="1:21" s="152" customFormat="1" ht="21" customHeight="1">
      <c r="A31" s="1982">
        <v>2025</v>
      </c>
      <c r="B31" s="739" t="s">
        <v>427</v>
      </c>
      <c r="C31" s="674">
        <v>39226.38395330705</v>
      </c>
      <c r="D31" s="674">
        <v>11852.636604400423</v>
      </c>
      <c r="E31" s="674">
        <v>2959.7797727325628</v>
      </c>
      <c r="F31" s="674">
        <v>3442.6643456582237</v>
      </c>
      <c r="G31" s="674">
        <v>3740.9713157331626</v>
      </c>
      <c r="H31" s="674">
        <v>997.7918156748259</v>
      </c>
      <c r="I31" s="675">
        <v>358.33414183249261</v>
      </c>
      <c r="J31" s="1461">
        <v>62578.561949338742</v>
      </c>
      <c r="K31" s="674">
        <v>32409.52960129749</v>
      </c>
      <c r="L31" s="674">
        <v>17023.612437668089</v>
      </c>
      <c r="M31" s="674">
        <v>3595.2980192197419</v>
      </c>
      <c r="N31" s="674">
        <v>1982.7942379011588</v>
      </c>
      <c r="O31" s="674">
        <v>5848.034537560181</v>
      </c>
      <c r="P31" s="674">
        <v>1593.3552118383604</v>
      </c>
      <c r="Q31" s="675">
        <v>125.95790385371539</v>
      </c>
      <c r="R31" s="618">
        <v>-4.1495695768389851E-12</v>
      </c>
      <c r="S31" s="618">
        <v>4.5474735088646412E-13</v>
      </c>
    </row>
    <row r="32" spans="1:21" s="152" customFormat="1" ht="16.5" customHeight="1">
      <c r="A32" s="1982"/>
      <c r="B32" s="739" t="s">
        <v>428</v>
      </c>
      <c r="C32" s="672">
        <f>'[67]3B'!$AH$186+0.1</f>
        <v>39145.589016989863</v>
      </c>
      <c r="D32" s="674">
        <f>SUM('[67]3B'!$AH$189:$AH$193)</f>
        <v>12639.522560265539</v>
      </c>
      <c r="E32" s="672">
        <f>'[67]3B'!$AH$69+'[67]3B'!$AH$188+'[67]3B'!$AH$120+'[67]3B'!$AH$122+SUM('[67]3B'!$AH$199:$AH$203)+'[67]3B'!$AH$86+'[67]3B'!$AH$90+'[67]3B'!$AH$105+'[67]3B'!$AH$118-0.02</f>
        <v>3235.0354931325242</v>
      </c>
      <c r="F32" s="674">
        <f>'[67]3B'!$AH$130+'[67]3B'!$AH$141+'[67]3B'!$AH$170</f>
        <v>4109.8876316677452</v>
      </c>
      <c r="G32" s="674">
        <f>'[67]3B'!$AH$15</f>
        <v>3847.6656202660415</v>
      </c>
      <c r="H32" s="674">
        <f>'[67]3B'!$AH$204+'[67]3B'!$AH$229+'[67]3B'!$AH$187</f>
        <v>1145.6975710733814</v>
      </c>
      <c r="I32" s="675">
        <f t="shared" ref="I32" si="4">$J32-SUM(C32:H32)</f>
        <v>346.9410391700585</v>
      </c>
      <c r="J32" s="673">
        <f>'[67]3B'!$AH$272-0.03</f>
        <v>64470.338932565159</v>
      </c>
      <c r="K32" s="674">
        <f>'[67]3A'!$AX$186</f>
        <v>32197.829038017346</v>
      </c>
      <c r="L32" s="674">
        <f>SUM('[67]3A'!$AX$189:$AX$193)</f>
        <v>18366.796072158773</v>
      </c>
      <c r="M32" s="674">
        <f>'[67]3A'!$AX$69+'[67]3A'!$AX$188+'[67]3A'!$AX$120+'[67]3A'!$AX$122+SUM('[67]3A'!$AX$199:$AX$203)+'[67]3A'!$AX$86+'[67]3A'!$AX$90+'[67]3A'!$AX$105+'[67]3A'!$AX$118</f>
        <v>3876.9992541387487</v>
      </c>
      <c r="N32" s="674">
        <f>'[67]3A'!$AX$130+'[67]3A'!$AX$141+'[67]3A'!$AX$170</f>
        <v>1593.9539555634683</v>
      </c>
      <c r="O32" s="674">
        <f>'[67]3A'!$AX$15</f>
        <v>6709.6760347666932</v>
      </c>
      <c r="P32" s="674">
        <f>'[67]3A'!$AX$204+'[67]3A'!$AX$229+'[67]3A'!$AX$187</f>
        <v>1606.4455608731653</v>
      </c>
      <c r="Q32" s="675">
        <f t="shared" ref="Q32:Q36" si="5">$J32-SUM(K32:P32)</f>
        <v>118.63901704696764</v>
      </c>
      <c r="R32" s="618">
        <f t="shared" ref="R32" si="6">ROUND(J32,1)-ROUND(C32,1)-ROUND(D32,1)-ROUND(E32,1)-ROUND(F32,1)-ROUND(G32,1)-ROUND(H32,1)-ROUND(I32,1)</f>
        <v>4.8885340220294893E-12</v>
      </c>
      <c r="S32" s="618">
        <f t="shared" ref="S32" si="7">ROUND(J32,1)-ROUND(K32,1)-ROUND(L32,1)-ROUND(M32,1)-ROUND(N32,1)-ROUND(O32,1)-ROUND(P32,1)-ROUND(Q32,1)</f>
        <v>4.4622083805734292E-12</v>
      </c>
    </row>
    <row r="33" spans="1:19" s="152" customFormat="1" ht="16.5" customHeight="1">
      <c r="A33" s="1982"/>
      <c r="B33" s="739" t="s">
        <v>429</v>
      </c>
      <c r="C33" s="674">
        <f>'[68]3B'!$AH$186</f>
        <v>39391.9254471401</v>
      </c>
      <c r="D33" s="674">
        <f>SUM('[68]3B'!$AH$189:$AH$193)</f>
        <v>13020.263679575819</v>
      </c>
      <c r="E33" s="674">
        <f>'[68]3B'!$AH$69+'[68]3B'!$AH$188+'[68]3B'!$AH$120+'[68]3B'!$AH$122+SUM('[68]3B'!$AH$199:$AH$203)+'[68]3B'!$AH$86+'[68]3B'!$AH$90+'[68]3B'!$AH$105+'[68]3B'!$AH$118</f>
        <v>3548.099264459247</v>
      </c>
      <c r="F33" s="674">
        <f>'[68]3B'!$AH$130+'[68]3B'!$AH$141+'[68]3B'!$AH$170</f>
        <v>4045.9192698421366</v>
      </c>
      <c r="G33" s="674">
        <f>'[68]3B'!$AH$15</f>
        <v>3983.123714714282</v>
      </c>
      <c r="H33" s="674">
        <f>'[68]3B'!$AH$204+'[68]3B'!$AH$229+'[68]3B'!$AH$187</f>
        <v>975.35905633038908</v>
      </c>
      <c r="I33" s="675">
        <f t="shared" ref="I33" si="8">$J33-SUM(C33:H33)</f>
        <v>342.06596960753814</v>
      </c>
      <c r="J33" s="673">
        <f>'[68]3B'!$AH$272+0.01</f>
        <v>65306.756401669518</v>
      </c>
      <c r="K33" s="674">
        <f>'[68]3A'!$AX$186</f>
        <v>32222.320332717532</v>
      </c>
      <c r="L33" s="674">
        <f>SUM('[68]3A'!$AX$189:$AX$193)</f>
        <v>18105.344132962913</v>
      </c>
      <c r="M33" s="674">
        <f>'[68]3A'!$AX$69+'[68]3A'!$AX$188+'[68]3A'!$AX$120+'[68]3A'!$AX$122+SUM('[68]3A'!$AX$199:$AX$203)+'[68]3A'!$AX$86+'[68]3A'!$AX$90+'[68]3A'!$AX$105+'[68]3A'!$AX$118</f>
        <v>3987.366265395211</v>
      </c>
      <c r="N33" s="674">
        <f>'[68]3A'!$AX$130+'[68]3A'!$AX$141+'[68]3A'!$AX$170</f>
        <v>2197.5916605435395</v>
      </c>
      <c r="O33" s="672">
        <f>'[68]3A'!$AX$15+0.02</f>
        <v>7020.0582827718936</v>
      </c>
      <c r="P33" s="674">
        <f>'[68]3A'!$AX$204+'[68]3A'!$AX$229+'[68]3A'!$AX$187</f>
        <v>1657.5731504009859</v>
      </c>
      <c r="Q33" s="675">
        <f t="shared" si="5"/>
        <v>116.50257687744306</v>
      </c>
      <c r="R33" s="618">
        <f t="shared" ref="R33" si="9">ROUND(J33,1)-ROUND(C33,1)-ROUND(D33,1)-ROUND(E33,1)-ROUND(F33,1)-ROUND(G33,1)-ROUND(H33,1)-ROUND(I33,1)</f>
        <v>2.2737367544323206E-12</v>
      </c>
      <c r="S33" s="618">
        <f t="shared" ref="S33" si="10">ROUND(J33,1)-ROUND(K33,1)-ROUND(L33,1)-ROUND(M33,1)-ROUND(N33,1)-ROUND(O33,1)-ROUND(P33,1)-ROUND(Q33,1)</f>
        <v>4.5474735088646412E-13</v>
      </c>
    </row>
    <row r="34" spans="1:19" s="152" customFormat="1" ht="16.5" customHeight="1">
      <c r="A34" s="1982"/>
      <c r="B34" s="739" t="s">
        <v>430</v>
      </c>
      <c r="C34" s="674">
        <f>'[69]3B'!$AH$186</f>
        <v>39222.25141864577</v>
      </c>
      <c r="D34" s="674">
        <f>SUM('[69]3B'!$AH$189:$AH$193)</f>
        <v>13274.83844334519</v>
      </c>
      <c r="E34" s="674">
        <f>'[69]3B'!$AH$69+'[69]3B'!$AH$188+'[69]3B'!$AH$120+'[69]3B'!$AH$122+SUM('[69]3B'!$AH$199:$AH$203)+'[69]3B'!$AH$86+'[69]3B'!$AH$90+'[69]3B'!$AH$105+'[69]3B'!$AH$118</f>
        <v>3528.765076912212</v>
      </c>
      <c r="F34" s="672">
        <f>'[69]3B'!$AH$130+'[69]3B'!$AH$141+'[69]3B'!$AH$170-0.02</f>
        <v>4218.7447090602618</v>
      </c>
      <c r="G34" s="674">
        <f>'[69]3B'!$AH$15</f>
        <v>4031.5823570604111</v>
      </c>
      <c r="H34" s="674">
        <f>'[69]3B'!$AH$204+'[69]3B'!$AH$229+'[69]3B'!$AH$187</f>
        <v>1057.0109575572853</v>
      </c>
      <c r="I34" s="675">
        <f t="shared" ref="I34" si="11">$J34-SUM(C34:H34)</f>
        <v>337.90286205342272</v>
      </c>
      <c r="J34" s="1461">
        <f>'[69]3B'!$AH$272</f>
        <v>65671.095824634554</v>
      </c>
      <c r="K34" s="674">
        <f>'[69]3A'!$AX$186</f>
        <v>32101.68317805016</v>
      </c>
      <c r="L34" s="674">
        <f>SUM('[69]3A'!$AX$189:$AX$193)</f>
        <v>18198.634213325771</v>
      </c>
      <c r="M34" s="674">
        <f>'[69]3A'!$AX$69+'[69]3A'!$AX$188+'[69]3A'!$AX$120+'[69]3A'!$AX$122+SUM('[69]3A'!$AX$199:$AX$203)+'[69]3A'!$AX$86+'[69]3A'!$AX$90+'[69]3A'!$AX$105+'[69]3A'!$AX$118</f>
        <v>3975.9173072998001</v>
      </c>
      <c r="N34" s="674">
        <f>'[69]3A'!$AX$130+'[69]3A'!$AX$141+'[69]3A'!$AX$170</f>
        <v>2256.9853970368695</v>
      </c>
      <c r="O34" s="672">
        <f>'[69]3A'!$AX$15+0.02</f>
        <v>7286.155774573479</v>
      </c>
      <c r="P34" s="674">
        <f>'[69]3A'!$AX$204+'[69]3A'!$AX$229+'[69]3A'!$AX$187</f>
        <v>1721.4330955675491</v>
      </c>
      <c r="Q34" s="675">
        <f t="shared" si="5"/>
        <v>130.28685878092074</v>
      </c>
      <c r="R34" s="618">
        <f t="shared" ref="R34" si="12">ROUND(J34,1)-ROUND(C34,1)-ROUND(D34,1)-ROUND(E34,1)-ROUND(F34,1)-ROUND(G34,1)-ROUND(H34,1)-ROUND(I34,1)</f>
        <v>4.6611603465862572E-12</v>
      </c>
      <c r="S34" s="618">
        <f t="shared" ref="S34" si="13">ROUND(J34,1)-ROUND(K34,1)-ROUND(L34,1)-ROUND(M34,1)-ROUND(N34,1)-ROUND(O34,1)-ROUND(P34,1)-ROUND(Q34,1)</f>
        <v>1.0629719326971099E-11</v>
      </c>
    </row>
    <row r="35" spans="1:19" s="152" customFormat="1" ht="16.5" customHeight="1">
      <c r="A35" s="1982"/>
      <c r="B35" s="739" t="s">
        <v>431</v>
      </c>
      <c r="C35" s="674">
        <f>'[70]3B'!$AH$186</f>
        <v>40118.169060660432</v>
      </c>
      <c r="D35" s="672">
        <f>SUM('[70]3B'!$AH$189:$AH$193)-0.01</f>
        <v>12853.441122411488</v>
      </c>
      <c r="E35" s="674">
        <f>'[70]3B'!$AH$69+'[70]3B'!$AH$188+'[70]3B'!$AH$120+'[70]3B'!$AH$122+SUM('[70]3B'!$AH$199:$AH$203)+'[70]3B'!$AH$86+'[70]3B'!$AH$90+'[70]3B'!$AH$105+'[70]3B'!$AH$118</f>
        <v>3535.7632305995617</v>
      </c>
      <c r="F35" s="672">
        <f>'[70]3B'!$AH$130+'[70]3B'!$AH$141+'[70]3B'!$AH$170-0.02</f>
        <v>4583.2330833241977</v>
      </c>
      <c r="G35" s="674">
        <f>'[70]3B'!$AH$15</f>
        <v>4106.5144368518459</v>
      </c>
      <c r="H35" s="674">
        <f>'[70]3B'!$AH$204+'[70]3B'!$AH$229+'[70]3B'!$AH$187</f>
        <v>1011.3085320434973</v>
      </c>
      <c r="I35" s="675">
        <f t="shared" ref="I35" si="14">$J35-SUM(C35:H35)</f>
        <v>331.21213175691082</v>
      </c>
      <c r="J35" s="673">
        <f>'[70]3B'!$AH$272-0.02</f>
        <v>66539.641597647933</v>
      </c>
      <c r="K35" s="674">
        <f>'[70]3A'!$AX$186</f>
        <v>32466.166937688144</v>
      </c>
      <c r="L35" s="674">
        <f>SUM('[70]3A'!$AX$189:$AX$193)</f>
        <v>19158.429659085668</v>
      </c>
      <c r="M35" s="674">
        <f>'[70]3A'!$AX$69+'[70]3A'!$AX$188+'[70]3A'!$AX$120+'[70]3A'!$AX$122+SUM('[70]3A'!$AX$199:$AX$203)+'[70]3A'!$AX$86+'[70]3A'!$AX$90+'[70]3A'!$AX$105+'[70]3A'!$AX$118</f>
        <v>4157.4782230516857</v>
      </c>
      <c r="N35" s="674">
        <f>'[70]3A'!$AX$130+'[70]3A'!$AX$141+'[70]3A'!$AX$170</f>
        <v>1720.0315594059125</v>
      </c>
      <c r="O35" s="674">
        <f>'[70]3A'!$AX$15</f>
        <v>7230.8392378506924</v>
      </c>
      <c r="P35" s="674">
        <f>'[70]3A'!$AX$204+'[70]3A'!$AX$229+'[70]3A'!$AX$187</f>
        <v>1661.3583561665107</v>
      </c>
      <c r="Q35" s="675">
        <f t="shared" si="5"/>
        <v>145.33762439931161</v>
      </c>
      <c r="R35" s="618">
        <f t="shared" ref="R35" si="15">ROUND(J35,1)-ROUND(C35,1)-ROUND(D35,1)-ROUND(E35,1)-ROUND(F35,1)-ROUND(G35,1)-ROUND(H35,1)-ROUND(I35,1)</f>
        <v>8.2422957348171622E-12</v>
      </c>
      <c r="S35" s="618">
        <f t="shared" ref="S35" si="16">ROUND(J35,1)-ROUND(K35,1)-ROUND(L35,1)-ROUND(M35,1)-ROUND(N35,1)-ROUND(O35,1)-ROUND(P35,1)-ROUND(Q35,1)</f>
        <v>6.9917405198793858E-12</v>
      </c>
    </row>
    <row r="36" spans="1:19" s="152" customFormat="1" ht="16.5" customHeight="1">
      <c r="A36" s="1982"/>
      <c r="B36" s="739" t="s">
        <v>420</v>
      </c>
      <c r="C36" s="674">
        <f>'[71]3B'!$AH$186</f>
        <v>41101.792089371782</v>
      </c>
      <c r="D36" s="674">
        <f>SUM('[71]3B'!$AH$189:$AH$193)</f>
        <v>11782.755040156455</v>
      </c>
      <c r="E36" s="674">
        <f>'[71]3B'!$AH$69+'[71]3B'!$AH$188+'[71]3B'!$AH$120+'[71]3B'!$AH$122+SUM('[71]3B'!$AH$199:$AH$203)+'[71]3B'!$AH$86+'[71]3B'!$AH$90+'[71]3B'!$AH$105+'[71]3B'!$AH$118</f>
        <v>3528.4045672436082</v>
      </c>
      <c r="F36" s="674">
        <f>'[71]3B'!$AH$130+'[71]3B'!$AH$141+'[71]3B'!$AH$170</f>
        <v>4156.6477975677399</v>
      </c>
      <c r="G36" s="674">
        <f>'[71]3B'!$AH$15</f>
        <v>3940.9342703505731</v>
      </c>
      <c r="H36" s="674">
        <f>'[71]3B'!$AH$204+'[71]3B'!$AH$229+'[71]3B'!$AH$187</f>
        <v>1188.1747123365753</v>
      </c>
      <c r="I36" s="675">
        <f t="shared" ref="I36" si="17">$J36-SUM(C36:H36)</f>
        <v>325.13323193613905</v>
      </c>
      <c r="J36" s="673">
        <f>'[71]3B'!$AH$272-0.02</f>
        <v>66023.841708962878</v>
      </c>
      <c r="K36" s="674">
        <f>'[71]3A'!$AX$186</f>
        <v>32174.711357992197</v>
      </c>
      <c r="L36" s="674">
        <f>SUM('[71]3A'!$AX$189:$AX$193)</f>
        <v>19173.151601864258</v>
      </c>
      <c r="M36" s="674">
        <f>'[71]3A'!$AX$69+'[71]3A'!$AX$188+'[71]3A'!$AX$120+'[71]3A'!$AX$122+SUM('[71]3A'!$AX$199:$AX$203)+'[71]3A'!$AX$86+'[71]3A'!$AX$90+'[71]3A'!$AX$105+'[71]3A'!$AX$118</f>
        <v>4303.5001225849501</v>
      </c>
      <c r="N36" s="674">
        <f>'[71]3A'!$AX$130+'[71]3A'!$AX$141+'[71]3A'!$AX$170</f>
        <v>1843.0069966755377</v>
      </c>
      <c r="O36" s="674">
        <f>'[71]3A'!$AX$15</f>
        <v>6773.7469991097987</v>
      </c>
      <c r="P36" s="672">
        <f>'[71]3A'!$AX$204+'[71]3A'!$AX$229+'[71]3A'!$AX$187-0.01</f>
        <v>1605.1419144152107</v>
      </c>
      <c r="Q36" s="675">
        <f t="shared" si="5"/>
        <v>150.58271632091783</v>
      </c>
      <c r="R36" s="618">
        <f t="shared" ref="R36" si="18">ROUND(J36,1)-ROUND(C36,1)-ROUND(D36,1)-ROUND(E36,1)-ROUND(F36,1)-ROUND(G36,1)-ROUND(H36,1)-ROUND(I36,1)</f>
        <v>5.6843418860808015E-13</v>
      </c>
      <c r="S36" s="618">
        <f t="shared" ref="S36" si="19">ROUND(J36,1)-ROUND(K36,1)-ROUND(L36,1)-ROUND(M36,1)-ROUND(N36,1)-ROUND(O36,1)-ROUND(P36,1)-ROUND(Q36,1)</f>
        <v>5.3717030823463574E-12</v>
      </c>
    </row>
    <row r="37" spans="1:19" s="152" customFormat="1" ht="16.5" customHeight="1">
      <c r="A37" s="1982"/>
      <c r="B37" s="739" t="s">
        <v>421</v>
      </c>
      <c r="C37" s="674">
        <f>'[72]3B'!$AH$186</f>
        <v>41318.699400573685</v>
      </c>
      <c r="D37" s="674">
        <f>SUM('[72]3B'!$AH$189:$AH$193)</f>
        <v>12620.775553810934</v>
      </c>
      <c r="E37" s="674">
        <f>'[72]3B'!$AH$69+'[72]3B'!$AH$188+'[72]3B'!$AH$120+'[72]3B'!$AH$122+SUM('[72]3B'!$AH$199:$AH$203)+'[72]3B'!$AH$86+'[72]3B'!$AH$90+'[72]3B'!$AH$105+'[72]3B'!$AH$118</f>
        <v>3579.922006526087</v>
      </c>
      <c r="F37" s="674">
        <f>'[72]3B'!$AH$130+'[72]3B'!$AH$141+'[72]3B'!$AH$170</f>
        <v>5275.8249728867941</v>
      </c>
      <c r="G37" s="674">
        <f>'[72]3B'!$AH$15</f>
        <v>3961.3383444743431</v>
      </c>
      <c r="H37" s="672">
        <f>'[72]3B'!$AH$204+'[72]3B'!$AH$229+'[72]3B'!$AH$187+0.02</f>
        <v>1149.9633053957541</v>
      </c>
      <c r="I37" s="675">
        <f t="shared" ref="I37" si="20">$J37-SUM(C37:H37)</f>
        <v>320.27431012607121</v>
      </c>
      <c r="J37" s="1461">
        <f>'[72]3B'!$AH$272</f>
        <v>68226.797893793671</v>
      </c>
      <c r="K37" s="674">
        <f>'[72]3A'!$AX$186</f>
        <v>32647.211698311501</v>
      </c>
      <c r="L37" s="674">
        <f>SUM('[72]3A'!$AX$189:$AX$193)</f>
        <v>20323.368630873563</v>
      </c>
      <c r="M37" s="674">
        <f>'[72]3A'!$AX$69+'[72]3A'!$AX$188+'[72]3A'!$AX$120+'[72]3A'!$AX$122+SUM('[72]3A'!$AX$199:$AX$203)+'[72]3A'!$AX$86+'[72]3A'!$AX$90+'[72]3A'!$AX$105+'[72]3A'!$AX$118</f>
        <v>4491.1017649429486</v>
      </c>
      <c r="N37" s="674">
        <f>'[72]3A'!$AX$130+'[72]3A'!$AX$141+'[72]3A'!$AX$170</f>
        <v>1750.2710318317838</v>
      </c>
      <c r="O37" s="674">
        <f>'[72]3A'!$AX$15</f>
        <v>7206.2147159697597</v>
      </c>
      <c r="P37" s="674">
        <f>'[72]3A'!$AX$204+'[72]3A'!$AX$229+'[72]3A'!$AX$187</f>
        <v>1653.9725745701089</v>
      </c>
      <c r="Q37" s="670">
        <f>$J37-SUM(K37:P37)-0.02</f>
        <v>154.63747729400754</v>
      </c>
      <c r="R37" s="618">
        <f t="shared" ref="R37" si="21">ROUND(J37,1)-ROUND(C37,1)-ROUND(D37,1)-ROUND(E37,1)-ROUND(F37,1)-ROUND(G37,1)-ROUND(H37,1)-ROUND(I37,1)</f>
        <v>6.5369931689929217E-12</v>
      </c>
      <c r="S37" s="618">
        <f t="shared" ref="S37" si="22">ROUND(J37,1)-ROUND(K37,1)-ROUND(L37,1)-ROUND(M37,1)-ROUND(N37,1)-ROUND(O37,1)-ROUND(P37,1)-ROUND(Q37,1)</f>
        <v>4.9169557314598933E-12</v>
      </c>
    </row>
    <row r="38" spans="1:19" s="152" customFormat="1" ht="16.5" customHeight="1">
      <c r="A38" s="1982"/>
      <c r="B38" s="739" t="s">
        <v>422</v>
      </c>
      <c r="C38" s="674">
        <f>'[73]3B'!$AH$186</f>
        <v>41921.622877057787</v>
      </c>
      <c r="D38" s="674">
        <f>SUM('[73]3B'!$AH$189:$AH$193)</f>
        <v>11993.886170670605</v>
      </c>
      <c r="E38" s="674">
        <f>'[73]3B'!$AH$69+'[73]3B'!$AH$188+'[73]3B'!$AH$120+'[73]3B'!$AH$122+SUM('[73]3B'!$AH$199:$AH$203)+'[73]3B'!$AH$86+'[73]3B'!$AH$90+'[73]3B'!$AH$105+'[73]3B'!$AH$118</f>
        <v>2309.085492164952</v>
      </c>
      <c r="F38" s="674">
        <f>'[73]3B'!$AH$130+'[73]3B'!$AH$141+'[73]3B'!$AH$170</f>
        <v>5318.0100223856516</v>
      </c>
      <c r="G38" s="674">
        <f>'[73]3B'!$AH$15</f>
        <v>4144.8597337199217</v>
      </c>
      <c r="H38" s="674">
        <f>'[73]3B'!$AH$204+'[73]3B'!$AH$229+'[73]3B'!$AH$187</f>
        <v>1065.5951096080084</v>
      </c>
      <c r="I38" s="670">
        <f>$J38-SUM(C38:H38)-0.04</f>
        <v>307.84337560617945</v>
      </c>
      <c r="J38" s="1461">
        <f>'[73]3B'!$AH$272</f>
        <v>67060.942781213103</v>
      </c>
      <c r="K38" s="674">
        <f>'[73]3A'!$AX$186</f>
        <v>33009.579002405277</v>
      </c>
      <c r="L38" s="674">
        <f>SUM('[73]3A'!$AX$189:$AX$193)</f>
        <v>19929.275109303602</v>
      </c>
      <c r="M38" s="674">
        <f>'[73]3A'!$AX$69+'[73]3A'!$AX$188+'[73]3A'!$AX$120+'[73]3A'!$AX$122+SUM('[73]3A'!$AX$199:$AX$203)+'[73]3A'!$AX$86+'[73]3A'!$AX$90+'[73]3A'!$AX$105+'[73]3A'!$AX$118</f>
        <v>3140.3101905847257</v>
      </c>
      <c r="N38" s="674">
        <f>'[73]3A'!$AX$130+'[73]3A'!$AX$141+'[73]3A'!$AX$170</f>
        <v>1788.1371306342965</v>
      </c>
      <c r="O38" s="674">
        <f>'[73]3A'!$AX$15</f>
        <v>7422.6045373900679</v>
      </c>
      <c r="P38" s="674">
        <f>'[73]3A'!$AX$204+'[73]3A'!$AX$229+'[73]3A'!$AX$187</f>
        <v>1621.5929301330366</v>
      </c>
      <c r="Q38" s="670">
        <f>$J38-SUM(K38:P38)-0.02</f>
        <v>149.42388076208996</v>
      </c>
      <c r="R38" s="618">
        <f t="shared" ref="R38" si="23">ROUND(J38,1)-ROUND(C38,1)-ROUND(D38,1)-ROUND(E38,1)-ROUND(F38,1)-ROUND(G38,1)-ROUND(H38,1)-ROUND(I38,1)</f>
        <v>-3.922195901395753E-12</v>
      </c>
      <c r="S38" s="618">
        <f t="shared" ref="S38" si="24">ROUND(J38,1)-ROUND(K38,1)-ROUND(L38,1)-ROUND(M38,1)-ROUND(N38,1)-ROUND(O38,1)-ROUND(P38,1)-ROUND(Q38,1)</f>
        <v>-3.5527136788005009E-12</v>
      </c>
    </row>
    <row r="39" spans="1:19" s="152" customFormat="1" ht="21" customHeight="1">
      <c r="A39" s="1982">
        <v>2026</v>
      </c>
      <c r="B39" s="739" t="s">
        <v>423</v>
      </c>
      <c r="C39" s="672">
        <f>'[74]3B'!$AH$186+0.05</f>
        <v>41737.666549178131</v>
      </c>
      <c r="D39" s="674">
        <f>SUM('[74]3B'!$AH$189:$AH$193)</f>
        <v>13157.940697388101</v>
      </c>
      <c r="E39" s="674">
        <f>'[74]3B'!$AH$69+'[74]3B'!$AH$188+'[74]3B'!$AH$120+'[74]3B'!$AH$122+SUM('[74]3B'!$AH$199:$AH$203)+'[74]3B'!$AH$86+'[74]3B'!$AH$90+'[74]3B'!$AH$105+'[74]3B'!$AH$118</f>
        <v>2350.477527186642</v>
      </c>
      <c r="F39" s="674">
        <f>'[74]3B'!$AH$130+'[74]3B'!$AH$141+'[74]3B'!$AH$170</f>
        <v>4624.1781661295981</v>
      </c>
      <c r="G39" s="672">
        <f>'[74]3B'!$AH$15-0.01</f>
        <v>4458.2444012419564</v>
      </c>
      <c r="H39" s="674">
        <f>'[74]3B'!$AH$204+'[74]3B'!$AH$229+'[74]3B'!$AH$187</f>
        <v>1000.7847991917456</v>
      </c>
      <c r="I39" s="675">
        <f>$J39-SUM(C39:H39)</f>
        <v>302.86733379702491</v>
      </c>
      <c r="J39" s="1461">
        <f>'[74]3B'!$AH$272</f>
        <v>67632.159474113199</v>
      </c>
      <c r="K39" s="674">
        <f>'[74]3A'!$AX$186</f>
        <v>33072.171798745316</v>
      </c>
      <c r="L39" s="674">
        <f>SUM('[74]3A'!$AX$189:$AX$193)</f>
        <v>19407.030473694103</v>
      </c>
      <c r="M39" s="674">
        <f>'[74]3A'!$AX$69+'[74]3A'!$AX$188+'[74]3A'!$AX$120+'[74]3A'!$AX$122+SUM('[74]3A'!$AX$199:$AX$203)+'[74]3A'!$AX$86+'[74]3A'!$AX$90+'[74]3A'!$AX$105+'[74]3A'!$AX$118</f>
        <v>3680.559933410148</v>
      </c>
      <c r="N39" s="674">
        <f>'[74]3A'!$AX$130+'[74]3A'!$AX$141+'[74]3A'!$AX$170</f>
        <v>1866.9009797482872</v>
      </c>
      <c r="O39" s="674">
        <f>'[74]3A'!$AX$15</f>
        <v>7687.3022279126117</v>
      </c>
      <c r="P39" s="674">
        <f>'[74]3A'!$AX$204+'[74]3A'!$AX$229+'[74]3A'!$AX$187</f>
        <v>1762.4823986251879</v>
      </c>
      <c r="Q39" s="675">
        <f>$J39-SUM(K39:P39)</f>
        <v>155.71166197754792</v>
      </c>
      <c r="R39" s="618">
        <f t="shared" ref="R39" si="25">ROUND(J39,1)-ROUND(C39,1)-ROUND(D39,1)-ROUND(E39,1)-ROUND(F39,1)-ROUND(G39,1)-ROUND(H39,1)-ROUND(I39,1)</f>
        <v>7.9580786405131221E-13</v>
      </c>
      <c r="S39" s="618">
        <f t="shared" ref="S39" si="26">ROUND(J39,1)-ROUND(K39,1)-ROUND(L39,1)-ROUND(M39,1)-ROUND(N39,1)-ROUND(O39,1)-ROUND(P39,1)-ROUND(Q39,1)</f>
        <v>0</v>
      </c>
    </row>
    <row r="40" spans="1:19" s="152" customFormat="1" ht="16.5" customHeight="1">
      <c r="A40" s="1982"/>
      <c r="B40" s="739" t="s">
        <v>424</v>
      </c>
      <c r="C40" s="672">
        <f>'[75]3B'!$AH$186+0.05</f>
        <v>42212.066266559908</v>
      </c>
      <c r="D40" s="674">
        <f>SUM('[75]3B'!$AH$189:$AH$193)</f>
        <v>13650.732987013816</v>
      </c>
      <c r="E40" s="674">
        <f>'[75]3B'!$AH$69+'[75]3B'!$AH$188+'[75]3B'!$AH$120+'[75]3B'!$AH$122+SUM('[75]3B'!$AH$199:$AH$203)+'[75]3B'!$AH$86+'[75]3B'!$AH$90+'[75]3B'!$AH$105+'[75]3B'!$AH$118</f>
        <v>2388.7706991770037</v>
      </c>
      <c r="F40" s="674">
        <f>'[75]3B'!$AH$130+'[75]3B'!$AH$141+'[75]3B'!$AH$170</f>
        <v>4950.9170705832303</v>
      </c>
      <c r="G40" s="674">
        <f>'[75]3B'!$AH$15</f>
        <v>4518.4322670365473</v>
      </c>
      <c r="H40" s="674">
        <f>'[75]3B'!$AH$204+'[75]3B'!$AH$229+'[75]3B'!$AH$187</f>
        <v>1099.0634494108224</v>
      </c>
      <c r="I40" s="675">
        <f>$J40-SUM(C40:H40)</f>
        <v>287.34873357375909</v>
      </c>
      <c r="J40" s="1461">
        <f>'[75]3B'!$AH$272</f>
        <v>69107.331473355094</v>
      </c>
      <c r="K40" s="674">
        <f>'[75]3A'!$AX$186</f>
        <v>33549.798877643254</v>
      </c>
      <c r="L40" s="674">
        <f>SUM('[75]3A'!$AX$189:$AX$193)</f>
        <v>20519.165872021771</v>
      </c>
      <c r="M40" s="674">
        <f>'[75]3A'!$AX$69+'[75]3A'!$AX$188+'[75]3A'!$AX$120+'[75]3A'!$AX$122+SUM('[75]3A'!$AX$199:$AX$203)+'[75]3A'!$AX$86+'[75]3A'!$AX$90+'[75]3A'!$AX$105+'[75]3A'!$AX$118</f>
        <v>3736.7868392604501</v>
      </c>
      <c r="N40" s="674">
        <f>'[75]3A'!$AX$130+'[75]3A'!$AX$141+'[75]3A'!$AX$170</f>
        <v>2016.1799917134106</v>
      </c>
      <c r="O40" s="674">
        <f>'[75]3A'!$AX$15</f>
        <v>7426.3877050310912</v>
      </c>
      <c r="P40" s="674">
        <f>'[75]3A'!$AX$204+'[75]3A'!$AX$229+'[75]3A'!$AX$187</f>
        <v>1693.3332649947299</v>
      </c>
      <c r="Q40" s="670">
        <f>$J40-SUM(K40:P40)-0.03</f>
        <v>165.64892269039294</v>
      </c>
      <c r="R40" s="618">
        <f t="shared" ref="R40" si="27">ROUND(J40,1)-ROUND(C40,1)-ROUND(D40,1)-ROUND(E40,1)-ROUND(F40,1)-ROUND(G40,1)-ROUND(H40,1)-ROUND(I40,1)</f>
        <v>5.1727511163335294E-12</v>
      </c>
      <c r="S40" s="618">
        <f t="shared" ref="S40" si="28">ROUND(J40,1)-ROUND(K40,1)-ROUND(L40,1)-ROUND(M40,1)-ROUND(N40,1)-ROUND(O40,1)-ROUND(P40,1)-ROUND(Q40,1)</f>
        <v>-3.1263880373444408E-13</v>
      </c>
    </row>
    <row r="41" spans="1:19" s="152" customFormat="1" ht="16.5" customHeight="1">
      <c r="A41" s="1982"/>
      <c r="B41" s="739" t="s">
        <v>425</v>
      </c>
      <c r="C41" s="674">
        <f>'[76]3B'!$AH$186</f>
        <v>42880.011491359066</v>
      </c>
      <c r="D41" s="674">
        <f>SUM('[76]3B'!$AH$189:$AH$193)</f>
        <v>13227.622401473955</v>
      </c>
      <c r="E41" s="674">
        <f>'[76]3B'!$AH$69+'[76]3B'!$AH$188+'[76]3B'!$AH$120+'[76]3B'!$AH$122+SUM('[76]3B'!$AH$199:$AH$203)+'[76]3B'!$AH$86+'[76]3B'!$AH$90+'[76]3B'!$AH$105+'[76]3B'!$AH$118</f>
        <v>2499.5956606652894</v>
      </c>
      <c r="F41" s="674">
        <f>'[76]3B'!$AH$130+'[76]3B'!$AH$141+'[76]3B'!$AH$170</f>
        <v>4655.0805454757301</v>
      </c>
      <c r="G41" s="674">
        <f>'[76]3B'!$AH$15</f>
        <v>4727.8900188903208</v>
      </c>
      <c r="H41" s="674">
        <f>'[76]3B'!$AH$204+'[76]3B'!$AH$229+'[76]3B'!$AH$187</f>
        <v>1000.1957490637025</v>
      </c>
      <c r="I41" s="675">
        <f>$J41-SUM(C41:H41)</f>
        <v>263.73796844834578</v>
      </c>
      <c r="J41" s="673">
        <f>'[76]3B'!$AH$272-0.55</f>
        <v>69254.1338353764</v>
      </c>
      <c r="K41" s="674">
        <f>'[76]3A'!$AX$186</f>
        <v>33705.617160546833</v>
      </c>
      <c r="L41" s="674">
        <f>SUM('[76]3A'!$AX$189:$AX$193)</f>
        <v>20770.021308299732</v>
      </c>
      <c r="M41" s="674">
        <f>'[76]3A'!$AX$69+'[76]3A'!$AX$188+'[76]3A'!$AX$120+'[76]3A'!$AX$122+SUM('[76]3A'!$AX$199:$AX$203)+'[76]3A'!$AX$86+'[76]3A'!$AX$90+'[76]3A'!$AX$105+'[76]3A'!$AX$118</f>
        <v>3592.0801882453934</v>
      </c>
      <c r="N41" s="674">
        <f>'[76]3A'!$AX$130+'[76]3A'!$AX$141+'[76]3A'!$AX$170</f>
        <v>2221.1770072292675</v>
      </c>
      <c r="O41" s="674">
        <f>'[76]3A'!$AX$15</f>
        <v>7129.1126602112436</v>
      </c>
      <c r="P41" s="674">
        <f>'[76]3A'!$AX$204+'[76]3A'!$AX$229+'[76]3A'!$AX$187</f>
        <v>1692.3357248341499</v>
      </c>
      <c r="Q41" s="675">
        <f>$J41-SUM(K41:P41)</f>
        <v>143.7897860097728</v>
      </c>
      <c r="R41" s="618">
        <f t="shared" ref="R41" si="29">ROUND(J41,1)-ROUND(C41,1)-ROUND(D41,1)-ROUND(E41,1)-ROUND(F41,1)-ROUND(G41,1)-ROUND(H41,1)-ROUND(I41,1)</f>
        <v>5.0590642786119133E-12</v>
      </c>
      <c r="S41" s="618">
        <f t="shared" ref="S41" si="30">ROUND(J41,1)-ROUND(K41,1)-ROUND(L41,1)-ROUND(M41,1)-ROUND(N41,1)-ROUND(O41,1)-ROUND(P41,1)-ROUND(Q41,1)</f>
        <v>7.673861546209082E-12</v>
      </c>
    </row>
    <row r="42" spans="1:19" s="152" customFormat="1" ht="16.5" customHeight="1">
      <c r="A42" s="1982"/>
      <c r="B42" s="739" t="s">
        <v>426</v>
      </c>
      <c r="C42" s="674">
        <f>'[77]3B'!$AH$186</f>
        <v>42727.46679919368</v>
      </c>
      <c r="D42" s="674">
        <f>SUM('[77]3B'!$AH$189:$AH$193)</f>
        <v>13532.572631777311</v>
      </c>
      <c r="E42" s="674">
        <f>'[77]3B'!$AH$69+'[77]3B'!$AH$188+'[77]3B'!$AH$120+'[77]3B'!$AH$122+SUM('[77]3B'!$AH$199:$AH$203)+'[77]3B'!$AH$86+'[77]3B'!$AH$90+'[77]3B'!$AH$105+'[77]3B'!$AH$118</f>
        <v>2769.7436735168808</v>
      </c>
      <c r="F42" s="674">
        <f>'[77]3B'!$AH$130+'[77]3B'!$AH$141+'[77]3B'!$AH$170</f>
        <v>4993.5256787299359</v>
      </c>
      <c r="G42" s="674">
        <f>'[77]3B'!$AH$15</f>
        <v>5100.1983937719287</v>
      </c>
      <c r="H42" s="674">
        <f>'[77]3B'!$AH$204+'[77]3B'!$AH$229+'[77]3B'!$AH$187</f>
        <v>1109.3175783847228</v>
      </c>
      <c r="I42" s="670">
        <f>$J42-SUM(C42:H42)-0.05</f>
        <v>273.66552288436213</v>
      </c>
      <c r="J42" s="673">
        <f>'[77]3B'!$AH$272-0.08</f>
        <v>70506.540278258835</v>
      </c>
      <c r="K42" s="674">
        <f>'[77]3A'!$AX$186</f>
        <v>34561.338031723557</v>
      </c>
      <c r="L42" s="674">
        <f>SUM('[77]3A'!$AX$189:$AX$193)</f>
        <v>20862.94173535092</v>
      </c>
      <c r="M42" s="674">
        <f>'[77]3A'!$AX$69+'[77]3A'!$AX$188+'[77]3A'!$AX$120+'[77]3A'!$AX$122+SUM('[77]3A'!$AX$199:$AX$203)+'[77]3A'!$AX$86+'[77]3A'!$AX$90+'[77]3A'!$AX$105+'[77]3A'!$AX$118</f>
        <v>3424.2170699878648</v>
      </c>
      <c r="N42" s="674">
        <f>'[77]3A'!$AX$130+'[77]3A'!$AX$141+'[77]3A'!$AX$170</f>
        <v>2259.9139772939316</v>
      </c>
      <c r="O42" s="674">
        <f>'[77]3A'!$AX$15</f>
        <v>7616.7554398392167</v>
      </c>
      <c r="P42" s="674">
        <f>'[77]3A'!$AX$204+'[77]3A'!$AX$229+'[77]3A'!$AX$187</f>
        <v>1632.6971142074838</v>
      </c>
      <c r="Q42" s="675">
        <f>$J42-SUM(K42:P42)</f>
        <v>148.67690985585796</v>
      </c>
      <c r="R42" s="618">
        <f t="shared" ref="R42" si="31">ROUND(J42,1)-ROUND(C42,1)-ROUND(D42,1)-ROUND(E42,1)-ROUND(F42,1)-ROUND(G42,1)-ROUND(H42,1)-ROUND(I42,1)</f>
        <v>9.6633812063373625E-13</v>
      </c>
      <c r="S42" s="618">
        <f t="shared" ref="S42" si="32">ROUND(J42,1)-ROUND(K42,1)-ROUND(L42,1)-ROUND(M42,1)-ROUND(N42,1)-ROUND(O42,1)-ROUND(P42,1)-ROUND(Q42,1)</f>
        <v>-4.9453774408902973E-12</v>
      </c>
    </row>
    <row r="43" spans="1:19" s="152" customFormat="1" ht="16.5" customHeight="1">
      <c r="A43" s="1982"/>
      <c r="B43" s="739" t="s">
        <v>427</v>
      </c>
      <c r="C43" s="674">
        <f>'[78]3B'!$AH$186</f>
        <v>42844.200707609067</v>
      </c>
      <c r="D43" s="674">
        <f>SUM('[78]3B'!$AH$189:$AH$193)</f>
        <v>13081.012793382026</v>
      </c>
      <c r="E43" s="674">
        <f>'[78]3B'!$AH$69+'[78]3B'!$AH$188+'[78]3B'!$AH$120+'[78]3B'!$AH$122+SUM('[78]3B'!$AH$199:$AH$203)+'[78]3B'!$AH$86+'[78]3B'!$AH$90+'[78]3B'!$AH$105+'[78]3B'!$AH$118</f>
        <v>2659.5539679958924</v>
      </c>
      <c r="F43" s="674">
        <f>'[78]3B'!$AH$130+'[78]3B'!$AH$141+'[78]3B'!$AH$170</f>
        <v>5318.4382602701171</v>
      </c>
      <c r="G43" s="674">
        <f>'[78]3B'!$AH$15</f>
        <v>4858.8484705027804</v>
      </c>
      <c r="H43" s="674">
        <f>'[78]3B'!$AH$204+'[78]3B'!$AH$229+'[78]3B'!$AH$187</f>
        <v>967.17218407391852</v>
      </c>
      <c r="I43" s="675">
        <f>$J43-SUM(C43:H43)</f>
        <v>263.16918527110829</v>
      </c>
      <c r="J43" s="1461">
        <f>'[78]3B'!$AH$272</f>
        <v>69992.395569104905</v>
      </c>
      <c r="K43" s="674">
        <f>'[78]3A'!$AX$186</f>
        <v>34734.581588362373</v>
      </c>
      <c r="L43" s="674">
        <f>SUM('[78]3A'!$AX$189:$AX$193)</f>
        <v>20143.55585925826</v>
      </c>
      <c r="M43" s="672">
        <f>'[78]3A'!$AX$69+'[78]3A'!$AX$188+'[78]3A'!$AX$120+'[78]3A'!$AX$122+SUM('[78]3A'!$AX$199:$AX$203)+'[78]3A'!$AX$86+'[78]3A'!$AX$90+'[78]3A'!$AX$105+'[78]3A'!$AX$118-0.01</f>
        <v>3542.4448008458944</v>
      </c>
      <c r="N43" s="674">
        <f>'[78]3A'!$AX$130+'[78]3A'!$AX$141+'[78]3A'!$AX$170</f>
        <v>2231.6171738041321</v>
      </c>
      <c r="O43" s="674">
        <f>'[78]3A'!$AX$15</f>
        <v>7533.1737386671384</v>
      </c>
      <c r="P43" s="674">
        <f>'[78]3A'!$AX$204+'[78]3A'!$AX$229+'[78]3A'!$AX$187</f>
        <v>1655.5925669552062</v>
      </c>
      <c r="Q43" s="675">
        <f>$J43-SUM(K43:P43)</f>
        <v>151.42984121189511</v>
      </c>
      <c r="R43" s="618">
        <f t="shared" ref="R43" si="33">ROUND(J43,1)-ROUND(C43,1)-ROUND(D43,1)-ROUND(E43,1)-ROUND(F43,1)-ROUND(G43,1)-ROUND(H43,1)-ROUND(I43,1)</f>
        <v>-3.1263880373444408E-12</v>
      </c>
      <c r="S43" s="618">
        <f t="shared" ref="S43" si="34">ROUND(J43,1)-ROUND(K43,1)-ROUND(L43,1)-ROUND(M43,1)-ROUND(N43,1)-ROUND(O43,1)-ROUND(P43,1)-ROUND(Q43,1)</f>
        <v>-2.6432189770275727E-12</v>
      </c>
    </row>
    <row r="44" spans="1:19" ht="20.25" customHeight="1">
      <c r="A44" s="292" t="s">
        <v>1108</v>
      </c>
      <c r="B44" s="232"/>
      <c r="C44" s="232"/>
      <c r="D44" s="232"/>
      <c r="E44" s="232"/>
      <c r="F44" s="232"/>
      <c r="G44" s="232"/>
      <c r="H44" s="232"/>
      <c r="I44" s="232"/>
      <c r="J44" s="232"/>
      <c r="K44" s="232"/>
      <c r="L44" s="232"/>
      <c r="M44" s="232"/>
      <c r="N44" s="652"/>
      <c r="O44" s="232"/>
      <c r="P44" s="232"/>
      <c r="Q44" s="291" t="s">
        <v>1109</v>
      </c>
    </row>
    <row r="45" spans="1:19" s="635" customFormat="1" ht="15.5">
      <c r="A45" s="372" t="s">
        <v>983</v>
      </c>
      <c r="B45" s="372"/>
      <c r="C45" s="372"/>
      <c r="D45" s="372"/>
      <c r="E45" s="372"/>
      <c r="F45" s="372"/>
      <c r="G45" s="372"/>
      <c r="H45" s="372"/>
      <c r="I45" s="372"/>
      <c r="J45" s="317"/>
      <c r="K45" s="317"/>
      <c r="L45" s="317"/>
      <c r="M45" s="317"/>
      <c r="N45" s="317"/>
      <c r="O45" s="317"/>
      <c r="P45" s="317"/>
      <c r="Q45" s="1415" t="s">
        <v>984</v>
      </c>
      <c r="R45" s="185"/>
      <c r="S45" s="185"/>
    </row>
    <row r="47" spans="1:19" s="635" customFormat="1" ht="15.5">
      <c r="A47" s="317" t="s">
        <v>1110</v>
      </c>
      <c r="B47" s="317"/>
      <c r="C47" s="317"/>
      <c r="D47" s="317"/>
      <c r="E47" s="317"/>
      <c r="F47" s="317"/>
      <c r="G47" s="317"/>
      <c r="H47" s="317"/>
      <c r="I47" s="317"/>
      <c r="J47" s="317"/>
      <c r="K47" s="317"/>
      <c r="L47" s="317"/>
      <c r="M47" s="317"/>
      <c r="N47" s="317"/>
      <c r="O47" s="317"/>
      <c r="P47" s="317"/>
      <c r="Q47" s="317"/>
      <c r="R47" s="185"/>
      <c r="S47" s="185"/>
    </row>
  </sheetData>
  <phoneticPr fontId="51" type="noConversion"/>
  <printOptions horizontalCentered="1" verticalCentered="1"/>
  <pageMargins left="0" right="0" top="0" bottom="0" header="0.5" footer="0.5"/>
  <pageSetup paperSize="9" scale="6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tabColor rgb="FFFF0000"/>
  </sheetPr>
  <dimension ref="A1:T47"/>
  <sheetViews>
    <sheetView zoomScale="80" zoomScaleNormal="80" workbookViewId="0">
      <pane ySplit="12" topLeftCell="A36" activePane="bottomLeft" state="frozen"/>
      <selection activeCell="B44" sqref="B44"/>
      <selection pane="bottomLeft" activeCell="C43" sqref="C43"/>
    </sheetView>
  </sheetViews>
  <sheetFormatPr defaultColWidth="9.1796875" defaultRowHeight="12.5"/>
  <cols>
    <col min="1" max="2" width="9.7265625" style="18" customWidth="1"/>
    <col min="3" max="3" width="11.453125" style="18" customWidth="1"/>
    <col min="4" max="4" width="12.81640625" style="18" customWidth="1"/>
    <col min="5" max="5" width="12.7265625" style="18" customWidth="1"/>
    <col min="6" max="6" width="10.26953125" style="18" customWidth="1"/>
    <col min="7" max="7" width="11.81640625" style="18" customWidth="1"/>
    <col min="8" max="8" width="12" style="18" customWidth="1"/>
    <col min="9" max="9" width="10.26953125" style="18" customWidth="1"/>
    <col min="10" max="10" width="12.7265625" style="18" customWidth="1"/>
    <col min="11" max="11" width="11.453125" style="18" customWidth="1"/>
    <col min="12" max="12" width="12.81640625" style="18" customWidth="1"/>
    <col min="13" max="13" width="11.7265625" style="18" customWidth="1"/>
    <col min="14" max="14" width="10.26953125" style="18" customWidth="1"/>
    <col min="15" max="15" width="11.7265625" style="18" customWidth="1"/>
    <col min="16" max="16" width="12.26953125" style="18" customWidth="1"/>
    <col min="17" max="17" width="10.7265625" style="18" customWidth="1"/>
    <col min="18" max="16384" width="9.1796875" style="18"/>
  </cols>
  <sheetData>
    <row r="1" spans="1:19" s="915" customFormat="1" ht="18">
      <c r="A1" s="1091" t="s">
        <v>1111</v>
      </c>
      <c r="B1" s="1113"/>
      <c r="C1" s="1113"/>
      <c r="D1" s="1113"/>
      <c r="E1" s="1113"/>
      <c r="F1" s="1113"/>
      <c r="G1" s="1113"/>
      <c r="H1" s="1113"/>
      <c r="I1" s="1113"/>
      <c r="J1" s="1113"/>
      <c r="K1" s="1113"/>
      <c r="L1" s="1113"/>
      <c r="M1" s="1113"/>
      <c r="N1" s="1113"/>
      <c r="O1" s="1113"/>
      <c r="P1" s="1113"/>
      <c r="Q1" s="1113"/>
    </row>
    <row r="2" spans="1:19" s="915" customFormat="1" ht="18">
      <c r="A2" s="1036" t="s">
        <v>1112</v>
      </c>
      <c r="B2" s="1113"/>
      <c r="C2" s="1113"/>
      <c r="D2" s="1113"/>
      <c r="E2" s="1113"/>
      <c r="F2" s="1113"/>
      <c r="G2" s="1113"/>
      <c r="H2" s="1113"/>
      <c r="I2" s="1113"/>
      <c r="J2" s="1113"/>
      <c r="K2" s="1113"/>
      <c r="L2" s="1113"/>
      <c r="M2" s="1113"/>
      <c r="N2" s="1113"/>
      <c r="O2" s="1113"/>
      <c r="P2" s="1113"/>
      <c r="Q2" s="1113"/>
    </row>
    <row r="3" spans="1:19" s="915" customFormat="1" ht="18">
      <c r="A3" s="1146" t="s">
        <v>1113</v>
      </c>
      <c r="B3" s="1113"/>
      <c r="C3" s="1113"/>
      <c r="D3" s="1113"/>
      <c r="E3" s="1113"/>
      <c r="F3" s="1113"/>
      <c r="G3" s="1113"/>
      <c r="H3" s="1113"/>
      <c r="I3" s="1113"/>
      <c r="J3" s="1113"/>
      <c r="K3" s="1113"/>
      <c r="L3" s="1113"/>
      <c r="M3" s="1113"/>
      <c r="N3" s="1113"/>
      <c r="O3" s="1113"/>
      <c r="P3" s="1113"/>
      <c r="Q3" s="1113"/>
    </row>
    <row r="4" spans="1:19" s="662" customFormat="1" ht="14">
      <c r="A4" s="662" t="s">
        <v>784</v>
      </c>
      <c r="B4" s="1147"/>
      <c r="Q4" s="1148" t="s">
        <v>785</v>
      </c>
    </row>
    <row r="5" spans="1:19" s="889" customFormat="1" ht="14" hidden="1">
      <c r="A5" s="1149"/>
      <c r="B5" s="1150"/>
      <c r="C5" s="1151"/>
      <c r="D5" s="1151"/>
      <c r="E5" s="1151"/>
      <c r="F5" s="1151"/>
      <c r="G5" s="1151"/>
      <c r="H5" s="1151"/>
      <c r="I5" s="1151"/>
      <c r="J5" s="1151"/>
      <c r="K5" s="1151"/>
      <c r="L5" s="1151"/>
      <c r="Q5" s="1152"/>
    </row>
    <row r="6" spans="1:19" s="483" customFormat="1" ht="14" hidden="1">
      <c r="A6" s="626"/>
      <c r="B6" s="627"/>
      <c r="C6" s="628"/>
      <c r="D6" s="628"/>
      <c r="E6" s="628"/>
      <c r="F6" s="628"/>
      <c r="G6" s="628"/>
      <c r="H6" s="628"/>
      <c r="I6" s="628"/>
      <c r="J6" s="628"/>
      <c r="K6" s="628"/>
      <c r="L6" s="628"/>
      <c r="Q6" s="629"/>
    </row>
    <row r="7" spans="1:19" s="889" customFormat="1" ht="14" hidden="1">
      <c r="A7" s="1149"/>
      <c r="B7" s="1150"/>
      <c r="C7" s="1151"/>
      <c r="D7" s="1151"/>
      <c r="E7" s="1151"/>
      <c r="F7" s="1151"/>
      <c r="G7" s="1151"/>
      <c r="H7" s="1151"/>
      <c r="I7" s="1151"/>
      <c r="J7" s="1151"/>
      <c r="K7" s="1151"/>
      <c r="L7" s="1151"/>
      <c r="Q7" s="1152"/>
    </row>
    <row r="8" spans="1:19" s="166" customFormat="1" ht="23.9" customHeight="1">
      <c r="A8" s="176"/>
      <c r="B8" s="164"/>
      <c r="C8" s="630" t="s">
        <v>379</v>
      </c>
      <c r="D8" s="179"/>
      <c r="E8" s="165"/>
      <c r="F8" s="165"/>
      <c r="G8" s="165"/>
      <c r="H8" s="165"/>
      <c r="I8" s="636" t="s">
        <v>380</v>
      </c>
      <c r="J8" s="637"/>
      <c r="K8" s="638" t="s">
        <v>381</v>
      </c>
      <c r="L8" s="179"/>
      <c r="M8" s="165"/>
      <c r="N8" s="165"/>
      <c r="O8" s="165"/>
      <c r="P8" s="165"/>
      <c r="Q8" s="639" t="s">
        <v>382</v>
      </c>
    </row>
    <row r="9" spans="1:19" s="181" customFormat="1" ht="18" customHeight="1">
      <c r="A9" s="180"/>
      <c r="C9" s="187" t="s">
        <v>989</v>
      </c>
      <c r="D9" s="182" t="s">
        <v>990</v>
      </c>
      <c r="E9" s="182" t="s">
        <v>991</v>
      </c>
      <c r="F9" s="167" t="s">
        <v>992</v>
      </c>
      <c r="G9" s="167"/>
      <c r="H9" s="182" t="s">
        <v>993</v>
      </c>
      <c r="I9" s="182"/>
      <c r="J9" s="199"/>
      <c r="K9" s="187" t="s">
        <v>989</v>
      </c>
      <c r="L9" s="182" t="s">
        <v>990</v>
      </c>
      <c r="M9" s="182" t="s">
        <v>991</v>
      </c>
      <c r="N9" s="167" t="s">
        <v>992</v>
      </c>
      <c r="O9" s="167"/>
      <c r="P9" s="182" t="s">
        <v>993</v>
      </c>
      <c r="Q9" s="182"/>
    </row>
    <row r="10" spans="1:19" s="181" customFormat="1" ht="18" customHeight="1">
      <c r="A10" s="168" t="s">
        <v>387</v>
      </c>
      <c r="B10" s="170"/>
      <c r="C10" s="187" t="s">
        <v>994</v>
      </c>
      <c r="D10" s="182" t="s">
        <v>995</v>
      </c>
      <c r="E10" s="182" t="s">
        <v>996</v>
      </c>
      <c r="F10" s="167" t="s">
        <v>997</v>
      </c>
      <c r="G10" s="167" t="s">
        <v>355</v>
      </c>
      <c r="H10" s="182" t="s">
        <v>998</v>
      </c>
      <c r="I10" s="182" t="s">
        <v>399</v>
      </c>
      <c r="J10" s="198" t="s">
        <v>390</v>
      </c>
      <c r="K10" s="187" t="s">
        <v>994</v>
      </c>
      <c r="L10" s="182" t="s">
        <v>995</v>
      </c>
      <c r="M10" s="182" t="s">
        <v>996</v>
      </c>
      <c r="N10" s="167" t="s">
        <v>997</v>
      </c>
      <c r="O10" s="167" t="s">
        <v>355</v>
      </c>
      <c r="P10" s="182" t="s">
        <v>998</v>
      </c>
      <c r="Q10" s="182" t="s">
        <v>399</v>
      </c>
    </row>
    <row r="11" spans="1:19" s="169" customFormat="1" ht="18" customHeight="1">
      <c r="A11" s="183" t="s">
        <v>395</v>
      </c>
      <c r="B11" s="170"/>
      <c r="C11" s="196" t="s">
        <v>999</v>
      </c>
      <c r="D11" s="171" t="s">
        <v>1000</v>
      </c>
      <c r="E11" s="171" t="s">
        <v>1001</v>
      </c>
      <c r="F11" s="171" t="s">
        <v>1002</v>
      </c>
      <c r="G11" s="171" t="s">
        <v>557</v>
      </c>
      <c r="H11" s="171" t="s">
        <v>1003</v>
      </c>
      <c r="I11" s="173" t="s">
        <v>407</v>
      </c>
      <c r="J11" s="200" t="s">
        <v>400</v>
      </c>
      <c r="K11" s="196" t="s">
        <v>999</v>
      </c>
      <c r="L11" s="171" t="s">
        <v>1000</v>
      </c>
      <c r="M11" s="171" t="s">
        <v>1001</v>
      </c>
      <c r="N11" s="171" t="s">
        <v>1002</v>
      </c>
      <c r="O11" s="171" t="s">
        <v>557</v>
      </c>
      <c r="P11" s="171" t="s">
        <v>1003</v>
      </c>
      <c r="Q11" s="173" t="s">
        <v>407</v>
      </c>
    </row>
    <row r="12" spans="1:19" s="169" customFormat="1" ht="18" customHeight="1">
      <c r="A12" s="184"/>
      <c r="B12" s="175"/>
      <c r="C12" s="197" t="s">
        <v>1004</v>
      </c>
      <c r="D12" s="203" t="s">
        <v>1005</v>
      </c>
      <c r="E12" s="203" t="s">
        <v>1006</v>
      </c>
      <c r="F12" s="203" t="s">
        <v>1007</v>
      </c>
      <c r="G12" s="203"/>
      <c r="H12" s="203" t="s">
        <v>1008</v>
      </c>
      <c r="I12" s="204"/>
      <c r="J12" s="201"/>
      <c r="K12" s="197" t="s">
        <v>1004</v>
      </c>
      <c r="L12" s="203" t="s">
        <v>1005</v>
      </c>
      <c r="M12" s="203" t="s">
        <v>1006</v>
      </c>
      <c r="N12" s="203" t="s">
        <v>1007</v>
      </c>
      <c r="O12" s="203"/>
      <c r="P12" s="203" t="s">
        <v>1008</v>
      </c>
      <c r="Q12" s="203"/>
    </row>
    <row r="13" spans="1:19" s="880" customFormat="1" ht="27" customHeight="1">
      <c r="A13" s="664">
        <v>2016</v>
      </c>
      <c r="B13" s="665"/>
      <c r="C13" s="668">
        <v>12221.832050879153</v>
      </c>
      <c r="D13" s="668">
        <v>988.8887977609437</v>
      </c>
      <c r="E13" s="669">
        <v>10733.120021225248</v>
      </c>
      <c r="F13" s="669">
        <v>163.84019281613826</v>
      </c>
      <c r="G13" s="669">
        <v>371.70641893705169</v>
      </c>
      <c r="H13" s="669">
        <v>0.58169855502127654</v>
      </c>
      <c r="I13" s="669">
        <v>1810.5778294911663</v>
      </c>
      <c r="J13" s="671">
        <v>26290.53700966472</v>
      </c>
      <c r="K13" s="669">
        <v>12058.872059951289</v>
      </c>
      <c r="L13" s="669">
        <v>664.09850194428304</v>
      </c>
      <c r="M13" s="669">
        <v>12560.10146326713</v>
      </c>
      <c r="N13" s="669">
        <v>167.02197114142552</v>
      </c>
      <c r="O13" s="1025">
        <v>509.41346495740629</v>
      </c>
      <c r="P13" s="669">
        <v>0.55820311285106383</v>
      </c>
      <c r="Q13" s="669">
        <v>330.4423208226462</v>
      </c>
      <c r="R13" s="352"/>
      <c r="S13" s="352"/>
    </row>
    <row r="14" spans="1:19" s="666" customFormat="1" ht="18" customHeight="1">
      <c r="A14" s="664">
        <v>2017</v>
      </c>
      <c r="B14" s="665"/>
      <c r="C14" s="668">
        <v>12417.675752660667</v>
      </c>
      <c r="D14" s="668">
        <v>1297.9253813911946</v>
      </c>
      <c r="E14" s="669">
        <v>11046.520094957872</v>
      </c>
      <c r="F14" s="669">
        <v>114.27575935183383</v>
      </c>
      <c r="G14" s="669">
        <v>548.69374240537593</v>
      </c>
      <c r="H14" s="669">
        <v>0.77059188176750548</v>
      </c>
      <c r="I14" s="669">
        <v>1319.6385241983678</v>
      </c>
      <c r="J14" s="671">
        <v>26745.499846847077</v>
      </c>
      <c r="K14" s="668">
        <v>12123.199797986686</v>
      </c>
      <c r="L14" s="668">
        <v>1353.6755879829595</v>
      </c>
      <c r="M14" s="669">
        <v>12607.586559539341</v>
      </c>
      <c r="N14" s="669">
        <v>87.300481138132113</v>
      </c>
      <c r="O14" s="669">
        <v>568.82392471382684</v>
      </c>
      <c r="P14" s="669">
        <v>0.7055176436170213</v>
      </c>
      <c r="Q14" s="669">
        <v>4.2285762529785398</v>
      </c>
      <c r="R14" s="352"/>
      <c r="S14" s="352"/>
    </row>
    <row r="15" spans="1:19" s="666" customFormat="1" ht="18" customHeight="1">
      <c r="A15" s="664">
        <v>2018</v>
      </c>
      <c r="B15" s="665"/>
      <c r="C15" s="668">
        <v>12973.940703754573</v>
      </c>
      <c r="D15" s="668">
        <v>1667.7045393166379</v>
      </c>
      <c r="E15" s="669">
        <v>11036.396057784727</v>
      </c>
      <c r="F15" s="669">
        <v>208.88058757254089</v>
      </c>
      <c r="G15" s="669">
        <v>701.81380433791514</v>
      </c>
      <c r="H15" s="669">
        <v>0.71344325531383002</v>
      </c>
      <c r="I15" s="669">
        <v>1338.7758319056211</v>
      </c>
      <c r="J15" s="671">
        <v>27928.234967927336</v>
      </c>
      <c r="K15" s="668">
        <v>12157.168377798756</v>
      </c>
      <c r="L15" s="668">
        <v>1534.7177563647479</v>
      </c>
      <c r="M15" s="669">
        <v>13328.140749456108</v>
      </c>
      <c r="N15" s="669">
        <v>193.99781485134457</v>
      </c>
      <c r="O15" s="669">
        <v>706.9718932171844</v>
      </c>
      <c r="P15" s="669">
        <v>0.72249986314893633</v>
      </c>
      <c r="Q15" s="669">
        <v>6.4650265544044441</v>
      </c>
      <c r="R15" s="1006"/>
      <c r="S15" s="1006"/>
    </row>
    <row r="16" spans="1:19" s="666" customFormat="1" ht="18" customHeight="1">
      <c r="A16" s="664">
        <v>2019</v>
      </c>
      <c r="B16" s="665"/>
      <c r="C16" s="668">
        <v>14241.453063865696</v>
      </c>
      <c r="D16" s="668">
        <v>1563.0055445919013</v>
      </c>
      <c r="E16" s="669">
        <v>13641.58948086137</v>
      </c>
      <c r="F16" s="669">
        <v>151.74124397014916</v>
      </c>
      <c r="G16" s="669">
        <v>1203.0466399299019</v>
      </c>
      <c r="H16" s="669">
        <v>0.58498329270850868</v>
      </c>
      <c r="I16" s="669">
        <v>1281.2395931548135</v>
      </c>
      <c r="J16" s="671">
        <v>32082.61054966654</v>
      </c>
      <c r="K16" s="668">
        <v>13054.797748190676</v>
      </c>
      <c r="L16" s="668">
        <v>4581.8390924066844</v>
      </c>
      <c r="M16" s="669">
        <v>13204.444114013775</v>
      </c>
      <c r="N16" s="669">
        <v>134.70329132970215</v>
      </c>
      <c r="O16" s="669">
        <v>1104.7857438679255</v>
      </c>
      <c r="P16" s="669">
        <v>0.58455964689361695</v>
      </c>
      <c r="Q16" s="669">
        <v>1.5301938144680511</v>
      </c>
      <c r="R16" s="1006"/>
      <c r="S16" s="1006"/>
    </row>
    <row r="17" spans="1:19" s="666" customFormat="1" ht="18" customHeight="1">
      <c r="A17" s="664">
        <v>2020</v>
      </c>
      <c r="B17" s="665"/>
      <c r="C17" s="668">
        <v>14844.281941947993</v>
      </c>
      <c r="D17" s="668">
        <v>1366.9276938842768</v>
      </c>
      <c r="E17" s="669">
        <v>13407.016916723633</v>
      </c>
      <c r="F17" s="669">
        <v>74.256769210476151</v>
      </c>
      <c r="G17" s="669">
        <v>726.20463473587051</v>
      </c>
      <c r="H17" s="669">
        <v>0.74016472638975861</v>
      </c>
      <c r="I17" s="669">
        <v>1191.9618352761242</v>
      </c>
      <c r="J17" s="671">
        <v>31611.359956504763</v>
      </c>
      <c r="K17" s="668">
        <v>14137.259818520381</v>
      </c>
      <c r="L17" s="668">
        <v>4775.8621070732479</v>
      </c>
      <c r="M17" s="669">
        <v>11972.290980688265</v>
      </c>
      <c r="N17" s="669">
        <v>73.819141667355439</v>
      </c>
      <c r="O17" s="669">
        <v>630.05337070842552</v>
      </c>
      <c r="P17" s="669">
        <v>0.73141486614893614</v>
      </c>
      <c r="Q17" s="669">
        <v>21.274603441638401</v>
      </c>
      <c r="R17" s="1006"/>
      <c r="S17" s="1006"/>
    </row>
    <row r="18" spans="1:19" s="666" customFormat="1" ht="18" customHeight="1">
      <c r="A18" s="664">
        <v>2021</v>
      </c>
      <c r="B18" s="665"/>
      <c r="C18" s="668">
        <v>16211.615923287765</v>
      </c>
      <c r="D18" s="668">
        <v>853.24798040080839</v>
      </c>
      <c r="E18" s="669">
        <v>15947.952903213989</v>
      </c>
      <c r="F18" s="669">
        <v>66.641732232534153</v>
      </c>
      <c r="G18" s="669">
        <v>704.75758785337882</v>
      </c>
      <c r="H18" s="669">
        <v>0.86660790947714084</v>
      </c>
      <c r="I18" s="669">
        <v>769.66835644825107</v>
      </c>
      <c r="J18" s="671">
        <v>34554.840180883439</v>
      </c>
      <c r="K18" s="668">
        <v>15344.764716864347</v>
      </c>
      <c r="L18" s="668">
        <v>2470.1603284664366</v>
      </c>
      <c r="M18" s="669">
        <v>15150.609389963294</v>
      </c>
      <c r="N18" s="669">
        <v>64.965983405614367</v>
      </c>
      <c r="O18" s="669">
        <v>735.86135122560916</v>
      </c>
      <c r="P18" s="669">
        <v>0.85978878457446806</v>
      </c>
      <c r="Q18" s="669">
        <v>787.3874692317612</v>
      </c>
      <c r="R18" s="1006"/>
      <c r="S18" s="1006"/>
    </row>
    <row r="19" spans="1:19" s="2199" customFormat="1" ht="18" customHeight="1">
      <c r="A19" s="1983">
        <v>2022</v>
      </c>
      <c r="B19" s="1984"/>
      <c r="C19" s="674">
        <v>17281.718805588876</v>
      </c>
      <c r="D19" s="675">
        <v>849.08523247056678</v>
      </c>
      <c r="E19" s="675">
        <v>16915.974374001089</v>
      </c>
      <c r="F19" s="675">
        <v>47.806099602479975</v>
      </c>
      <c r="G19" s="675">
        <v>688.0743981131593</v>
      </c>
      <c r="H19" s="675">
        <v>0.70255470847414392</v>
      </c>
      <c r="I19" s="675">
        <v>281.65992137768097</v>
      </c>
      <c r="J19" s="1461">
        <v>36065.081385861733</v>
      </c>
      <c r="K19" s="674">
        <v>15207.697523298179</v>
      </c>
      <c r="L19" s="674">
        <v>5660.2678959463101</v>
      </c>
      <c r="M19" s="675">
        <v>14234.668664501703</v>
      </c>
      <c r="N19" s="675">
        <v>99.055734807329799</v>
      </c>
      <c r="O19" s="675">
        <v>833.31805321046329</v>
      </c>
      <c r="P19" s="675">
        <v>0.63506818351063832</v>
      </c>
      <c r="Q19" s="675">
        <v>29.427918466842527</v>
      </c>
      <c r="R19" s="618"/>
      <c r="S19" s="618"/>
    </row>
    <row r="20" spans="1:19" s="2199" customFormat="1" ht="18" customHeight="1">
      <c r="A20" s="1983">
        <v>2023</v>
      </c>
      <c r="B20" s="1984"/>
      <c r="C20" s="674">
        <v>17253.050250269887</v>
      </c>
      <c r="D20" s="674">
        <v>1427.4208984515124</v>
      </c>
      <c r="E20" s="675">
        <v>18350.155125147703</v>
      </c>
      <c r="F20" s="675">
        <v>88.311896868702149</v>
      </c>
      <c r="G20" s="675">
        <v>767.91357610837599</v>
      </c>
      <c r="H20" s="675">
        <v>0.53275775289361715</v>
      </c>
      <c r="I20" s="675">
        <v>347.02742903016474</v>
      </c>
      <c r="J20" s="1461">
        <v>38234.40193362924</v>
      </c>
      <c r="K20" s="674">
        <v>16200.750127781273</v>
      </c>
      <c r="L20" s="674">
        <v>6553.8085016038895</v>
      </c>
      <c r="M20" s="675">
        <v>13996.742001385028</v>
      </c>
      <c r="N20" s="675">
        <v>155.58920305021275</v>
      </c>
      <c r="O20" s="675">
        <v>837.73778287979781</v>
      </c>
      <c r="P20" s="675">
        <v>0.51975514893617025</v>
      </c>
      <c r="Q20" s="675">
        <v>489.25137618782935</v>
      </c>
      <c r="R20" s="618"/>
      <c r="S20" s="618"/>
    </row>
    <row r="21" spans="1:19" s="2199" customFormat="1" ht="18" customHeight="1">
      <c r="A21" s="1983">
        <v>2024</v>
      </c>
      <c r="B21" s="1984"/>
      <c r="C21" s="674">
        <v>21846.086171617131</v>
      </c>
      <c r="D21" s="674">
        <v>2288.0066650142107</v>
      </c>
      <c r="E21" s="675">
        <v>36696.238967598671</v>
      </c>
      <c r="F21" s="675">
        <v>333.950699451731</v>
      </c>
      <c r="G21" s="675">
        <v>1085.5125094299533</v>
      </c>
      <c r="H21" s="675">
        <v>37.238493014154066</v>
      </c>
      <c r="I21" s="675">
        <v>1067.4174840169649</v>
      </c>
      <c r="J21" s="1461">
        <v>63354.440990142815</v>
      </c>
      <c r="K21" s="674">
        <v>21382.338917704499</v>
      </c>
      <c r="L21" s="674">
        <v>7719.374220805139</v>
      </c>
      <c r="M21" s="675">
        <v>30944.462766572982</v>
      </c>
      <c r="N21" s="675">
        <v>397.74128785244636</v>
      </c>
      <c r="O21" s="675">
        <v>1171.7607428206718</v>
      </c>
      <c r="P21" s="675">
        <v>4.7271445146151416</v>
      </c>
      <c r="Q21" s="675">
        <v>1733.9808062818092</v>
      </c>
      <c r="R21" s="618"/>
      <c r="S21" s="618"/>
    </row>
    <row r="22" spans="1:19" s="2199" customFormat="1" ht="18" customHeight="1">
      <c r="A22" s="2194">
        <v>2025</v>
      </c>
      <c r="B22" s="2195"/>
      <c r="C22" s="2196">
        <f t="shared" ref="C22:Q22" si="0">C29</f>
        <v>24018.617618667497</v>
      </c>
      <c r="D22" s="2196">
        <f t="shared" si="0"/>
        <v>1362.4610593543239</v>
      </c>
      <c r="E22" s="2197">
        <f t="shared" si="0"/>
        <v>39960.34736798353</v>
      </c>
      <c r="F22" s="2197">
        <f t="shared" si="0"/>
        <v>355.33856086987737</v>
      </c>
      <c r="G22" s="2197">
        <f t="shared" si="0"/>
        <v>811.26076100459227</v>
      </c>
      <c r="H22" s="2197">
        <f t="shared" si="0"/>
        <v>222.44073947256462</v>
      </c>
      <c r="I22" s="2197">
        <f t="shared" si="0"/>
        <v>330.47224287090938</v>
      </c>
      <c r="J22" s="2198">
        <f t="shared" si="0"/>
        <v>67060.938350223296</v>
      </c>
      <c r="K22" s="2196">
        <f t="shared" si="0"/>
        <v>21741.483893098393</v>
      </c>
      <c r="L22" s="2196">
        <f t="shared" si="0"/>
        <v>7592.7050347378299</v>
      </c>
      <c r="M22" s="2197">
        <f t="shared" si="0"/>
        <v>35072.875441790311</v>
      </c>
      <c r="N22" s="2197">
        <f t="shared" si="0"/>
        <v>416.75920324194112</v>
      </c>
      <c r="O22" s="2197">
        <f t="shared" si="0"/>
        <v>1645.0567346685586</v>
      </c>
      <c r="P22" s="2197">
        <f t="shared" si="0"/>
        <v>3.1604221288201932</v>
      </c>
      <c r="Q22" s="2197">
        <f t="shared" si="0"/>
        <v>588.65691690681797</v>
      </c>
      <c r="R22" s="618"/>
      <c r="S22" s="618"/>
    </row>
    <row r="23" spans="1:19" s="666" customFormat="1" ht="21" customHeight="1">
      <c r="A23" s="664">
        <v>2024</v>
      </c>
      <c r="B23" s="665" t="s">
        <v>243</v>
      </c>
      <c r="C23" s="668">
        <v>21223.250832898051</v>
      </c>
      <c r="D23" s="668">
        <v>2358.5798353122545</v>
      </c>
      <c r="E23" s="669">
        <v>36289.482422309302</v>
      </c>
      <c r="F23" s="669">
        <v>309.49215112722254</v>
      </c>
      <c r="G23" s="669">
        <v>1260.4255015258652</v>
      </c>
      <c r="H23" s="669">
        <v>125.22186749645279</v>
      </c>
      <c r="I23" s="669">
        <v>136.31958265686666</v>
      </c>
      <c r="J23" s="671">
        <v>61702.772193326018</v>
      </c>
      <c r="K23" s="668">
        <v>20738.281302560594</v>
      </c>
      <c r="L23" s="668">
        <v>7318.3760823859475</v>
      </c>
      <c r="M23" s="669">
        <v>31208.982378998578</v>
      </c>
      <c r="N23" s="669">
        <v>359.86124376143977</v>
      </c>
      <c r="O23" s="669">
        <v>1300.820471476171</v>
      </c>
      <c r="P23" s="669">
        <v>7.3738718985669855</v>
      </c>
      <c r="Q23" s="669">
        <v>769.01769913222961</v>
      </c>
      <c r="R23" s="1006"/>
      <c r="S23" s="1006"/>
    </row>
    <row r="24" spans="1:19" s="666" customFormat="1" ht="15" customHeight="1">
      <c r="A24" s="664"/>
      <c r="B24" s="665" t="s">
        <v>240</v>
      </c>
      <c r="C24" s="668">
        <v>21502.276905059778</v>
      </c>
      <c r="D24" s="668">
        <v>2324.9426803315168</v>
      </c>
      <c r="E24" s="669">
        <v>36674.984606045487</v>
      </c>
      <c r="F24" s="669">
        <v>434.7587539446663</v>
      </c>
      <c r="G24" s="669">
        <v>1210.8751588368627</v>
      </c>
      <c r="H24" s="669">
        <v>48.147051000368435</v>
      </c>
      <c r="I24" s="669">
        <v>114.45493004332658</v>
      </c>
      <c r="J24" s="671">
        <v>62310.460085261999</v>
      </c>
      <c r="K24" s="668">
        <v>21179.369135503057</v>
      </c>
      <c r="L24" s="668">
        <v>7623.5895702660891</v>
      </c>
      <c r="M24" s="669">
        <v>30984.740197684579</v>
      </c>
      <c r="N24" s="669">
        <v>468.83849058495673</v>
      </c>
      <c r="O24" s="669">
        <v>1311.9594715613243</v>
      </c>
      <c r="P24" s="669">
        <v>1.5140094079428954</v>
      </c>
      <c r="Q24" s="669">
        <v>740.53529857833291</v>
      </c>
      <c r="R24" s="1006"/>
      <c r="S24" s="1006"/>
    </row>
    <row r="25" spans="1:19" s="666" customFormat="1" ht="15" customHeight="1">
      <c r="A25" s="664"/>
      <c r="B25" s="665" t="s">
        <v>241</v>
      </c>
      <c r="C25" s="668">
        <v>21846.086171617131</v>
      </c>
      <c r="D25" s="668">
        <v>2288.0066650142107</v>
      </c>
      <c r="E25" s="669">
        <v>36696.238967598671</v>
      </c>
      <c r="F25" s="669">
        <v>333.950699451731</v>
      </c>
      <c r="G25" s="669">
        <v>1085.5125094299533</v>
      </c>
      <c r="H25" s="669">
        <v>37.238493014154066</v>
      </c>
      <c r="I25" s="669">
        <v>1067.4174840169649</v>
      </c>
      <c r="J25" s="671">
        <v>63354.440990142815</v>
      </c>
      <c r="K25" s="668">
        <v>21382.338917704499</v>
      </c>
      <c r="L25" s="668">
        <v>7719.374220805139</v>
      </c>
      <c r="M25" s="669">
        <v>30944.462766572982</v>
      </c>
      <c r="N25" s="669">
        <v>397.74128785244636</v>
      </c>
      <c r="O25" s="669">
        <v>1171.7607428206718</v>
      </c>
      <c r="P25" s="669">
        <v>4.7271445146151416</v>
      </c>
      <c r="Q25" s="669">
        <v>1733.9808062818092</v>
      </c>
      <c r="R25" s="1006"/>
      <c r="S25" s="1006"/>
    </row>
    <row r="26" spans="1:19" s="666" customFormat="1" ht="21" customHeight="1">
      <c r="A26" s="664">
        <v>2025</v>
      </c>
      <c r="B26" s="665" t="s">
        <v>242</v>
      </c>
      <c r="C26" s="668">
        <v>21399.660351088995</v>
      </c>
      <c r="D26" s="668">
        <v>3481.3008665758107</v>
      </c>
      <c r="E26" s="669">
        <v>34067.88691254158</v>
      </c>
      <c r="F26" s="669">
        <v>543.927315905809</v>
      </c>
      <c r="G26" s="669">
        <v>765.74096667212427</v>
      </c>
      <c r="H26" s="669">
        <v>157.01990852041041</v>
      </c>
      <c r="I26" s="669">
        <v>1100.594775959692</v>
      </c>
      <c r="J26" s="671">
        <v>61516.131097264428</v>
      </c>
      <c r="K26" s="668">
        <v>21196.378104142743</v>
      </c>
      <c r="L26" s="668">
        <v>6983.9952998573835</v>
      </c>
      <c r="M26" s="669">
        <v>30434.043828840462</v>
      </c>
      <c r="N26" s="669">
        <v>510.03887247445056</v>
      </c>
      <c r="O26" s="669">
        <v>870.90147374876835</v>
      </c>
      <c r="P26" s="669">
        <v>2.5476883161243853</v>
      </c>
      <c r="Q26" s="669">
        <v>1518.3373537311347</v>
      </c>
      <c r="R26" s="1006"/>
      <c r="S26" s="1006"/>
    </row>
    <row r="27" spans="1:19" s="666" customFormat="1" ht="15" customHeight="1">
      <c r="A27" s="664"/>
      <c r="B27" s="665" t="s">
        <v>243</v>
      </c>
      <c r="C27" s="668">
        <v>22509.807409565088</v>
      </c>
      <c r="D27" s="668">
        <v>3685.8113495456287</v>
      </c>
      <c r="E27" s="669">
        <v>35299.429031525229</v>
      </c>
      <c r="F27" s="669">
        <v>328.08218923994218</v>
      </c>
      <c r="G27" s="669">
        <v>941.67556761142441</v>
      </c>
      <c r="H27" s="669">
        <v>150.43798894260553</v>
      </c>
      <c r="I27" s="669">
        <v>1555.1211310631832</v>
      </c>
      <c r="J27" s="671">
        <v>64470.344667493104</v>
      </c>
      <c r="K27" s="668">
        <v>21586.178501801627</v>
      </c>
      <c r="L27" s="668">
        <v>6511.8380590795869</v>
      </c>
      <c r="M27" s="669">
        <v>33062.774110946069</v>
      </c>
      <c r="N27" s="669">
        <v>370.85668152364985</v>
      </c>
      <c r="O27" s="669">
        <v>1191.4979744691182</v>
      </c>
      <c r="P27" s="669">
        <v>2.6924844036695283</v>
      </c>
      <c r="Q27" s="669">
        <v>1744.4460776007995</v>
      </c>
      <c r="R27" s="1006"/>
      <c r="S27" s="1006"/>
    </row>
    <row r="28" spans="1:19" s="666" customFormat="1" ht="15" customHeight="1">
      <c r="A28" s="664"/>
      <c r="B28" s="665" t="s">
        <v>240</v>
      </c>
      <c r="C28" s="668">
        <f t="shared" ref="C28:Q28" si="1">C35</f>
        <v>22314.02703052076</v>
      </c>
      <c r="D28" s="668">
        <f t="shared" si="1"/>
        <v>3298.5307183844207</v>
      </c>
      <c r="E28" s="669">
        <f t="shared" si="1"/>
        <v>37823.653255929785</v>
      </c>
      <c r="F28" s="669">
        <f t="shared" si="1"/>
        <v>270.80920780020176</v>
      </c>
      <c r="G28" s="669">
        <f t="shared" si="1"/>
        <v>1097.5984221623416</v>
      </c>
      <c r="H28" s="669">
        <f t="shared" si="1"/>
        <v>108.47881239165977</v>
      </c>
      <c r="I28" s="669">
        <f t="shared" si="1"/>
        <v>1626.5093661165704</v>
      </c>
      <c r="J28" s="671">
        <f t="shared" si="1"/>
        <v>66539.606813305742</v>
      </c>
      <c r="K28" s="668">
        <f t="shared" si="1"/>
        <v>21254.013817953688</v>
      </c>
      <c r="L28" s="668">
        <f t="shared" si="1"/>
        <v>7199.90838223438</v>
      </c>
      <c r="M28" s="669">
        <f t="shared" si="1"/>
        <v>34586.512159177757</v>
      </c>
      <c r="N28" s="669">
        <f t="shared" si="1"/>
        <v>293.79590943290424</v>
      </c>
      <c r="O28" s="669">
        <f t="shared" si="1"/>
        <v>1334.5084789967627</v>
      </c>
      <c r="P28" s="669">
        <f t="shared" si="1"/>
        <v>8.1630104632271898</v>
      </c>
      <c r="Q28" s="669">
        <f t="shared" si="1"/>
        <v>1862.7440996755115</v>
      </c>
      <c r="R28" s="1006"/>
      <c r="S28" s="1006"/>
    </row>
    <row r="29" spans="1:19" s="666" customFormat="1" ht="15" customHeight="1">
      <c r="A29" s="664"/>
      <c r="B29" s="665" t="s">
        <v>241</v>
      </c>
      <c r="C29" s="668">
        <f t="shared" ref="C29:Q29" si="2">C38</f>
        <v>24018.617618667497</v>
      </c>
      <c r="D29" s="668">
        <f t="shared" si="2"/>
        <v>1362.4610593543239</v>
      </c>
      <c r="E29" s="669">
        <f t="shared" si="2"/>
        <v>39960.34736798353</v>
      </c>
      <c r="F29" s="669">
        <f t="shared" si="2"/>
        <v>355.33856086987737</v>
      </c>
      <c r="G29" s="669">
        <f t="shared" si="2"/>
        <v>811.26076100459227</v>
      </c>
      <c r="H29" s="669">
        <f t="shared" si="2"/>
        <v>222.44073947256462</v>
      </c>
      <c r="I29" s="669">
        <f t="shared" si="2"/>
        <v>330.47224287090938</v>
      </c>
      <c r="J29" s="671">
        <f t="shared" si="2"/>
        <v>67060.938350223296</v>
      </c>
      <c r="K29" s="668">
        <f t="shared" si="2"/>
        <v>21741.483893098393</v>
      </c>
      <c r="L29" s="668">
        <f t="shared" si="2"/>
        <v>7592.7050347378299</v>
      </c>
      <c r="M29" s="669">
        <f t="shared" si="2"/>
        <v>35072.875441790311</v>
      </c>
      <c r="N29" s="669">
        <f t="shared" si="2"/>
        <v>416.75920324194112</v>
      </c>
      <c r="O29" s="669">
        <f t="shared" si="2"/>
        <v>1645.0567346685586</v>
      </c>
      <c r="P29" s="669">
        <f t="shared" si="2"/>
        <v>3.1604221288201932</v>
      </c>
      <c r="Q29" s="669">
        <f t="shared" si="2"/>
        <v>588.65691690681797</v>
      </c>
      <c r="R29" s="1006"/>
      <c r="S29" s="1006"/>
    </row>
    <row r="30" spans="1:19" s="666" customFormat="1" ht="21" customHeight="1">
      <c r="A30" s="1757">
        <v>2026</v>
      </c>
      <c r="B30" s="1758" t="s">
        <v>242</v>
      </c>
      <c r="C30" s="1759">
        <f t="shared" ref="C30:Q30" si="3">C41</f>
        <v>23850.953074456957</v>
      </c>
      <c r="D30" s="1759">
        <f t="shared" si="3"/>
        <v>2369.3796050418359</v>
      </c>
      <c r="E30" s="1760">
        <f t="shared" si="3"/>
        <v>41048.809385200526</v>
      </c>
      <c r="F30" s="1760">
        <f t="shared" si="3"/>
        <v>394.64974256933601</v>
      </c>
      <c r="G30" s="1760">
        <f t="shared" si="3"/>
        <v>1011.6394362461658</v>
      </c>
      <c r="H30" s="1760">
        <f t="shared" si="3"/>
        <v>132.05352517024349</v>
      </c>
      <c r="I30" s="1760">
        <f t="shared" si="3"/>
        <v>446.64080922204266</v>
      </c>
      <c r="J30" s="1761">
        <f t="shared" si="3"/>
        <v>69254.135577907087</v>
      </c>
      <c r="K30" s="1759">
        <f t="shared" si="3"/>
        <v>21334.432546870201</v>
      </c>
      <c r="L30" s="1759">
        <f t="shared" si="3"/>
        <v>8512.3085821707118</v>
      </c>
      <c r="M30" s="1760">
        <f t="shared" si="3"/>
        <v>37252.037989305856</v>
      </c>
      <c r="N30" s="1760">
        <f t="shared" si="3"/>
        <v>250.60842974084943</v>
      </c>
      <c r="O30" s="1760">
        <f t="shared" si="3"/>
        <v>1272.422377831962</v>
      </c>
      <c r="P30" s="1760">
        <f t="shared" si="3"/>
        <v>2.7974082672956762</v>
      </c>
      <c r="Q30" s="1760">
        <f t="shared" si="3"/>
        <v>629.59384452966594</v>
      </c>
      <c r="R30" s="618">
        <f t="shared" ref="R30" si="4">ROUND(J30,1)-ROUND(C30,1)-ROUND(D30,1)-ROUND(E30,1)-ROUND(F30,1)-ROUND(G30,1)-ROUND(H30,1)-ROUND(I30,1)</f>
        <v>1.4779288903810084E-12</v>
      </c>
      <c r="S30" s="618">
        <f t="shared" ref="S30" si="5">ROUND(J30,1)-ROUND(K30,1)-ROUND(L30,1)-ROUND(M30,1)-ROUND(N30,1)-ROUND(O30,1)-ROUND(P30,1)-ROUND(Q30,1)</f>
        <v>8.7538865045644343E-12</v>
      </c>
    </row>
    <row r="31" spans="1:19" s="152" customFormat="1" ht="21" customHeight="1">
      <c r="A31" s="1982">
        <v>2025</v>
      </c>
      <c r="B31" s="739" t="s">
        <v>427</v>
      </c>
      <c r="C31" s="1506">
        <v>22467.32129186167</v>
      </c>
      <c r="D31" s="1506">
        <v>2923.1875423145616</v>
      </c>
      <c r="E31" s="1516">
        <v>34748.158060925067</v>
      </c>
      <c r="F31" s="1516">
        <v>361.32050065876246</v>
      </c>
      <c r="G31" s="1516">
        <v>811.1582193999476</v>
      </c>
      <c r="H31" s="1516">
        <v>14.8569298190403</v>
      </c>
      <c r="I31" s="1516">
        <v>1252.5396890352272</v>
      </c>
      <c r="J31" s="1501">
        <v>62578.562234014273</v>
      </c>
      <c r="K31" s="1506">
        <v>21650.133207814128</v>
      </c>
      <c r="L31" s="1506">
        <v>6585.9112387994537</v>
      </c>
      <c r="M31" s="1516">
        <v>31521.24495082959</v>
      </c>
      <c r="N31" s="1516">
        <v>364.43310681078481</v>
      </c>
      <c r="O31" s="1516">
        <v>964.77166320186109</v>
      </c>
      <c r="P31" s="1516">
        <v>2.9713508533620798</v>
      </c>
      <c r="Q31" s="1516">
        <v>1489.2140805981576</v>
      </c>
      <c r="R31" s="618">
        <v>8.4128259913995862E-12</v>
      </c>
      <c r="S31" s="618">
        <v>-2.2737367544323206E-12</v>
      </c>
    </row>
    <row r="32" spans="1:19" s="152" customFormat="1" ht="16.5" customHeight="1">
      <c r="A32" s="1982"/>
      <c r="B32" s="739" t="s">
        <v>428</v>
      </c>
      <c r="C32" s="1506">
        <f>'[67]4'!$G$14</f>
        <v>22509.807409565088</v>
      </c>
      <c r="D32" s="1506">
        <f>SUM('[67]4'!$G$21:$G$22)</f>
        <v>3685.8113495456287</v>
      </c>
      <c r="E32" s="1516">
        <f>'[67]4'!$G$16</f>
        <v>35299.429031525229</v>
      </c>
      <c r="F32" s="1516">
        <f>'[67]4'!$G$17</f>
        <v>328.08218923994218</v>
      </c>
      <c r="G32" s="1516">
        <f>'[67]4'!$G$20</f>
        <v>941.67556761142441</v>
      </c>
      <c r="H32" s="1476">
        <f>'[67]4'!$G$18-0.03</f>
        <v>150.43798894260553</v>
      </c>
      <c r="I32" s="1516">
        <f>'[67]4'!$G$19+'[67]4'!$G$23</f>
        <v>1555.1211310631832</v>
      </c>
      <c r="J32" s="1484">
        <f>'[67]4'!$G$24-0.05</f>
        <v>64470.344667493104</v>
      </c>
      <c r="K32" s="1506">
        <f>'[67]4'!$D$14</f>
        <v>21586.178501801627</v>
      </c>
      <c r="L32" s="1506">
        <f>SUM('[67]4'!$D$21:$D$22)</f>
        <v>6511.8380590795869</v>
      </c>
      <c r="M32" s="1516">
        <f>'[67]4'!$D$16</f>
        <v>33062.774110946069</v>
      </c>
      <c r="N32" s="1476">
        <f>'[67]4'!$D$17+0.01</f>
        <v>370.85668152364985</v>
      </c>
      <c r="O32" s="1516">
        <f>'[67]4'!$D$20</f>
        <v>1191.4979744691182</v>
      </c>
      <c r="P32" s="1516">
        <f>'[67]4'!$D$18</f>
        <v>2.6924844036695283</v>
      </c>
      <c r="Q32" s="1516">
        <f>'[67]4'!$D$19+'[67]4'!$D$23</f>
        <v>1744.4460776007995</v>
      </c>
      <c r="R32" s="618">
        <f t="shared" ref="R32" si="6">ROUND(J32,1)-ROUND(C32,1)-ROUND(D32,1)-ROUND(E32,1)-ROUND(F32,1)-ROUND(G32,1)-ROUND(H32,1)-ROUND(I32,1)</f>
        <v>-4.3200998334214091E-12</v>
      </c>
      <c r="S32" s="618">
        <f t="shared" ref="S32" si="7">ROUND(J32,1)-ROUND(K32,1)-ROUND(L32,1)-ROUND(M32,1)-ROUND(N32,1)-ROUND(O32,1)-ROUND(P32,1)-ROUND(Q32,1)</f>
        <v>0</v>
      </c>
    </row>
    <row r="33" spans="1:20" s="152" customFormat="1" ht="16.5" customHeight="1">
      <c r="A33" s="1982"/>
      <c r="B33" s="739" t="s">
        <v>429</v>
      </c>
      <c r="C33" s="1506">
        <f>'[68]4'!$G$14</f>
        <v>22262.588941237918</v>
      </c>
      <c r="D33" s="1506">
        <f>SUM('[68]4'!$G$21:$G$22)</f>
        <v>3506.0024279133895</v>
      </c>
      <c r="E33" s="1516">
        <f>'[68]4'!$G$16</f>
        <v>36721.175487259316</v>
      </c>
      <c r="F33" s="1516">
        <f>'[68]4'!$G$17</f>
        <v>276.23141594526624</v>
      </c>
      <c r="G33" s="1516">
        <f>'[68]4'!$G$20</f>
        <v>925.7627916661329</v>
      </c>
      <c r="H33" s="1516">
        <f>'[68]4'!$G$18</f>
        <v>13.357546260016322</v>
      </c>
      <c r="I33" s="1476">
        <f>'[68]4'!$G$19+'[68]4'!$G$23-0.02</f>
        <v>1601.639713567602</v>
      </c>
      <c r="J33" s="1501">
        <f>'[68]4'!$G$24</f>
        <v>65306.778323849649</v>
      </c>
      <c r="K33" s="1506">
        <f>'[68]4'!$D$14</f>
        <v>21320.662438918676</v>
      </c>
      <c r="L33" s="1477">
        <f>SUM('[68]4'!$D$21:$D$22)+0.01</f>
        <v>6525.5577648670214</v>
      </c>
      <c r="M33" s="1516">
        <f>'[68]4'!$D$16</f>
        <v>34220.537035397683</v>
      </c>
      <c r="N33" s="1516">
        <f>'[68]4'!$D$17</f>
        <v>297.73003894150804</v>
      </c>
      <c r="O33" s="1516">
        <f>'[68]4'!$D$20</f>
        <v>1101.5421722147214</v>
      </c>
      <c r="P33" s="1516">
        <f>'[68]4'!$D$18</f>
        <v>16.882563762191822</v>
      </c>
      <c r="Q33" s="1516">
        <f>'[68]4'!$D$19+'[68]4'!$D$23</f>
        <v>1823.9081708769945</v>
      </c>
      <c r="R33" s="618">
        <f t="shared" ref="R33" si="8">ROUND(J33,1)-ROUND(C33,1)-ROUND(D33,1)-ROUND(E33,1)-ROUND(F33,1)-ROUND(G33,1)-ROUND(H33,1)-ROUND(I33,1)</f>
        <v>7.503331289626658E-12</v>
      </c>
      <c r="S33" s="618">
        <f t="shared" ref="S33" si="9">ROUND(J33,1)-ROUND(K33,1)-ROUND(L33,1)-ROUND(M33,1)-ROUND(N33,1)-ROUND(O33,1)-ROUND(P33,1)-ROUND(Q33,1)</f>
        <v>7.2759576141834259E-12</v>
      </c>
    </row>
    <row r="34" spans="1:20" s="152" customFormat="1" ht="16.5" customHeight="1">
      <c r="A34" s="1982"/>
      <c r="B34" s="739" t="s">
        <v>430</v>
      </c>
      <c r="C34" s="1506">
        <f>'[69]4'!$G$14</f>
        <v>22256.904614646635</v>
      </c>
      <c r="D34" s="1477">
        <f>SUM('[69]4'!$G$21:$G$22)-0.01</f>
        <v>3397.4429263815778</v>
      </c>
      <c r="E34" s="1516">
        <f>'[69]4'!$G$16</f>
        <v>36956.108080352686</v>
      </c>
      <c r="F34" s="1516">
        <f>'[69]4'!$G$17</f>
        <v>347.76794386628711</v>
      </c>
      <c r="G34" s="1516">
        <f>'[69]4'!$G$20</f>
        <v>1003.5624555418203</v>
      </c>
      <c r="H34" s="1516">
        <f>'[69]4'!$G$18</f>
        <v>83.957701050925735</v>
      </c>
      <c r="I34" s="1516">
        <f>'[69]4'!$G$19+'[69]4'!$G$23</f>
        <v>1625.3147681287744</v>
      </c>
      <c r="J34" s="1501">
        <f>'[69]4'!$G$24</f>
        <v>65671.068489968718</v>
      </c>
      <c r="K34" s="1506">
        <f>'[69]4'!$D$14</f>
        <v>21110.245240447723</v>
      </c>
      <c r="L34" s="1506">
        <f>SUM('[69]4'!$D$21:$D$22)</f>
        <v>6569.6836460106124</v>
      </c>
      <c r="M34" s="1516">
        <f>'[69]4'!$D$16</f>
        <v>34571.82171136215</v>
      </c>
      <c r="N34" s="1516">
        <f>'[69]4'!$D$17</f>
        <v>324.22490868208092</v>
      </c>
      <c r="O34" s="1516">
        <f>'[69]4'!$D$20</f>
        <v>1261.9459069559525</v>
      </c>
      <c r="P34" s="1516">
        <f>'[69]4'!$D$18</f>
        <v>6.4887875106789794</v>
      </c>
      <c r="Q34" s="1516">
        <f>'[69]4'!$D$19+'[69]4'!$D$23</f>
        <v>1826.752603477232</v>
      </c>
      <c r="R34" s="618">
        <f t="shared" ref="R34" si="10">ROUND(J34,1)-ROUND(C34,1)-ROUND(D34,1)-ROUND(E34,1)-ROUND(F34,1)-ROUND(G34,1)-ROUND(H34,1)-ROUND(I34,1)</f>
        <v>4.3200998334214091E-12</v>
      </c>
      <c r="S34" s="618">
        <f t="shared" ref="S34" si="11">ROUND(J34,1)-ROUND(K34,1)-ROUND(L34,1)-ROUND(M34,1)-ROUND(N34,1)-ROUND(O34,1)-ROUND(P34,1)-ROUND(Q34,1)</f>
        <v>8.8675733422860503E-12</v>
      </c>
    </row>
    <row r="35" spans="1:20" s="152" customFormat="1" ht="16.5" customHeight="1">
      <c r="A35" s="1982"/>
      <c r="B35" s="739" t="s">
        <v>431</v>
      </c>
      <c r="C35" s="1506">
        <f>'[70]4'!$G$14</f>
        <v>22314.02703052076</v>
      </c>
      <c r="D35" s="1506">
        <f>SUM('[70]4'!$G$21:$G$22)</f>
        <v>3298.5307183844207</v>
      </c>
      <c r="E35" s="1516">
        <f>'[70]4'!$G$16</f>
        <v>37823.653255929785</v>
      </c>
      <c r="F35" s="1516">
        <f>'[70]4'!$G$17</f>
        <v>270.80920780020176</v>
      </c>
      <c r="G35" s="1516">
        <f>'[70]4'!$G$20</f>
        <v>1097.5984221623416</v>
      </c>
      <c r="H35" s="1516">
        <f>'[70]4'!$G$18</f>
        <v>108.47881239165977</v>
      </c>
      <c r="I35" s="1516">
        <f>'[70]4'!$G$19+'[70]4'!$G$23</f>
        <v>1626.5093661165704</v>
      </c>
      <c r="J35" s="1501">
        <f>'[70]4'!$G$24</f>
        <v>66539.606813305742</v>
      </c>
      <c r="K35" s="1506">
        <f>'[70]4'!$D$14</f>
        <v>21254.013817953688</v>
      </c>
      <c r="L35" s="1506">
        <f>SUM('[70]4'!$D$21:$D$22)</f>
        <v>7199.90838223438</v>
      </c>
      <c r="M35" s="1516">
        <f>'[70]4'!$D$16</f>
        <v>34586.512159177757</v>
      </c>
      <c r="N35" s="1516">
        <f>'[70]4'!$D$17</f>
        <v>293.79590943290424</v>
      </c>
      <c r="O35" s="1516">
        <f>'[70]4'!$D$20</f>
        <v>1334.5084789967627</v>
      </c>
      <c r="P35" s="1516">
        <f>'[70]4'!$D$18</f>
        <v>8.1630104632271898</v>
      </c>
      <c r="Q35" s="1476">
        <f>'[70]4'!$D$19+'[70]4'!$D$23-0.01</f>
        <v>1862.7440996755115</v>
      </c>
      <c r="R35" s="618">
        <f t="shared" ref="R35" si="12">ROUND(J35,1)-ROUND(C35,1)-ROUND(D35,1)-ROUND(E35,1)-ROUND(F35,1)-ROUND(G35,1)-ROUND(H35,1)-ROUND(I35,1)</f>
        <v>8.6401996668428183E-12</v>
      </c>
      <c r="S35" s="618">
        <f t="shared" ref="S35" si="13">ROUND(J35,1)-ROUND(K35,1)-ROUND(L35,1)-ROUND(M35,1)-ROUND(N35,1)-ROUND(O35,1)-ROUND(P35,1)-ROUND(Q35,1)</f>
        <v>4.0927261579781771E-12</v>
      </c>
    </row>
    <row r="36" spans="1:20" s="152" customFormat="1" ht="16.5" customHeight="1">
      <c r="A36" s="1982"/>
      <c r="B36" s="739" t="s">
        <v>420</v>
      </c>
      <c r="C36" s="1506">
        <f>'[71]4'!$G$14</f>
        <v>23485.894919050628</v>
      </c>
      <c r="D36" s="1506">
        <f>SUM('[71]4'!$G$21:$G$22)</f>
        <v>1411.5207036935012</v>
      </c>
      <c r="E36" s="1516">
        <f>'[71]4'!$G$16</f>
        <v>38039.681487595393</v>
      </c>
      <c r="F36" s="1516">
        <f>'[71]4'!$G$17</f>
        <v>318.04375856100694</v>
      </c>
      <c r="G36" s="1516">
        <f>'[71]4'!$G$20</f>
        <v>914.56480865938795</v>
      </c>
      <c r="H36" s="1516">
        <f>'[71]4'!$G$18</f>
        <v>235.89910244411504</v>
      </c>
      <c r="I36" s="1516">
        <f>'[71]4'!$G$19+'[71]4'!$G$23</f>
        <v>1618.2057511811988</v>
      </c>
      <c r="J36" s="1501">
        <f>'[71]4'!$G$24</f>
        <v>66023.810531185241</v>
      </c>
      <c r="K36" s="1506">
        <f>'[71]4'!$D$14</f>
        <v>21346.969640029325</v>
      </c>
      <c r="L36" s="1506">
        <f>SUM('[71]4'!$D$21:$D$22)</f>
        <v>6539.7454966603436</v>
      </c>
      <c r="M36" s="1516">
        <f>'[71]4'!$D$16</f>
        <v>34664.597727008251</v>
      </c>
      <c r="N36" s="1516">
        <f>'[71]4'!$D$17</f>
        <v>299.61010387420129</v>
      </c>
      <c r="O36" s="1516">
        <f>'[71]4'!$D$20</f>
        <v>1323.7341096054113</v>
      </c>
      <c r="P36" s="1516">
        <f>'[71]4'!$D$18</f>
        <v>5.0821879868498039</v>
      </c>
      <c r="Q36" s="1516">
        <f>'[71]4'!$D$19+'[71]4'!$D$23</f>
        <v>1844.0753485826556</v>
      </c>
      <c r="R36" s="618">
        <f t="shared" ref="R36" si="14">ROUND(J36,1)-ROUND(C36,1)-ROUND(D36,1)-ROUND(E36,1)-ROUND(F36,1)-ROUND(G36,1)-ROUND(H36,1)-ROUND(I36,1)</f>
        <v>4.3200998334214091E-12</v>
      </c>
      <c r="S36" s="618">
        <f t="shared" ref="S36" si="15">ROUND(J36,1)-ROUND(K36,1)-ROUND(L36,1)-ROUND(M36,1)-ROUND(N36,1)-ROUND(O36,1)-ROUND(P36,1)-ROUND(Q36,1)</f>
        <v>7.503331289626658E-12</v>
      </c>
    </row>
    <row r="37" spans="1:20" s="152" customFormat="1" ht="16.5" customHeight="1">
      <c r="A37" s="1982"/>
      <c r="B37" s="739" t="s">
        <v>421</v>
      </c>
      <c r="C37" s="1506">
        <f>'[72]4'!$G$14</f>
        <v>23834.739802575728</v>
      </c>
      <c r="D37" s="1506">
        <f>SUM('[72]4'!$G$21:$G$22)</f>
        <v>2074.4884844338499</v>
      </c>
      <c r="E37" s="1516">
        <f>'[72]4'!$G$16</f>
        <v>39390.354476881177</v>
      </c>
      <c r="F37" s="1516">
        <f>'[72]4'!$G$17</f>
        <v>318.0743733176397</v>
      </c>
      <c r="G37" s="1516">
        <f>'[72]4'!$G$20</f>
        <v>904.76219657045203</v>
      </c>
      <c r="H37" s="1516">
        <f>'[72]4'!$G$18</f>
        <v>176.74561337249753</v>
      </c>
      <c r="I37" s="1516">
        <f>'[72]4'!$G$19+'[72]4'!$G$23</f>
        <v>1527.6361534902903</v>
      </c>
      <c r="J37" s="1501">
        <f>'[72]4'!$G$24</f>
        <v>68226.801100641635</v>
      </c>
      <c r="K37" s="1506">
        <f>'[72]4'!$D$14</f>
        <v>21316.813991759758</v>
      </c>
      <c r="L37" s="1506">
        <f>SUM('[72]4'!$D$21:$D$22)</f>
        <v>7396.4135073750276</v>
      </c>
      <c r="M37" s="1476">
        <f>'[72]4'!$D$16-0.01</f>
        <v>35848.242743517643</v>
      </c>
      <c r="N37" s="1516">
        <f>'[72]4'!$D$17</f>
        <v>318.13393804011559</v>
      </c>
      <c r="O37" s="1516">
        <f>'[72]4'!$D$20</f>
        <v>1620.2691311964693</v>
      </c>
      <c r="P37" s="1516">
        <f>'[72]4'!$D$18</f>
        <v>2.7841047557001741</v>
      </c>
      <c r="Q37" s="1516">
        <f>'[72]4'!$D$19+'[72]4'!$D$23</f>
        <v>1724.178327530763</v>
      </c>
      <c r="R37" s="618">
        <f t="shared" ref="R37" si="16">ROUND(J37,1)-ROUND(C37,1)-ROUND(D37,1)-ROUND(E37,1)-ROUND(F37,1)-ROUND(G37,1)-ROUND(H37,1)-ROUND(I37,1)</f>
        <v>4.5474735088646412E-12</v>
      </c>
      <c r="S37" s="618">
        <f t="shared" ref="S37" si="17">ROUND(J37,1)-ROUND(K37,1)-ROUND(L37,1)-ROUND(M37,1)-ROUND(N37,1)-ROUND(O37,1)-ROUND(P37,1)-ROUND(Q37,1)</f>
        <v>0</v>
      </c>
    </row>
    <row r="38" spans="1:20" s="152" customFormat="1" ht="16.5" customHeight="1">
      <c r="A38" s="1982"/>
      <c r="B38" s="739" t="s">
        <v>422</v>
      </c>
      <c r="C38" s="1506">
        <f>'[73]4'!$G$14</f>
        <v>24018.617618667497</v>
      </c>
      <c r="D38" s="1506">
        <f>SUM('[73]4'!$G$21:$G$22)</f>
        <v>1362.4610593543239</v>
      </c>
      <c r="E38" s="1516">
        <f>'[73]4'!$G$16</f>
        <v>39960.34736798353</v>
      </c>
      <c r="F38" s="1516">
        <f>'[73]4'!$G$17</f>
        <v>355.33856086987737</v>
      </c>
      <c r="G38" s="1516">
        <f>'[73]4'!$G$20</f>
        <v>811.26076100459227</v>
      </c>
      <c r="H38" s="1516">
        <f>'[73]4'!$G$18</f>
        <v>222.44073947256462</v>
      </c>
      <c r="I38" s="1516">
        <f>'[73]4'!$G$19+'[73]4'!$G$23</f>
        <v>330.47224287090938</v>
      </c>
      <c r="J38" s="1501">
        <f>'[73]4'!$G$24</f>
        <v>67060.938350223296</v>
      </c>
      <c r="K38" s="1506">
        <f>'[73]4'!$D$14</f>
        <v>21741.483893098393</v>
      </c>
      <c r="L38" s="1506">
        <f>SUM('[73]4'!$D$21:$D$22)</f>
        <v>7592.7050347378299</v>
      </c>
      <c r="M38" s="1516">
        <f>'[73]4'!$D$16</f>
        <v>35072.875441790311</v>
      </c>
      <c r="N38" s="1476">
        <f>'[73]4'!$D$17-0.1</f>
        <v>416.75920324194112</v>
      </c>
      <c r="O38" s="1476">
        <f>'[73]4'!$D$20-0.1</f>
        <v>1645.0567346685586</v>
      </c>
      <c r="P38" s="1516">
        <f>'[73]4'!$D$18</f>
        <v>3.1604221288201932</v>
      </c>
      <c r="Q38" s="1476">
        <f>'[73]4'!$D$19+'[73]4'!$D$23-0.1</f>
        <v>588.65691690681797</v>
      </c>
      <c r="R38" s="618">
        <f t="shared" ref="R38" si="18">ROUND(J38,1)-ROUND(C38,1)-ROUND(D38,1)-ROUND(E38,1)-ROUND(F38,1)-ROUND(G38,1)-ROUND(H38,1)-ROUND(I38,1)</f>
        <v>-7.1622707764618099E-12</v>
      </c>
      <c r="S38" s="618">
        <f t="shared" ref="S38" si="19">ROUND(J38,1)-ROUND(K38,1)-ROUND(L38,1)-ROUND(M38,1)-ROUND(N38,1)-ROUND(O38,1)-ROUND(P38,1)-ROUND(Q38,1)</f>
        <v>-4.5474735088646412E-12</v>
      </c>
    </row>
    <row r="39" spans="1:20" s="152" customFormat="1" ht="21" customHeight="1">
      <c r="A39" s="1982">
        <v>2026</v>
      </c>
      <c r="B39" s="739" t="s">
        <v>423</v>
      </c>
      <c r="C39" s="1506">
        <f>'[74]4'!$G$14</f>
        <v>23705.657141105621</v>
      </c>
      <c r="D39" s="1506">
        <f>SUM('[74]4'!$G$21:$G$22)</f>
        <v>2061.0154675882677</v>
      </c>
      <c r="E39" s="1516">
        <f>'[74]4'!$G$16</f>
        <v>40072.600737817062</v>
      </c>
      <c r="F39" s="1516">
        <f>'[74]4'!$G$17</f>
        <v>345.76676197797332</v>
      </c>
      <c r="G39" s="1516">
        <f>'[74]4'!$G$20</f>
        <v>1049.5683177850178</v>
      </c>
      <c r="H39" s="1516">
        <f>'[74]4'!$G$18</f>
        <v>71.331933862323069</v>
      </c>
      <c r="I39" s="1516">
        <f>'[74]4'!$G$19+'[74]4'!$G$23</f>
        <v>326.20975495792743</v>
      </c>
      <c r="J39" s="1501">
        <f>'[74]4'!$G$24</f>
        <v>67632.150115094191</v>
      </c>
      <c r="K39" s="1506">
        <f>'[74]4'!$D$14</f>
        <v>21416.961650793499</v>
      </c>
      <c r="L39" s="1506">
        <f>SUM('[74]4'!$D$21:$D$22)</f>
        <v>7583.0324442121737</v>
      </c>
      <c r="M39" s="1516">
        <f>'[74]4'!$D$16</f>
        <v>35737.237260443369</v>
      </c>
      <c r="N39" s="1516">
        <f>'[74]4'!$D$17</f>
        <v>343.18933182364373</v>
      </c>
      <c r="O39" s="1516">
        <f>'[74]4'!$D$20</f>
        <v>1927.3996174089282</v>
      </c>
      <c r="P39" s="1516">
        <f>'[74]4'!$D$18</f>
        <v>2.3293595991919198</v>
      </c>
      <c r="Q39" s="1516">
        <f>'[74]4'!$D$19+'[74]4'!$D$23</f>
        <v>622.05582984059981</v>
      </c>
      <c r="R39" s="618">
        <f t="shared" ref="R39" si="20">ROUND(J39,1)-ROUND(C39,1)-ROUND(D39,1)-ROUND(E39,1)-ROUND(F39,1)-ROUND(G39,1)-ROUND(H39,1)-ROUND(I39,1)</f>
        <v>1.5916157281026244E-12</v>
      </c>
      <c r="S39" s="618">
        <f t="shared" ref="S39" si="21">ROUND(J39,1)-ROUND(K39,1)-ROUND(L39,1)-ROUND(M39,1)-ROUND(N39,1)-ROUND(O39,1)-ROUND(P39,1)-ROUND(Q39,1)</f>
        <v>0</v>
      </c>
    </row>
    <row r="40" spans="1:20" s="152" customFormat="1" ht="16.5" customHeight="1">
      <c r="A40" s="1982"/>
      <c r="B40" s="739" t="s">
        <v>424</v>
      </c>
      <c r="C40" s="1506">
        <f>'[75]4'!$G$14</f>
        <v>23895.443126554484</v>
      </c>
      <c r="D40" s="1506">
        <f>SUM('[75]4'!$G$21:$G$22)</f>
        <v>2389.6500455922906</v>
      </c>
      <c r="E40" s="1516">
        <f>'[75]4'!$G$16</f>
        <v>40906.810619595373</v>
      </c>
      <c r="F40" s="1516">
        <f>'[75]4'!$G$17</f>
        <v>276.78155857027031</v>
      </c>
      <c r="G40" s="1516">
        <f>'[75]4'!$G$20</f>
        <v>1134.9277101273235</v>
      </c>
      <c r="H40" s="1516">
        <f>'[75]4'!$G$18</f>
        <v>153.630628236169</v>
      </c>
      <c r="I40" s="1476">
        <f>'[75]4'!$G$19+'[75]4'!$G$23-0.02</f>
        <v>350.13825499734804</v>
      </c>
      <c r="J40" s="1484">
        <f>'[75]4'!$G$24-0.06</f>
        <v>69107.341943673266</v>
      </c>
      <c r="K40" s="1506">
        <f>'[75]4'!$D$14</f>
        <v>21606.693046101376</v>
      </c>
      <c r="L40" s="1506">
        <f>SUM('[75]4'!$D$21:$D$22)</f>
        <v>8477.8683301696328</v>
      </c>
      <c r="M40" s="1516">
        <f>'[75]4'!$D$16</f>
        <v>36163.998071726826</v>
      </c>
      <c r="N40" s="1516">
        <f>'[75]4'!$D$17</f>
        <v>279.70208512201287</v>
      </c>
      <c r="O40" s="1516">
        <f>'[75]4'!$D$20</f>
        <v>1896.2140059455801</v>
      </c>
      <c r="P40" s="1516">
        <f>'[75]4'!$D$18</f>
        <v>2.2932756039410007</v>
      </c>
      <c r="Q40" s="1476">
        <f>'[75]4'!$D$19+'[75]4'!$D$23-0.05</f>
        <v>680.53229742091696</v>
      </c>
      <c r="R40" s="618">
        <f t="shared" ref="R40" si="22">ROUND(J40,1)-ROUND(C40,1)-ROUND(D40,1)-ROUND(E40,1)-ROUND(F40,1)-ROUND(G40,1)-ROUND(H40,1)-ROUND(I40,1)</f>
        <v>1.3642420526593924E-12</v>
      </c>
      <c r="S40" s="618">
        <f t="shared" ref="S40" si="23">ROUND(J40,1)-ROUND(K40,1)-ROUND(L40,1)-ROUND(M40,1)-ROUND(N40,1)-ROUND(O40,1)-ROUND(P40,1)-ROUND(Q40,1)</f>
        <v>4.5474735088646412E-12</v>
      </c>
    </row>
    <row r="41" spans="1:20" s="152" customFormat="1" ht="16.5" customHeight="1">
      <c r="A41" s="1982"/>
      <c r="B41" s="739" t="s">
        <v>425</v>
      </c>
      <c r="C41" s="1506">
        <f>'[76]4'!$G$14</f>
        <v>23850.953074456957</v>
      </c>
      <c r="D41" s="1506">
        <f>SUM('[76]4'!$G$21:$G$22)</f>
        <v>2369.3796050418359</v>
      </c>
      <c r="E41" s="1516">
        <f>'[76]4'!$G$16</f>
        <v>41048.809385200526</v>
      </c>
      <c r="F41" s="1516">
        <f>'[76]4'!$G$17</f>
        <v>394.64974256933601</v>
      </c>
      <c r="G41" s="1516">
        <f>'[76]4'!$G$20</f>
        <v>1011.6394362461658</v>
      </c>
      <c r="H41" s="1516">
        <f>'[76]4'!$G$18</f>
        <v>132.05352517024349</v>
      </c>
      <c r="I41" s="1476">
        <f>'[76]4'!$G$19+'[76]4'!$G$23-0.01</f>
        <v>446.64080922204266</v>
      </c>
      <c r="J41" s="1501">
        <f>'[76]4'!$G$24</f>
        <v>69254.135577907087</v>
      </c>
      <c r="K41" s="1506">
        <f>'[76]4'!$D$14</f>
        <v>21334.432546870201</v>
      </c>
      <c r="L41" s="1506">
        <f>SUM('[76]4'!$D$21:$D$22)</f>
        <v>8512.3085821707118</v>
      </c>
      <c r="M41" s="1476">
        <f>'[76]4'!$D$16-0.02</f>
        <v>37252.037989305856</v>
      </c>
      <c r="N41" s="1516">
        <f>'[76]4'!$D$17</f>
        <v>250.60842974084943</v>
      </c>
      <c r="O41" s="1516">
        <f>'[76]4'!$D$20</f>
        <v>1272.422377831962</v>
      </c>
      <c r="P41" s="1516">
        <f>'[76]4'!$D$18</f>
        <v>2.7974082672956762</v>
      </c>
      <c r="Q41" s="1516">
        <f>'[76]4'!$D$19+'[76]4'!$D$23</f>
        <v>629.59384452966594</v>
      </c>
      <c r="R41" s="618">
        <f t="shared" ref="R41" si="24">ROUND(J41,1)-ROUND(C41,1)-ROUND(D41,1)-ROUND(E41,1)-ROUND(F41,1)-ROUND(G41,1)-ROUND(H41,1)-ROUND(I41,1)</f>
        <v>1.4779288903810084E-12</v>
      </c>
      <c r="S41" s="618">
        <f t="shared" ref="S41" si="25">ROUND(J41,1)-ROUND(K41,1)-ROUND(L41,1)-ROUND(M41,1)-ROUND(N41,1)-ROUND(O41,1)-ROUND(P41,1)-ROUND(Q41,1)</f>
        <v>8.7538865045644343E-12</v>
      </c>
    </row>
    <row r="42" spans="1:20" s="152" customFormat="1" ht="16.5" customHeight="1">
      <c r="A42" s="1982"/>
      <c r="B42" s="739" t="s">
        <v>426</v>
      </c>
      <c r="C42" s="1506">
        <f>'[77]4'!$G$14</f>
        <v>23670.328578162349</v>
      </c>
      <c r="D42" s="1506">
        <f>SUM('[77]4'!$G$21:$G$22)</f>
        <v>2183.8781352433934</v>
      </c>
      <c r="E42" s="1516">
        <f>'[77]4'!$G$16</f>
        <v>42814.300380337729</v>
      </c>
      <c r="F42" s="1476">
        <f>'[77]4'!$G$17-0.01</f>
        <v>247.74421519391564</v>
      </c>
      <c r="G42" s="1516">
        <f>'[77]4'!$G$20</f>
        <v>991.43259009108124</v>
      </c>
      <c r="H42" s="1516">
        <f>'[77]4'!$G$18</f>
        <v>171.11116502954704</v>
      </c>
      <c r="I42" s="1516">
        <f>'[77]4'!$G$19+'[77]4'!$G$23</f>
        <v>427.8293791068279</v>
      </c>
      <c r="J42" s="1484">
        <f>'[77]4'!$G$24-0.09</f>
        <v>70506.54444316485</v>
      </c>
      <c r="K42" s="1506">
        <f>'[77]4'!$D$14</f>
        <v>21552.98765692451</v>
      </c>
      <c r="L42" s="1506">
        <f>SUM('[77]4'!$D$21:$D$22)</f>
        <v>8066.7774359034847</v>
      </c>
      <c r="M42" s="1516">
        <f>'[77]4'!$D$16</f>
        <v>38582.971878683493</v>
      </c>
      <c r="N42" s="1476">
        <f>'[77]4'!$D$17-0.02</f>
        <v>241.74826784394114</v>
      </c>
      <c r="O42" s="1516">
        <f>'[77]4'!$D$20</f>
        <v>1426.4194558250169</v>
      </c>
      <c r="P42" s="1476">
        <f>'[77]4'!$D$18-0.03</f>
        <v>2.5437245551881391</v>
      </c>
      <c r="Q42" s="1516">
        <f>'[77]4'!$D$19+'[77]4'!$D$23</f>
        <v>633.11641694051787</v>
      </c>
      <c r="R42" s="618">
        <f t="shared" ref="R42" si="26">ROUND(J42,1)-ROUND(C42,1)-ROUND(D42,1)-ROUND(E42,1)-ROUND(F42,1)-ROUND(G42,1)-ROUND(H42,1)-ROUND(I42,1)</f>
        <v>-7.3328010330442339E-12</v>
      </c>
      <c r="S42" s="618">
        <f t="shared" ref="S42" si="27">ROUND(J42,1)-ROUND(K42,1)-ROUND(L42,1)-ROUND(M42,1)-ROUND(N42,1)-ROUND(O42,1)-ROUND(P42,1)-ROUND(Q42,1)</f>
        <v>-2.8421709430404007E-12</v>
      </c>
    </row>
    <row r="43" spans="1:20" s="152" customFormat="1" ht="16.5" customHeight="1">
      <c r="A43" s="1982"/>
      <c r="B43" s="739" t="s">
        <v>427</v>
      </c>
      <c r="C43" s="1477">
        <f>'[78]4'!$G$14+0.02</f>
        <v>23739.464641290222</v>
      </c>
      <c r="D43" s="1506">
        <f>SUM('[78]4'!$G$21:$G$22)</f>
        <v>2070.7274276979047</v>
      </c>
      <c r="E43" s="1516">
        <f>'[78]4'!$G$16</f>
        <v>42049.203737385971</v>
      </c>
      <c r="F43" s="1516">
        <f>'[78]4'!$G$17</f>
        <v>453.14865907305909</v>
      </c>
      <c r="G43" s="1516">
        <f>'[78]4'!$G$20</f>
        <v>1180.6595899528768</v>
      </c>
      <c r="H43" s="1516">
        <f>'[78]4'!$G$18</f>
        <v>77.975945846392491</v>
      </c>
      <c r="I43" s="1516">
        <f>'[78]4'!$G$19+'[78]4'!$G$23</f>
        <v>421.22191755067666</v>
      </c>
      <c r="J43" s="1501">
        <f>'[78]4'!$G$24</f>
        <v>69992.381918797109</v>
      </c>
      <c r="K43" s="1506">
        <f>'[78]4'!$D$14</f>
        <v>21384.133212702021</v>
      </c>
      <c r="L43" s="1506">
        <f>SUM('[78]4'!$D$21:$D$22)</f>
        <v>8262.3471658811577</v>
      </c>
      <c r="M43" s="1516">
        <f>'[78]4'!$D$16</f>
        <v>37938.374366495133</v>
      </c>
      <c r="N43" s="1516">
        <f>'[78]4'!$D$17</f>
        <v>246.49746440202034</v>
      </c>
      <c r="O43" s="1516">
        <f>'[78]4'!$D$20</f>
        <v>1534.5951497834412</v>
      </c>
      <c r="P43" s="1516">
        <f>'[78]4'!$D$18</f>
        <v>2.5954629628765931</v>
      </c>
      <c r="Q43" s="1516">
        <f>'[78]4'!$D$19+'[78]4'!$D$23</f>
        <v>623.87729749300809</v>
      </c>
      <c r="R43" s="618">
        <f t="shared" ref="R43" si="28">ROUND(J43,1)-ROUND(C43,1)-ROUND(D43,1)-ROUND(E43,1)-ROUND(F43,1)-ROUND(G43,1)-ROUND(H43,1)-ROUND(I43,1)</f>
        <v>0</v>
      </c>
      <c r="S43" s="618">
        <f t="shared" ref="S43" si="29">ROUND(J43,1)-ROUND(K43,1)-ROUND(L43,1)-ROUND(M43,1)-ROUND(N43,1)-ROUND(O43,1)-ROUND(P43,1)-ROUND(Q43,1)</f>
        <v>-1.3642420526593924E-12</v>
      </c>
    </row>
    <row r="44" spans="1:20" ht="20.25" customHeight="1">
      <c r="A44" s="292"/>
      <c r="B44" s="232"/>
      <c r="C44" s="232"/>
      <c r="D44" s="232"/>
      <c r="E44" s="232"/>
      <c r="F44" s="232"/>
      <c r="G44" s="232"/>
      <c r="H44" s="232"/>
      <c r="I44" s="232"/>
      <c r="J44" s="232"/>
      <c r="K44" s="232"/>
      <c r="L44" s="232"/>
      <c r="M44" s="232"/>
      <c r="N44" s="232"/>
      <c r="O44" s="232"/>
      <c r="P44" s="232"/>
      <c r="Q44" s="291"/>
    </row>
    <row r="45" spans="1:20" ht="14">
      <c r="A45" s="372"/>
      <c r="Q45" s="634"/>
    </row>
    <row r="46" spans="1:20" ht="14">
      <c r="A46" s="372"/>
      <c r="Q46" s="634"/>
    </row>
    <row r="47" spans="1:20" s="635" customFormat="1" ht="15.5">
      <c r="A47" s="317" t="s">
        <v>1114</v>
      </c>
      <c r="B47" s="317"/>
      <c r="C47" s="317"/>
      <c r="D47" s="317"/>
      <c r="E47" s="317"/>
      <c r="F47" s="317"/>
      <c r="G47" s="317"/>
      <c r="H47" s="317"/>
      <c r="I47" s="317"/>
      <c r="J47" s="317"/>
      <c r="K47" s="317"/>
      <c r="L47" s="317"/>
      <c r="M47" s="317"/>
      <c r="N47" s="317"/>
      <c r="O47" s="317"/>
      <c r="P47" s="317"/>
      <c r="Q47" s="317"/>
      <c r="R47" s="185"/>
      <c r="S47" s="185"/>
      <c r="T47" s="185"/>
    </row>
  </sheetData>
  <phoneticPr fontId="51"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tabColor rgb="FFFFFA00"/>
  </sheetPr>
  <dimension ref="A1:Y43"/>
  <sheetViews>
    <sheetView zoomScale="70" zoomScaleNormal="70" workbookViewId="0">
      <selection activeCell="E17" sqref="E17"/>
    </sheetView>
  </sheetViews>
  <sheetFormatPr defaultColWidth="9.1796875" defaultRowHeight="12.5"/>
  <cols>
    <col min="1" max="1" width="31.7265625" style="891" customWidth="1"/>
    <col min="2" max="11" width="8.7265625" style="891" customWidth="1"/>
    <col min="12" max="12" width="8.7265625" style="1217" customWidth="1"/>
    <col min="13" max="15" width="8.7265625" style="891" customWidth="1"/>
    <col min="16" max="16" width="9.453125" style="891" customWidth="1"/>
    <col min="17" max="17" width="9.26953125" style="891" customWidth="1"/>
    <col min="18" max="18" width="31.7265625" style="891" customWidth="1"/>
    <col min="19" max="19" width="5.7265625" style="891" customWidth="1"/>
    <col min="20" max="23" width="9.1796875" style="891" hidden="1" customWidth="1"/>
    <col min="24" max="24" width="11.1796875" style="891" hidden="1" customWidth="1"/>
    <col min="25" max="25" width="9.1796875" style="891" hidden="1" customWidth="1"/>
    <col min="26" max="26" width="9.1796875" style="891" customWidth="1"/>
    <col min="27" max="16384" width="9.1796875" style="891"/>
  </cols>
  <sheetData>
    <row r="1" spans="1:25" s="915" customFormat="1" ht="21.25" customHeight="1">
      <c r="A1" s="1091" t="s">
        <v>1115</v>
      </c>
      <c r="B1" s="1114"/>
      <c r="C1" s="1114"/>
      <c r="D1" s="1114"/>
      <c r="E1" s="1114"/>
      <c r="F1" s="1114"/>
      <c r="G1" s="1114"/>
      <c r="H1" s="1114"/>
      <c r="I1" s="1114"/>
      <c r="J1" s="1114"/>
      <c r="K1" s="1114"/>
      <c r="L1" s="1814"/>
      <c r="M1" s="1114"/>
      <c r="N1" s="1114"/>
      <c r="O1" s="1114"/>
      <c r="P1" s="1114"/>
      <c r="Q1" s="1114"/>
      <c r="R1" s="1114"/>
    </row>
    <row r="2" spans="1:25" s="915" customFormat="1" ht="21.25" customHeight="1">
      <c r="A2" s="1036" t="s">
        <v>1792</v>
      </c>
      <c r="B2" s="1114"/>
      <c r="C2" s="1114"/>
      <c r="D2" s="1114"/>
      <c r="E2" s="1114"/>
      <c r="F2" s="1114"/>
      <c r="G2" s="1114"/>
      <c r="H2" s="1114"/>
      <c r="I2" s="1114"/>
      <c r="J2" s="1114"/>
      <c r="K2" s="1114"/>
      <c r="L2" s="1814"/>
      <c r="M2" s="1114"/>
      <c r="N2" s="1114"/>
      <c r="O2" s="1114"/>
      <c r="P2" s="1114"/>
      <c r="Q2" s="1114"/>
      <c r="R2" s="1114"/>
    </row>
    <row r="3" spans="1:25" s="915" customFormat="1" ht="21.25" customHeight="1">
      <c r="A3" s="1091" t="s">
        <v>1791</v>
      </c>
      <c r="B3" s="1114"/>
      <c r="C3" s="1114"/>
      <c r="D3" s="1114"/>
      <c r="E3" s="1114"/>
      <c r="F3" s="1114"/>
      <c r="G3" s="1114"/>
      <c r="H3" s="1114"/>
      <c r="I3" s="1114"/>
      <c r="J3" s="1114"/>
      <c r="K3" s="1114"/>
      <c r="L3" s="1814"/>
      <c r="M3" s="1114"/>
      <c r="N3" s="1114"/>
      <c r="O3" s="1114"/>
      <c r="P3" s="1114"/>
      <c r="Q3" s="1114"/>
      <c r="R3" s="1114"/>
    </row>
    <row r="4" spans="1:25" s="915" customFormat="1" ht="21.25" customHeight="1">
      <c r="A4" s="1091" t="s">
        <v>380</v>
      </c>
      <c r="B4" s="1114"/>
      <c r="C4" s="1114"/>
      <c r="D4" s="1114"/>
      <c r="E4" s="1114"/>
      <c r="F4" s="1114"/>
      <c r="G4" s="1114"/>
      <c r="H4" s="1114"/>
      <c r="I4" s="1114"/>
      <c r="J4" s="1114"/>
      <c r="K4" s="1114"/>
      <c r="L4" s="1814"/>
      <c r="M4" s="1114"/>
      <c r="N4" s="1114"/>
      <c r="O4" s="1114"/>
      <c r="P4" s="1114"/>
      <c r="Q4" s="1114"/>
      <c r="R4" s="1114"/>
    </row>
    <row r="5" spans="1:25" s="915" customFormat="1" ht="21.25" customHeight="1">
      <c r="A5" s="1091" t="s">
        <v>379</v>
      </c>
      <c r="B5" s="1114"/>
      <c r="C5" s="1114"/>
      <c r="D5" s="1114"/>
      <c r="E5" s="1114"/>
      <c r="F5" s="1114"/>
      <c r="G5" s="1114"/>
      <c r="H5" s="1114"/>
      <c r="I5" s="1114"/>
      <c r="J5" s="1114"/>
      <c r="K5" s="1114"/>
      <c r="L5" s="1814"/>
      <c r="M5" s="1114"/>
      <c r="N5" s="1114"/>
      <c r="O5" s="1114"/>
      <c r="P5" s="1114"/>
      <c r="Q5" s="1114"/>
      <c r="R5" s="1114"/>
    </row>
    <row r="6" spans="1:25" s="915" customFormat="1" ht="21.25" hidden="1" customHeight="1">
      <c r="A6" s="1091"/>
      <c r="B6" s="1114"/>
      <c r="C6" s="1114"/>
      <c r="D6" s="1114"/>
      <c r="E6" s="1114"/>
      <c r="F6" s="1114"/>
      <c r="G6" s="1114"/>
      <c r="H6" s="1114"/>
      <c r="I6" s="1114"/>
      <c r="J6" s="1114"/>
      <c r="K6" s="1114"/>
      <c r="L6" s="1814"/>
      <c r="M6" s="1114"/>
      <c r="N6" s="1114"/>
      <c r="O6" s="1114"/>
      <c r="P6" s="1114"/>
      <c r="Q6" s="1114"/>
      <c r="R6" s="1114"/>
    </row>
    <row r="7" spans="1:25" s="915" customFormat="1" ht="21.25" hidden="1" customHeight="1">
      <c r="A7" s="1091"/>
      <c r="B7" s="1114"/>
      <c r="C7" s="1114"/>
      <c r="D7" s="1114"/>
      <c r="E7" s="1114"/>
      <c r="F7" s="1114"/>
      <c r="G7" s="1114"/>
      <c r="H7" s="1114"/>
      <c r="I7" s="1114"/>
      <c r="J7" s="1114"/>
      <c r="K7" s="1114"/>
      <c r="L7" s="1814"/>
      <c r="M7" s="1114"/>
      <c r="N7" s="1114"/>
      <c r="O7" s="1114"/>
      <c r="P7" s="1114"/>
      <c r="Q7" s="1114"/>
      <c r="R7" s="1114"/>
    </row>
    <row r="8" spans="1:25" s="915" customFormat="1" ht="4.75" customHeight="1">
      <c r="A8" s="1091"/>
      <c r="B8" s="1114"/>
      <c r="C8" s="1114"/>
      <c r="D8" s="1114"/>
      <c r="E8" s="1114"/>
      <c r="F8" s="1114"/>
      <c r="G8" s="1114"/>
      <c r="H8" s="1114"/>
      <c r="I8" s="1114"/>
      <c r="J8" s="1114"/>
      <c r="K8" s="1114"/>
      <c r="L8" s="1814"/>
      <c r="M8" s="1114"/>
      <c r="N8" s="1114"/>
      <c r="O8" s="1114"/>
      <c r="P8" s="1114"/>
      <c r="Q8" s="1114"/>
      <c r="R8" s="1114"/>
    </row>
    <row r="9" spans="1:25" ht="15.5">
      <c r="A9" s="1206" t="s">
        <v>784</v>
      </c>
      <c r="R9" s="1207" t="s">
        <v>785</v>
      </c>
    </row>
    <row r="10" spans="1:25" ht="14.25" customHeight="1">
      <c r="A10" s="2646" t="s">
        <v>1116</v>
      </c>
      <c r="B10" s="1208" t="s">
        <v>1117</v>
      </c>
      <c r="C10" s="1209"/>
      <c r="D10" s="1209"/>
      <c r="E10" s="1209"/>
      <c r="F10" s="1210"/>
      <c r="G10" s="1211" t="s">
        <v>1118</v>
      </c>
      <c r="H10" s="1212"/>
      <c r="I10" s="1212"/>
      <c r="J10" s="1212"/>
      <c r="K10" s="1213"/>
      <c r="L10" s="1815" t="s">
        <v>1119</v>
      </c>
      <c r="M10" s="1212"/>
      <c r="N10" s="1212"/>
      <c r="O10" s="1212"/>
      <c r="P10" s="1213"/>
      <c r="Q10" s="2649" t="s">
        <v>1120</v>
      </c>
      <c r="R10" s="2646" t="s">
        <v>1121</v>
      </c>
    </row>
    <row r="11" spans="1:25" ht="14.25" customHeight="1">
      <c r="A11" s="2647"/>
      <c r="B11" s="2651" t="s">
        <v>1122</v>
      </c>
      <c r="C11" s="2652"/>
      <c r="D11" s="2652"/>
      <c r="E11" s="2652"/>
      <c r="F11" s="2652"/>
      <c r="G11" s="2651" t="s">
        <v>1123</v>
      </c>
      <c r="H11" s="2652"/>
      <c r="I11" s="2652"/>
      <c r="J11" s="2652"/>
      <c r="K11" s="2653"/>
      <c r="L11" s="2654" t="s">
        <v>1124</v>
      </c>
      <c r="M11" s="2655"/>
      <c r="N11" s="2655"/>
      <c r="O11" s="2655"/>
      <c r="P11" s="2656"/>
      <c r="Q11" s="2650"/>
      <c r="R11" s="2647"/>
    </row>
    <row r="12" spans="1:25" ht="14.25" customHeight="1">
      <c r="A12" s="2647"/>
      <c r="B12" s="1211" t="s">
        <v>1125</v>
      </c>
      <c r="C12" s="1212"/>
      <c r="D12" s="1211" t="s">
        <v>1126</v>
      </c>
      <c r="E12" s="1213"/>
      <c r="F12" s="2657" t="s">
        <v>390</v>
      </c>
      <c r="G12" s="1211" t="s">
        <v>1125</v>
      </c>
      <c r="H12" s="1212"/>
      <c r="I12" s="1211" t="s">
        <v>1126</v>
      </c>
      <c r="J12" s="1213"/>
      <c r="K12" s="2657" t="s">
        <v>390</v>
      </c>
      <c r="L12" s="1815" t="s">
        <v>1125</v>
      </c>
      <c r="M12" s="1212"/>
      <c r="N12" s="1211" t="s">
        <v>1126</v>
      </c>
      <c r="O12" s="1213"/>
      <c r="P12" s="2657" t="s">
        <v>390</v>
      </c>
      <c r="Q12" s="2650"/>
      <c r="R12" s="2647"/>
    </row>
    <row r="13" spans="1:25" ht="14.25" customHeight="1">
      <c r="A13" s="2647"/>
      <c r="B13" s="1281" t="s">
        <v>1127</v>
      </c>
      <c r="C13" s="1214"/>
      <c r="D13" s="1281" t="s">
        <v>1128</v>
      </c>
      <c r="E13" s="1215"/>
      <c r="F13" s="2658"/>
      <c r="G13" s="1281" t="s">
        <v>1127</v>
      </c>
      <c r="H13" s="1214"/>
      <c r="I13" s="1281" t="s">
        <v>1128</v>
      </c>
      <c r="J13" s="1215"/>
      <c r="K13" s="2658"/>
      <c r="L13" s="1816" t="s">
        <v>1127</v>
      </c>
      <c r="M13" s="1214"/>
      <c r="N13" s="1281" t="s">
        <v>1128</v>
      </c>
      <c r="O13" s="1215"/>
      <c r="P13" s="2658"/>
      <c r="Q13" s="2659" t="s">
        <v>768</v>
      </c>
      <c r="R13" s="2647"/>
    </row>
    <row r="14" spans="1:25" ht="14.25" customHeight="1">
      <c r="A14" s="2647"/>
      <c r="B14" s="1216" t="s">
        <v>482</v>
      </c>
      <c r="C14" s="1216" t="s">
        <v>1129</v>
      </c>
      <c r="D14" s="1216" t="s">
        <v>482</v>
      </c>
      <c r="E14" s="1216" t="s">
        <v>1129</v>
      </c>
      <c r="F14" s="2661" t="s">
        <v>400</v>
      </c>
      <c r="G14" s="1216" t="s">
        <v>482</v>
      </c>
      <c r="H14" s="1216" t="s">
        <v>1129</v>
      </c>
      <c r="I14" s="1216" t="s">
        <v>482</v>
      </c>
      <c r="J14" s="1216" t="s">
        <v>1129</v>
      </c>
      <c r="K14" s="2661" t="s">
        <v>400</v>
      </c>
      <c r="L14" s="1817" t="s">
        <v>482</v>
      </c>
      <c r="M14" s="1216" t="s">
        <v>1129</v>
      </c>
      <c r="N14" s="1216" t="s">
        <v>482</v>
      </c>
      <c r="O14" s="1216" t="s">
        <v>1129</v>
      </c>
      <c r="P14" s="2661" t="s">
        <v>400</v>
      </c>
      <c r="Q14" s="2650"/>
      <c r="R14" s="2647"/>
    </row>
    <row r="15" spans="1:25" ht="14.25" customHeight="1">
      <c r="A15" s="2648"/>
      <c r="B15" s="1282" t="s">
        <v>149</v>
      </c>
      <c r="C15" s="1282" t="s">
        <v>1130</v>
      </c>
      <c r="D15" s="1282" t="s">
        <v>149</v>
      </c>
      <c r="E15" s="1283" t="s">
        <v>1130</v>
      </c>
      <c r="F15" s="2662"/>
      <c r="G15" s="1282" t="s">
        <v>149</v>
      </c>
      <c r="H15" s="1282" t="s">
        <v>1130</v>
      </c>
      <c r="I15" s="1282" t="s">
        <v>149</v>
      </c>
      <c r="J15" s="1283" t="s">
        <v>1130</v>
      </c>
      <c r="K15" s="2662"/>
      <c r="L15" s="1818" t="s">
        <v>149</v>
      </c>
      <c r="M15" s="1282" t="s">
        <v>1130</v>
      </c>
      <c r="N15" s="1282" t="s">
        <v>149</v>
      </c>
      <c r="O15" s="1283" t="s">
        <v>1130</v>
      </c>
      <c r="P15" s="2662"/>
      <c r="Q15" s="2660"/>
      <c r="R15" s="2648"/>
      <c r="T15" s="2164">
        <f>$T$16-SUM($T$17:$T$33)</f>
        <v>0</v>
      </c>
      <c r="U15" s="2164">
        <f>$U$16-SUM($U$17:$U$33)</f>
        <v>0.10000000000002274</v>
      </c>
      <c r="V15" s="2164">
        <f>$V$16-SUM($V$17:$V$33)</f>
        <v>0</v>
      </c>
      <c r="W15" s="2164">
        <f>$W$16-SUM($W$17:$W$33)</f>
        <v>0.10000000000002274</v>
      </c>
      <c r="X15" s="2164">
        <f>$X$16-SUM($X$17:$X$33)</f>
        <v>0</v>
      </c>
      <c r="Y15" s="2164"/>
    </row>
    <row r="16" spans="1:25" ht="28.5" customHeight="1">
      <c r="A16" s="1284" t="s">
        <v>400</v>
      </c>
      <c r="B16" s="1502">
        <f>'[78]7'!B16</f>
        <v>171.80851063829786</v>
      </c>
      <c r="C16" s="1502">
        <f>'[78]7'!C16</f>
        <v>214.45985002404254</v>
      </c>
      <c r="D16" s="1478">
        <f>'[78]7'!D16</f>
        <v>0</v>
      </c>
      <c r="E16" s="1502">
        <f>'[78]7'!E16</f>
        <v>205.6716552929787</v>
      </c>
      <c r="F16" s="1502">
        <f>'[78]7'!F16-0.01</f>
        <v>591.93001595531905</v>
      </c>
      <c r="G16" s="1502">
        <f>'[78]7'!G16</f>
        <v>12335.241116867035</v>
      </c>
      <c r="H16" s="1502">
        <f>'[78]7'!H16</f>
        <v>7289.2488240553457</v>
      </c>
      <c r="I16" s="1502">
        <f>'[78]7'!I16</f>
        <v>52.969948138684877</v>
      </c>
      <c r="J16" s="1502">
        <f>'[78]7'!J16</f>
        <v>8941.5758882905866</v>
      </c>
      <c r="K16" s="1502">
        <f>'[78]7'!K16</f>
        <v>28619.035777351655</v>
      </c>
      <c r="L16" s="1502">
        <f>'[78]7'!L16</f>
        <v>11889.383921512393</v>
      </c>
      <c r="M16" s="1502">
        <f>'[78]7'!M16</f>
        <v>11191.894668353038</v>
      </c>
      <c r="N16" s="1502">
        <f>'[78]7'!N16</f>
        <v>36.069399780251246</v>
      </c>
      <c r="O16" s="1502">
        <f>'[78]7'!O16</f>
        <v>18178.807253647301</v>
      </c>
      <c r="P16" s="1502">
        <f>'[78]7'!P16+0.04</f>
        <v>41296.195243292976</v>
      </c>
      <c r="Q16" s="1502">
        <f>'[78]7'!Q16</f>
        <v>70507.131036599938</v>
      </c>
      <c r="R16" s="1285" t="s">
        <v>390</v>
      </c>
      <c r="S16" s="1217"/>
      <c r="T16" s="1217">
        <f>ROUND(B16,1)</f>
        <v>171.8</v>
      </c>
      <c r="U16" s="1217">
        <f t="shared" ref="U16:X16" si="0">ROUND(C16,1)</f>
        <v>214.5</v>
      </c>
      <c r="V16" s="1217">
        <f t="shared" si="0"/>
        <v>0</v>
      </c>
      <c r="W16" s="1217">
        <f t="shared" si="0"/>
        <v>205.7</v>
      </c>
      <c r="X16" s="2495">
        <f t="shared" si="0"/>
        <v>591.9</v>
      </c>
      <c r="Y16" s="2164">
        <f>ROUND(X16,1)-ROUND(W16,1)-ROUND(V16,1)-ROUND(U16,1)-ROUND(T16,1)</f>
        <v>-0.10000000000002274</v>
      </c>
    </row>
    <row r="17" spans="1:25" ht="32.9" customHeight="1">
      <c r="A17" s="1286" t="s">
        <v>1131</v>
      </c>
      <c r="B17" s="1502">
        <f>'[78]7'!B17</f>
        <v>0</v>
      </c>
      <c r="C17" s="1502">
        <f>'[78]7'!C17</f>
        <v>0</v>
      </c>
      <c r="D17" s="1502">
        <f>'[78]7'!D17</f>
        <v>0</v>
      </c>
      <c r="E17" s="1502">
        <f>'[78]7'!E17</f>
        <v>0</v>
      </c>
      <c r="F17" s="1502">
        <f>'[78]7'!F17</f>
        <v>0</v>
      </c>
      <c r="G17" s="1502">
        <f>'[78]7'!G17</f>
        <v>146.54255319148936</v>
      </c>
      <c r="H17" s="1502">
        <f>'[78]7'!H17</f>
        <v>57.978723404255319</v>
      </c>
      <c r="I17" s="1502">
        <f>'[78]7'!I17</f>
        <v>0</v>
      </c>
      <c r="J17" s="1502">
        <f>'[78]7'!J17</f>
        <v>556.11702127659578</v>
      </c>
      <c r="K17" s="1502">
        <f>'[78]7'!K17</f>
        <v>760.63829787234044</v>
      </c>
      <c r="L17" s="1502">
        <f>'[78]7'!L17</f>
        <v>1730.6601061187853</v>
      </c>
      <c r="M17" s="1502">
        <f>'[78]7'!M17</f>
        <v>282.0410444320392</v>
      </c>
      <c r="N17" s="1502">
        <f>'[78]7'!N17</f>
        <v>0</v>
      </c>
      <c r="O17" s="1502">
        <f>'[78]7'!O17</f>
        <v>567.37379869525171</v>
      </c>
      <c r="P17" s="1502">
        <f>'[78]7'!P17</f>
        <v>2580.0749492460764</v>
      </c>
      <c r="Q17" s="1502">
        <f>'[78]7'!Q17</f>
        <v>3340.7132471184168</v>
      </c>
      <c r="R17" s="1287" t="s">
        <v>1132</v>
      </c>
      <c r="S17" s="1217"/>
      <c r="T17" s="1217">
        <f t="shared" ref="T17:T33" si="1">ROUND(B17,1)</f>
        <v>0</v>
      </c>
      <c r="U17" s="1217">
        <f t="shared" ref="U17:U33" si="2">ROUND(C17,1)</f>
        <v>0</v>
      </c>
      <c r="V17" s="1217">
        <f t="shared" ref="V17:V33" si="3">ROUND(D17,1)</f>
        <v>0</v>
      </c>
      <c r="W17" s="1217">
        <f t="shared" ref="W17:W33" si="4">ROUND(E17,1)</f>
        <v>0</v>
      </c>
      <c r="X17" s="2495">
        <f t="shared" ref="X17:X33" si="5">ROUND(F17,1)</f>
        <v>0</v>
      </c>
      <c r="Y17" s="2164">
        <f t="shared" ref="Y17:Y33" si="6">ROUND(X17,1)-ROUND(W17,1)-ROUND(V17,1)-ROUND(U17,1)-ROUND(T17,1)</f>
        <v>0</v>
      </c>
    </row>
    <row r="18" spans="1:25" ht="17.25" customHeight="1">
      <c r="A18" s="1288" t="s">
        <v>1133</v>
      </c>
      <c r="B18" s="1502">
        <f>'[78]7'!B18</f>
        <v>0</v>
      </c>
      <c r="C18" s="1502">
        <f>'[78]7'!C18</f>
        <v>0</v>
      </c>
      <c r="D18" s="1502">
        <f>'[78]7'!D18</f>
        <v>0</v>
      </c>
      <c r="E18" s="1502">
        <f>'[78]7'!E18</f>
        <v>0</v>
      </c>
      <c r="F18" s="1502">
        <f>'[78]7'!F18</f>
        <v>0</v>
      </c>
      <c r="G18" s="1502">
        <f>'[78]7'!G18</f>
        <v>76.329787234042556</v>
      </c>
      <c r="H18" s="1502">
        <f>'[78]7'!H18</f>
        <v>1868.2495443430851</v>
      </c>
      <c r="I18" s="1502">
        <f>'[78]7'!I18</f>
        <v>0</v>
      </c>
      <c r="J18" s="1502">
        <f>'[78]7'!J18</f>
        <v>271.92601051861703</v>
      </c>
      <c r="K18" s="1502">
        <f>'[78]7'!K18</f>
        <v>2216.5053420957447</v>
      </c>
      <c r="L18" s="1478">
        <f>'[78]7'!L18</f>
        <v>1484.3026994490431</v>
      </c>
      <c r="M18" s="1502">
        <f>'[78]7'!M18</f>
        <v>6993.8055832752079</v>
      </c>
      <c r="N18" s="1502">
        <f>'[78]7'!N18</f>
        <v>-1.1873311170212765E-2</v>
      </c>
      <c r="O18" s="1502">
        <f>'[78]7'!O18</f>
        <v>8552.1281666490722</v>
      </c>
      <c r="P18" s="1502">
        <f>'[78]7'!P18</f>
        <v>17030.224576062152</v>
      </c>
      <c r="Q18" s="1502">
        <f>'[78]7'!Q18</f>
        <v>19246.729918157896</v>
      </c>
      <c r="R18" s="1289" t="s">
        <v>1134</v>
      </c>
      <c r="S18" s="1217"/>
      <c r="T18" s="1217">
        <f t="shared" si="1"/>
        <v>0</v>
      </c>
      <c r="U18" s="1217">
        <f t="shared" si="2"/>
        <v>0</v>
      </c>
      <c r="V18" s="1217">
        <f t="shared" si="3"/>
        <v>0</v>
      </c>
      <c r="W18" s="1217">
        <f t="shared" si="4"/>
        <v>0</v>
      </c>
      <c r="X18" s="2495">
        <f t="shared" si="5"/>
        <v>0</v>
      </c>
      <c r="Y18" s="2164">
        <f t="shared" si="6"/>
        <v>0</v>
      </c>
    </row>
    <row r="19" spans="1:25" ht="17.5" customHeight="1">
      <c r="A19" s="1288" t="s">
        <v>1135</v>
      </c>
      <c r="B19" s="1502">
        <f>'[78]7'!B19</f>
        <v>171.80851063829786</v>
      </c>
      <c r="C19" s="1502">
        <f>'[78]7'!C19</f>
        <v>100.63006279</v>
      </c>
      <c r="D19" s="1502">
        <f>'[78]7'!D19</f>
        <v>0</v>
      </c>
      <c r="E19" s="1502">
        <f>'[78]7'!E19+0.02</f>
        <v>159.14910210148938</v>
      </c>
      <c r="F19" s="1502">
        <f>'[78]7'!F19</f>
        <v>431.56767552978721</v>
      </c>
      <c r="G19" s="1502">
        <f>'[78]7'!G19</f>
        <v>5798.6030811214014</v>
      </c>
      <c r="H19" s="1502">
        <f>'[78]7'!H19</f>
        <v>2923.2866977145768</v>
      </c>
      <c r="I19" s="1502">
        <f>'[78]7'!I19</f>
        <v>13.533530746258529</v>
      </c>
      <c r="J19" s="1502">
        <f>'[78]7'!J19</f>
        <v>5496.4187722613051</v>
      </c>
      <c r="K19" s="1502">
        <f>'[78]7'!K19</f>
        <v>14231.842081843544</v>
      </c>
      <c r="L19" s="1502">
        <f>'[78]7'!L19</f>
        <v>3376.3053772719463</v>
      </c>
      <c r="M19" s="1502">
        <f>'[78]7'!M19</f>
        <v>1286.8607337948613</v>
      </c>
      <c r="N19" s="1502">
        <f>'[78]7'!N19</f>
        <v>8.8637447510818905</v>
      </c>
      <c r="O19" s="1502">
        <f>'[78]7'!O19</f>
        <v>335.77122562824138</v>
      </c>
      <c r="P19" s="1502">
        <f>'[78]7'!P19</f>
        <v>5007.8010814461304</v>
      </c>
      <c r="Q19" s="1502">
        <f>'[78]7'!Q19</f>
        <v>19671.210838819461</v>
      </c>
      <c r="R19" s="1289" t="s">
        <v>1136</v>
      </c>
      <c r="S19" s="1217"/>
      <c r="T19" s="1217">
        <f t="shared" si="1"/>
        <v>171.8</v>
      </c>
      <c r="U19" s="1217">
        <f t="shared" si="2"/>
        <v>100.6</v>
      </c>
      <c r="V19" s="1217">
        <f t="shared" si="3"/>
        <v>0</v>
      </c>
      <c r="W19" s="1217">
        <f t="shared" si="4"/>
        <v>159.1</v>
      </c>
      <c r="X19" s="2495">
        <f t="shared" si="5"/>
        <v>431.6</v>
      </c>
      <c r="Y19" s="2164">
        <f t="shared" si="6"/>
        <v>9.9999999999994316E-2</v>
      </c>
    </row>
    <row r="20" spans="1:25" ht="17.5" customHeight="1">
      <c r="A20" s="1288" t="s">
        <v>1137</v>
      </c>
      <c r="B20" s="1502">
        <f>'[78]7'!B20</f>
        <v>0</v>
      </c>
      <c r="C20" s="1502">
        <f>'[78]7'!C20</f>
        <v>0</v>
      </c>
      <c r="D20" s="1502">
        <f>'[78]7'!D20</f>
        <v>0</v>
      </c>
      <c r="E20" s="1502">
        <f>'[78]7'!E20</f>
        <v>9.0425531914893611</v>
      </c>
      <c r="F20" s="1502">
        <f>'[78]7'!F20</f>
        <v>9.0425531914893611</v>
      </c>
      <c r="G20" s="1502">
        <f>'[78]7'!G20</f>
        <v>4516.9549947994601</v>
      </c>
      <c r="H20" s="1502">
        <f>'[78]7'!H20</f>
        <v>874.70172730608624</v>
      </c>
      <c r="I20" s="1502">
        <f>'[78]7'!I20</f>
        <v>38.752151944148935</v>
      </c>
      <c r="J20" s="1502">
        <f>'[78]7'!J20</f>
        <v>324.11379220516903</v>
      </c>
      <c r="K20" s="1502">
        <f>'[78]7'!K20</f>
        <v>5754.5226662548648</v>
      </c>
      <c r="L20" s="1502">
        <f>'[78]7'!L20</f>
        <v>872.3404235531915</v>
      </c>
      <c r="M20" s="1502">
        <f>'[78]7'!M20</f>
        <v>266.24149884817689</v>
      </c>
      <c r="N20" s="1502">
        <f>'[78]7'!N20</f>
        <v>15.159574468085108</v>
      </c>
      <c r="O20" s="1502">
        <f>'[78]7'!O20</f>
        <v>9.2058436541181408</v>
      </c>
      <c r="P20" s="1502">
        <f>'[78]7'!P20</f>
        <v>1162.9473405235717</v>
      </c>
      <c r="Q20" s="1502">
        <f>'[78]7'!Q20</f>
        <v>6926.5125599699259</v>
      </c>
      <c r="R20" s="1289" t="s">
        <v>1138</v>
      </c>
      <c r="S20" s="1217"/>
      <c r="T20" s="1217">
        <f t="shared" si="1"/>
        <v>0</v>
      </c>
      <c r="U20" s="1217">
        <f t="shared" si="2"/>
        <v>0</v>
      </c>
      <c r="V20" s="1217">
        <f t="shared" si="3"/>
        <v>0</v>
      </c>
      <c r="W20" s="1217">
        <f t="shared" si="4"/>
        <v>9</v>
      </c>
      <c r="X20" s="2495">
        <f t="shared" si="5"/>
        <v>9</v>
      </c>
      <c r="Y20" s="2164">
        <f t="shared" si="6"/>
        <v>0</v>
      </c>
    </row>
    <row r="21" spans="1:25" ht="17.5" customHeight="1">
      <c r="A21" s="1288" t="s">
        <v>1139</v>
      </c>
      <c r="B21" s="1502">
        <f>'[78]7'!B21</f>
        <v>0</v>
      </c>
      <c r="C21" s="1502">
        <f>'[78]7'!C21</f>
        <v>0</v>
      </c>
      <c r="D21" s="1502">
        <f>'[78]7'!D21</f>
        <v>0</v>
      </c>
      <c r="E21" s="1502">
        <f>'[78]7'!E21</f>
        <v>0</v>
      </c>
      <c r="F21" s="1502">
        <f>'[78]7'!F21</f>
        <v>0</v>
      </c>
      <c r="G21" s="1502">
        <f>'[78]7'!G21</f>
        <v>0</v>
      </c>
      <c r="H21" s="1502">
        <f>'[78]7'!H21</f>
        <v>0</v>
      </c>
      <c r="I21" s="1502">
        <f>'[78]7'!I21</f>
        <v>0</v>
      </c>
      <c r="J21" s="1502">
        <f>'[78]7'!J21</f>
        <v>0</v>
      </c>
      <c r="K21" s="1502">
        <f>'[78]7'!K21</f>
        <v>0</v>
      </c>
      <c r="L21" s="1502">
        <f>'[78]7'!L21</f>
        <v>0</v>
      </c>
      <c r="M21" s="1502">
        <f>'[78]7'!M21</f>
        <v>0</v>
      </c>
      <c r="N21" s="1502">
        <f>'[78]7'!N21</f>
        <v>0</v>
      </c>
      <c r="O21" s="1502">
        <f>'[78]7'!O21</f>
        <v>0</v>
      </c>
      <c r="P21" s="1502">
        <f>'[78]7'!P21</f>
        <v>0</v>
      </c>
      <c r="Q21" s="1502">
        <f>'[78]7'!Q21</f>
        <v>0</v>
      </c>
      <c r="R21" s="1289" t="s">
        <v>1140</v>
      </c>
      <c r="S21" s="1217"/>
      <c r="T21" s="1217">
        <f t="shared" si="1"/>
        <v>0</v>
      </c>
      <c r="U21" s="1217">
        <f t="shared" si="2"/>
        <v>0</v>
      </c>
      <c r="V21" s="1217">
        <f t="shared" si="3"/>
        <v>0</v>
      </c>
      <c r="W21" s="1217">
        <f t="shared" si="4"/>
        <v>0</v>
      </c>
      <c r="X21" s="2495">
        <f t="shared" si="5"/>
        <v>0</v>
      </c>
      <c r="Y21" s="2164">
        <f t="shared" si="6"/>
        <v>0</v>
      </c>
    </row>
    <row r="22" spans="1:25" ht="17.25" customHeight="1">
      <c r="A22" s="1288" t="s">
        <v>1141</v>
      </c>
      <c r="B22" s="1502">
        <f>'[78]7'!B22</f>
        <v>0</v>
      </c>
      <c r="C22" s="1502">
        <f>'[78]7'!C22</f>
        <v>113.82978723404254</v>
      </c>
      <c r="D22" s="1478">
        <f>'[78]7'!D22</f>
        <v>0</v>
      </c>
      <c r="E22" s="1502">
        <f>'[78]7'!E22</f>
        <v>2.6595744680851063</v>
      </c>
      <c r="F22" s="1502">
        <f>'[78]7'!F22</f>
        <v>116.48936170212765</v>
      </c>
      <c r="G22" s="1502">
        <f>'[78]7'!G22</f>
        <v>991.33666744414631</v>
      </c>
      <c r="H22" s="1502">
        <f>'[78]7'!H22</f>
        <v>660.00593772872287</v>
      </c>
      <c r="I22" s="1502">
        <f>'[78]7'!I22</f>
        <v>0.24196823404255319</v>
      </c>
      <c r="J22" s="1502">
        <f>'[78]7'!J22</f>
        <v>46.55514587234056</v>
      </c>
      <c r="K22" s="1502">
        <f>'[78]7'!K22</f>
        <v>1698.1397192792524</v>
      </c>
      <c r="L22" s="1502">
        <f>'[78]7'!L22</f>
        <v>402.12765957446805</v>
      </c>
      <c r="M22" s="1819">
        <f>'[78]7'!M22</f>
        <v>101.59574468085107</v>
      </c>
      <c r="N22" s="1819">
        <f>'[78]7'!N22</f>
        <v>0</v>
      </c>
      <c r="O22" s="1819">
        <f>'[78]7'!O22</f>
        <v>0.53191489361702127</v>
      </c>
      <c r="P22" s="1502">
        <f>'[78]7'!P22</f>
        <v>504.25531914893611</v>
      </c>
      <c r="Q22" s="1502">
        <f>'[78]7'!Q22</f>
        <v>2318.884400130316</v>
      </c>
      <c r="R22" s="1289" t="s">
        <v>1142</v>
      </c>
      <c r="S22" s="1217"/>
      <c r="T22" s="1217">
        <f t="shared" si="1"/>
        <v>0</v>
      </c>
      <c r="U22" s="1217">
        <f t="shared" si="2"/>
        <v>113.8</v>
      </c>
      <c r="V22" s="1217">
        <f t="shared" si="3"/>
        <v>0</v>
      </c>
      <c r="W22" s="1217">
        <f t="shared" si="4"/>
        <v>2.7</v>
      </c>
      <c r="X22" s="2495">
        <f t="shared" si="5"/>
        <v>116.5</v>
      </c>
      <c r="Y22" s="2164">
        <f t="shared" si="6"/>
        <v>0</v>
      </c>
    </row>
    <row r="23" spans="1:25" ht="17.5" customHeight="1">
      <c r="A23" s="1288" t="s">
        <v>1143</v>
      </c>
      <c r="B23" s="1478">
        <f>'[78]7'!B23</f>
        <v>0</v>
      </c>
      <c r="C23" s="1478">
        <f>'[78]7'!C23</f>
        <v>0</v>
      </c>
      <c r="D23" s="1478">
        <f>'[78]7'!D23</f>
        <v>0</v>
      </c>
      <c r="E23" s="1502">
        <f>'[78]7'!E23</f>
        <v>2.3936170212765959</v>
      </c>
      <c r="F23" s="1502">
        <f>'[78]7'!F23</f>
        <v>2.3936170212765959</v>
      </c>
      <c r="G23" s="1502">
        <f>'[78]7'!G23</f>
        <v>180.50870480851066</v>
      </c>
      <c r="H23" s="1502">
        <f>'[78]7'!H23</f>
        <v>0</v>
      </c>
      <c r="I23" s="1502">
        <f>'[78]7'!I23</f>
        <v>0</v>
      </c>
      <c r="J23" s="1502">
        <f>'[78]7'!J23</f>
        <v>4.7366481448066944</v>
      </c>
      <c r="K23" s="1502">
        <f>'[78]7'!K23</f>
        <v>185.24535295331737</v>
      </c>
      <c r="L23" s="1502">
        <f>'[78]7'!L23</f>
        <v>102.92553191489363</v>
      </c>
      <c r="M23" s="1502">
        <f>'[78]7'!M23</f>
        <v>0</v>
      </c>
      <c r="N23" s="1502">
        <f>'[78]7'!N23</f>
        <v>0</v>
      </c>
      <c r="O23" s="1502">
        <f>'[78]7'!O23</f>
        <v>0.99612587519330564</v>
      </c>
      <c r="P23" s="1502">
        <f>'[78]7'!P23</f>
        <v>103.92165779008693</v>
      </c>
      <c r="Q23" s="1502">
        <f>'[78]7'!Q23</f>
        <v>291.56062776468087</v>
      </c>
      <c r="R23" s="1289" t="s">
        <v>1144</v>
      </c>
      <c r="S23" s="1217"/>
      <c r="T23" s="1217">
        <f t="shared" si="1"/>
        <v>0</v>
      </c>
      <c r="U23" s="1217">
        <f t="shared" si="2"/>
        <v>0</v>
      </c>
      <c r="V23" s="1217">
        <f t="shared" si="3"/>
        <v>0</v>
      </c>
      <c r="W23" s="1217">
        <f t="shared" si="4"/>
        <v>2.4</v>
      </c>
      <c r="X23" s="2495">
        <f t="shared" si="5"/>
        <v>2.4</v>
      </c>
      <c r="Y23" s="2164">
        <f t="shared" si="6"/>
        <v>0</v>
      </c>
    </row>
    <row r="24" spans="1:25" ht="17.5" customHeight="1">
      <c r="A24" s="1288" t="s">
        <v>1145</v>
      </c>
      <c r="B24" s="1478">
        <f>'[78]7'!B24</f>
        <v>0</v>
      </c>
      <c r="C24" s="1478">
        <f>'[78]7'!C24</f>
        <v>0</v>
      </c>
      <c r="D24" s="1478">
        <f>'[78]7'!D24</f>
        <v>0</v>
      </c>
      <c r="E24" s="1502">
        <f>'[78]7'!E24</f>
        <v>0</v>
      </c>
      <c r="F24" s="1502">
        <f>'[78]7'!F24</f>
        <v>0</v>
      </c>
      <c r="G24" s="1502">
        <f>'[78]7'!G24</f>
        <v>0</v>
      </c>
      <c r="H24" s="1502">
        <f>'[78]7'!H24</f>
        <v>0</v>
      </c>
      <c r="I24" s="1502">
        <f>'[78]7'!I24</f>
        <v>0</v>
      </c>
      <c r="J24" s="1502">
        <f>'[78]7'!J24</f>
        <v>0</v>
      </c>
      <c r="K24" s="1502">
        <f>'[78]7'!K24</f>
        <v>0</v>
      </c>
      <c r="L24" s="1502">
        <f>'[78]7'!L24</f>
        <v>0</v>
      </c>
      <c r="M24" s="1502">
        <f>'[78]7'!M24</f>
        <v>0</v>
      </c>
      <c r="N24" s="1502">
        <f>'[78]7'!N24</f>
        <v>0</v>
      </c>
      <c r="O24" s="1502">
        <f>'[78]7'!O24</f>
        <v>0</v>
      </c>
      <c r="P24" s="1502">
        <f>'[78]7'!P24</f>
        <v>0</v>
      </c>
      <c r="Q24" s="1502">
        <f>'[78]7'!Q24</f>
        <v>0</v>
      </c>
      <c r="R24" s="1289" t="s">
        <v>1146</v>
      </c>
      <c r="S24" s="1217"/>
      <c r="T24" s="1217">
        <f t="shared" si="1"/>
        <v>0</v>
      </c>
      <c r="U24" s="1217">
        <f t="shared" si="2"/>
        <v>0</v>
      </c>
      <c r="V24" s="1217">
        <f t="shared" si="3"/>
        <v>0</v>
      </c>
      <c r="W24" s="1217">
        <f t="shared" si="4"/>
        <v>0</v>
      </c>
      <c r="X24" s="2495">
        <f t="shared" si="5"/>
        <v>0</v>
      </c>
      <c r="Y24" s="2164">
        <f t="shared" si="6"/>
        <v>0</v>
      </c>
    </row>
    <row r="25" spans="1:25" ht="17.5" customHeight="1">
      <c r="A25" s="1290" t="s">
        <v>1147</v>
      </c>
      <c r="B25" s="1502">
        <f>'[78]7'!B25</f>
        <v>0</v>
      </c>
      <c r="C25" s="1502">
        <f>'[78]7'!C25+0.02</f>
        <v>0.02</v>
      </c>
      <c r="D25" s="1478">
        <f>'[78]7'!D25</f>
        <v>0</v>
      </c>
      <c r="E25" s="1502">
        <f>'[78]7'!E25</f>
        <v>16.223404255319149</v>
      </c>
      <c r="F25" s="1502">
        <f>'[78]7'!F25</f>
        <v>16.223404255319149</v>
      </c>
      <c r="G25" s="1502">
        <f>'[78]7'!G25</f>
        <v>0</v>
      </c>
      <c r="H25" s="1478">
        <f>'[78]7'!H25</f>
        <v>0</v>
      </c>
      <c r="I25" s="1478">
        <f>'[78]7'!I25</f>
        <v>0</v>
      </c>
      <c r="J25" s="1502">
        <f>'[78]7'!J25</f>
        <v>0</v>
      </c>
      <c r="K25" s="1502">
        <f>'[78]7'!K25</f>
        <v>0</v>
      </c>
      <c r="L25" s="1502">
        <f>'[78]7'!L25</f>
        <v>19.421915640000002</v>
      </c>
      <c r="M25" s="1502">
        <f>'[78]7'!M25</f>
        <v>0</v>
      </c>
      <c r="N25" s="1502">
        <f>'[78]7'!N25</f>
        <v>0</v>
      </c>
      <c r="O25" s="1502">
        <f>'[78]7'!O25</f>
        <v>0</v>
      </c>
      <c r="P25" s="1502">
        <f>'[78]7'!P25</f>
        <v>19.421915640000002</v>
      </c>
      <c r="Q25" s="1502">
        <f>'[78]7'!Q25</f>
        <v>35.645319895319147</v>
      </c>
      <c r="R25" s="1289" t="s">
        <v>1148</v>
      </c>
      <c r="S25" s="1217"/>
      <c r="T25" s="1217">
        <f t="shared" si="1"/>
        <v>0</v>
      </c>
      <c r="U25" s="1217">
        <f t="shared" si="2"/>
        <v>0</v>
      </c>
      <c r="V25" s="1217">
        <f t="shared" si="3"/>
        <v>0</v>
      </c>
      <c r="W25" s="1217">
        <f t="shared" si="4"/>
        <v>16.2</v>
      </c>
      <c r="X25" s="2495">
        <f t="shared" si="5"/>
        <v>16.2</v>
      </c>
      <c r="Y25" s="2164">
        <f t="shared" si="6"/>
        <v>0</v>
      </c>
    </row>
    <row r="26" spans="1:25" ht="17.5" customHeight="1">
      <c r="A26" s="1290" t="s">
        <v>822</v>
      </c>
      <c r="B26" s="1502">
        <f>'[78]7'!B26</f>
        <v>0</v>
      </c>
      <c r="C26" s="1502">
        <f>'[78]7'!C26</f>
        <v>0</v>
      </c>
      <c r="D26" s="1478">
        <f>'[78]7'!D26</f>
        <v>0</v>
      </c>
      <c r="E26" s="1502">
        <f>'[78]7'!E26</f>
        <v>0</v>
      </c>
      <c r="F26" s="1502">
        <f>'[78]7'!F26</f>
        <v>0</v>
      </c>
      <c r="G26" s="1502">
        <f>'[78]7'!G26</f>
        <v>0</v>
      </c>
      <c r="H26" s="1502">
        <f>'[78]7'!H26</f>
        <v>99.850064362890208</v>
      </c>
      <c r="I26" s="1478">
        <f>'[78]7'!I26</f>
        <v>2.1916185590484258E-3</v>
      </c>
      <c r="J26" s="1502">
        <f>'[78]7'!J26</f>
        <v>1190.7818059140477</v>
      </c>
      <c r="K26" s="1502">
        <f>'[78]7'!K26</f>
        <v>1290.6340618954969</v>
      </c>
      <c r="L26" s="1502">
        <f>'[78]7'!L26</f>
        <v>330.67959844946802</v>
      </c>
      <c r="M26" s="1819">
        <f>'[78]7'!M26</f>
        <v>78.991224481645645</v>
      </c>
      <c r="N26" s="1819">
        <f>'[78]7'!N26</f>
        <v>4.6090144095157392E-4</v>
      </c>
      <c r="O26" s="1819">
        <f>'[78]7'!O26</f>
        <v>452.05861015342037</v>
      </c>
      <c r="P26" s="1502">
        <f>'[78]7'!P26</f>
        <v>861.72989398597497</v>
      </c>
      <c r="Q26" s="1502">
        <f>'[78]7'!Q26</f>
        <v>2152.3639558814721</v>
      </c>
      <c r="R26" s="1291" t="s">
        <v>1149</v>
      </c>
      <c r="S26" s="1217"/>
      <c r="T26" s="1217">
        <f t="shared" si="1"/>
        <v>0</v>
      </c>
      <c r="U26" s="1217">
        <f t="shared" si="2"/>
        <v>0</v>
      </c>
      <c r="V26" s="1217">
        <f t="shared" si="3"/>
        <v>0</v>
      </c>
      <c r="W26" s="1217">
        <f t="shared" si="4"/>
        <v>0</v>
      </c>
      <c r="X26" s="2495">
        <f t="shared" si="5"/>
        <v>0</v>
      </c>
      <c r="Y26" s="2164">
        <f t="shared" si="6"/>
        <v>0</v>
      </c>
    </row>
    <row r="27" spans="1:25" ht="17.5" customHeight="1">
      <c r="A27" s="1290" t="s">
        <v>1150</v>
      </c>
      <c r="B27" s="1478">
        <f>'[78]7'!B27</f>
        <v>0</v>
      </c>
      <c r="C27" s="1478">
        <f>'[78]7'!C27</f>
        <v>0</v>
      </c>
      <c r="D27" s="1478">
        <f>'[78]7'!D27</f>
        <v>0</v>
      </c>
      <c r="E27" s="1478">
        <f>'[78]7'!E27</f>
        <v>0</v>
      </c>
      <c r="F27" s="1478">
        <f>'[78]7'!F27</f>
        <v>0</v>
      </c>
      <c r="G27" s="1478">
        <f>'[78]7'!G27</f>
        <v>0</v>
      </c>
      <c r="H27" s="1478">
        <f>'[78]7'!H27</f>
        <v>0</v>
      </c>
      <c r="I27" s="1478">
        <f>'[78]7'!I27</f>
        <v>0</v>
      </c>
      <c r="J27" s="1478">
        <f>'[78]7'!J27</f>
        <v>0</v>
      </c>
      <c r="K27" s="1502">
        <f>'[78]7'!K27</f>
        <v>0</v>
      </c>
      <c r="L27" s="2454">
        <f>'[78]7'!L27</f>
        <v>0</v>
      </c>
      <c r="M27" s="1502">
        <f>'[78]7'!M27</f>
        <v>0</v>
      </c>
      <c r="N27" s="1502">
        <f>'[78]7'!N27</f>
        <v>0</v>
      </c>
      <c r="O27" s="1502">
        <f>'[78]7'!O27</f>
        <v>405.7</v>
      </c>
      <c r="P27" s="1502">
        <f>'[78]7'!P27</f>
        <v>405.7</v>
      </c>
      <c r="Q27" s="1502">
        <f>'[78]7'!Q27</f>
        <v>405.7</v>
      </c>
      <c r="R27" s="1291" t="s">
        <v>1151</v>
      </c>
      <c r="S27" s="1217"/>
      <c r="T27" s="1217">
        <f t="shared" si="1"/>
        <v>0</v>
      </c>
      <c r="U27" s="1217">
        <f t="shared" si="2"/>
        <v>0</v>
      </c>
      <c r="V27" s="1217">
        <f t="shared" si="3"/>
        <v>0</v>
      </c>
      <c r="W27" s="1217">
        <f t="shared" si="4"/>
        <v>0</v>
      </c>
      <c r="X27" s="2495">
        <f t="shared" si="5"/>
        <v>0</v>
      </c>
      <c r="Y27" s="2164">
        <f t="shared" si="6"/>
        <v>0</v>
      </c>
    </row>
    <row r="28" spans="1:25" ht="17.5" customHeight="1">
      <c r="A28" s="1290" t="s">
        <v>1152</v>
      </c>
      <c r="B28" s="1478">
        <f>'[78]7'!B28</f>
        <v>0</v>
      </c>
      <c r="C28" s="1478">
        <f>'[78]7'!C28</f>
        <v>0</v>
      </c>
      <c r="D28" s="1478">
        <f>'[78]7'!D28</f>
        <v>0</v>
      </c>
      <c r="E28" s="1478">
        <f>'[78]7'!E28</f>
        <v>0</v>
      </c>
      <c r="F28" s="1478">
        <f>'[78]7'!F28</f>
        <v>0</v>
      </c>
      <c r="G28" s="1478">
        <f>'[78]7'!G28</f>
        <v>0</v>
      </c>
      <c r="H28" s="1478">
        <f>'[78]7'!H28</f>
        <v>0</v>
      </c>
      <c r="I28" s="1478">
        <f>'[78]7'!I28</f>
        <v>0</v>
      </c>
      <c r="J28" s="1478">
        <f>'[78]7'!J28</f>
        <v>0</v>
      </c>
      <c r="K28" s="1478">
        <f>'[78]7'!K28</f>
        <v>0</v>
      </c>
      <c r="L28" s="2454">
        <f>'[78]7'!L28</f>
        <v>0</v>
      </c>
      <c r="M28" s="1478">
        <f>'[78]7'!M28</f>
        <v>2.9</v>
      </c>
      <c r="N28" s="1478">
        <f>'[78]7'!N28</f>
        <v>0</v>
      </c>
      <c r="O28" s="1478">
        <f>'[78]7'!O28</f>
        <v>0</v>
      </c>
      <c r="P28" s="1478">
        <f>'[78]7'!P28</f>
        <v>2.9</v>
      </c>
      <c r="Q28" s="1502">
        <f>'[78]7'!Q28</f>
        <v>2.9</v>
      </c>
      <c r="R28" s="1291" t="s">
        <v>1153</v>
      </c>
      <c r="S28" s="1217"/>
      <c r="T28" s="1217">
        <f t="shared" si="1"/>
        <v>0</v>
      </c>
      <c r="U28" s="1217">
        <f t="shared" si="2"/>
        <v>0</v>
      </c>
      <c r="V28" s="1217">
        <f t="shared" si="3"/>
        <v>0</v>
      </c>
      <c r="W28" s="1217">
        <f t="shared" si="4"/>
        <v>0</v>
      </c>
      <c r="X28" s="2495">
        <f t="shared" si="5"/>
        <v>0</v>
      </c>
      <c r="Y28" s="2164">
        <f t="shared" si="6"/>
        <v>0</v>
      </c>
    </row>
    <row r="29" spans="1:25" ht="16.5" customHeight="1">
      <c r="A29" s="1290" t="s">
        <v>1154</v>
      </c>
      <c r="B29" s="1478">
        <f>'[78]7'!B29</f>
        <v>0</v>
      </c>
      <c r="C29" s="1502">
        <f>'[78]7'!C29</f>
        <v>0</v>
      </c>
      <c r="D29" s="1478">
        <f>'[78]7'!D29</f>
        <v>0</v>
      </c>
      <c r="E29" s="1478">
        <f>'[78]7'!E29</f>
        <v>0</v>
      </c>
      <c r="F29" s="1502">
        <f>'[78]7'!F29</f>
        <v>0</v>
      </c>
      <c r="G29" s="1478">
        <f>'[78]7'!G29</f>
        <v>0</v>
      </c>
      <c r="H29" s="1478">
        <f>'[78]7'!H29</f>
        <v>0</v>
      </c>
      <c r="I29" s="1478">
        <f>'[78]7'!I29</f>
        <v>0</v>
      </c>
      <c r="J29" s="1478">
        <f>'[78]7'!J29</f>
        <v>0</v>
      </c>
      <c r="K29" s="1478">
        <f>'[78]7'!K29</f>
        <v>0</v>
      </c>
      <c r="L29" s="1502">
        <f>'[78]7'!L29</f>
        <v>0.82768938297872341</v>
      </c>
      <c r="M29" s="1502">
        <f>'[78]7'!M29</f>
        <v>0</v>
      </c>
      <c r="N29" s="1502">
        <f>'[78]7'!N29</f>
        <v>0</v>
      </c>
      <c r="O29" s="1502">
        <f>'[78]7'!O29</f>
        <v>0</v>
      </c>
      <c r="P29" s="1502">
        <f>'[78]7'!P29</f>
        <v>0.82768938297872341</v>
      </c>
      <c r="Q29" s="1502">
        <f>'[78]7'!Q29</f>
        <v>0.82768938297872341</v>
      </c>
      <c r="R29" s="1291" t="s">
        <v>1155</v>
      </c>
      <c r="S29" s="1217"/>
      <c r="T29" s="1217">
        <f t="shared" si="1"/>
        <v>0</v>
      </c>
      <c r="U29" s="1217">
        <f t="shared" si="2"/>
        <v>0</v>
      </c>
      <c r="V29" s="1217">
        <f t="shared" si="3"/>
        <v>0</v>
      </c>
      <c r="W29" s="1217">
        <f t="shared" si="4"/>
        <v>0</v>
      </c>
      <c r="X29" s="2495">
        <f t="shared" si="5"/>
        <v>0</v>
      </c>
      <c r="Y29" s="2164">
        <f t="shared" si="6"/>
        <v>0</v>
      </c>
    </row>
    <row r="30" spans="1:25" ht="32.9" customHeight="1">
      <c r="A30" s="1292" t="s">
        <v>1156</v>
      </c>
      <c r="B30" s="1478">
        <f>'[78]7'!B30</f>
        <v>0</v>
      </c>
      <c r="C30" s="1478">
        <f>'[78]7'!C30</f>
        <v>0</v>
      </c>
      <c r="D30" s="1478">
        <f>'[78]7'!D30</f>
        <v>0</v>
      </c>
      <c r="E30" s="1478">
        <f>'[78]7'!E30</f>
        <v>16.223404255319149</v>
      </c>
      <c r="F30" s="1478">
        <f>'[78]7'!F30</f>
        <v>16.223404255319149</v>
      </c>
      <c r="G30" s="1502">
        <f>'[78]7'!G30</f>
        <v>-8.1542553324255843E-6</v>
      </c>
      <c r="H30" s="1478">
        <f>'[78]7'!H30</f>
        <v>645.53570059668925</v>
      </c>
      <c r="I30" s="1478">
        <f>'[78]7'!I30</f>
        <v>0</v>
      </c>
      <c r="J30" s="1478">
        <f>'[78]7'!J30</f>
        <v>3.386246162152553E-3</v>
      </c>
      <c r="K30" s="1502">
        <f>'[78]7'!K30</f>
        <v>645.53907868859608</v>
      </c>
      <c r="L30" s="1502">
        <f>'[78]7'!L30</f>
        <v>1578.108592398936</v>
      </c>
      <c r="M30" s="1502">
        <f>'[78]7'!M30</f>
        <v>379.00878196107737</v>
      </c>
      <c r="N30" s="1502">
        <f>'[78]7'!N30</f>
        <v>0</v>
      </c>
      <c r="O30" s="1502">
        <f>'[78]7'!O30</f>
        <v>1517.6514004206144</v>
      </c>
      <c r="P30" s="1502">
        <f>'[78]7'!P30+0.03</f>
        <v>3474.7987747806278</v>
      </c>
      <c r="Q30" s="1502">
        <f>'[78]7'!Q30</f>
        <v>4136.5312577245431</v>
      </c>
      <c r="R30" s="1293" t="s">
        <v>1157</v>
      </c>
      <c r="S30" s="1217"/>
      <c r="T30" s="1217">
        <f t="shared" si="1"/>
        <v>0</v>
      </c>
      <c r="U30" s="1217">
        <f t="shared" si="2"/>
        <v>0</v>
      </c>
      <c r="V30" s="1217">
        <f t="shared" si="3"/>
        <v>0</v>
      </c>
      <c r="W30" s="1217">
        <f t="shared" si="4"/>
        <v>16.2</v>
      </c>
      <c r="X30" s="2495">
        <f t="shared" si="5"/>
        <v>16.2</v>
      </c>
      <c r="Y30" s="2164">
        <f t="shared" si="6"/>
        <v>0</v>
      </c>
    </row>
    <row r="31" spans="1:25" ht="32.9" customHeight="1">
      <c r="A31" s="1292" t="s">
        <v>1158</v>
      </c>
      <c r="B31" s="1479"/>
      <c r="C31" s="1479"/>
      <c r="D31" s="1479"/>
      <c r="E31" s="1479"/>
      <c r="F31" s="1479"/>
      <c r="G31" s="1479"/>
      <c r="H31" s="1479"/>
      <c r="I31" s="1479"/>
      <c r="J31" s="1479"/>
      <c r="K31" s="1479"/>
      <c r="L31" s="1502">
        <f>'[78]7'!L31</f>
        <v>296.36847565212713</v>
      </c>
      <c r="M31" s="1502">
        <f>'[78]7'!M31</f>
        <v>72.444796193218082</v>
      </c>
      <c r="N31" s="1502">
        <f>'[78]7'!N31</f>
        <v>0</v>
      </c>
      <c r="O31" s="1502">
        <f>'[78]7'!O31</f>
        <v>0</v>
      </c>
      <c r="P31" s="1502">
        <f>'[78]7'!P31</f>
        <v>368.81327184534518</v>
      </c>
      <c r="Q31" s="1502">
        <f>'[78]7'!Q31</f>
        <v>368.81327184534518</v>
      </c>
      <c r="R31" s="1293" t="s">
        <v>1159</v>
      </c>
      <c r="S31" s="1217"/>
      <c r="T31" s="1217">
        <f t="shared" si="1"/>
        <v>0</v>
      </c>
      <c r="U31" s="1217">
        <f t="shared" si="2"/>
        <v>0</v>
      </c>
      <c r="V31" s="1217">
        <f t="shared" si="3"/>
        <v>0</v>
      </c>
      <c r="W31" s="1217">
        <f t="shared" si="4"/>
        <v>0</v>
      </c>
      <c r="X31" s="2495">
        <f t="shared" si="5"/>
        <v>0</v>
      </c>
      <c r="Y31" s="2164">
        <f t="shared" si="6"/>
        <v>0</v>
      </c>
    </row>
    <row r="32" spans="1:25" ht="15.5">
      <c r="A32" s="1292" t="s">
        <v>1160</v>
      </c>
      <c r="B32" s="1480"/>
      <c r="C32" s="1480"/>
      <c r="D32" s="1480"/>
      <c r="E32" s="1480"/>
      <c r="F32" s="1480"/>
      <c r="G32" s="1480"/>
      <c r="H32" s="1480"/>
      <c r="I32" s="1480"/>
      <c r="J32" s="1480"/>
      <c r="K32" s="1480"/>
      <c r="L32" s="1502">
        <f>'[78]7'!L32</f>
        <v>161.51674297105686</v>
      </c>
      <c r="M32" s="1819">
        <f>'[78]7'!M32</f>
        <v>657.67034769284885</v>
      </c>
      <c r="N32" s="1819">
        <f>'[78]7'!N32</f>
        <v>0</v>
      </c>
      <c r="O32" s="1819">
        <f>'[78]7'!O32</f>
        <v>3767.2067437449582</v>
      </c>
      <c r="P32" s="1502">
        <f>'[78]7'!P32</f>
        <v>4586.3938344088638</v>
      </c>
      <c r="Q32" s="1502">
        <f>'[78]7'!Q32</f>
        <v>4586.3938344088638</v>
      </c>
      <c r="R32" s="1293" t="s">
        <v>1161</v>
      </c>
      <c r="S32" s="1217"/>
      <c r="T32" s="1217">
        <f t="shared" si="1"/>
        <v>0</v>
      </c>
      <c r="U32" s="1217">
        <f t="shared" si="2"/>
        <v>0</v>
      </c>
      <c r="V32" s="1217">
        <f t="shared" si="3"/>
        <v>0</v>
      </c>
      <c r="W32" s="1217">
        <f t="shared" si="4"/>
        <v>0</v>
      </c>
      <c r="X32" s="2495">
        <f t="shared" si="5"/>
        <v>0</v>
      </c>
      <c r="Y32" s="2164">
        <f t="shared" si="6"/>
        <v>0</v>
      </c>
    </row>
    <row r="33" spans="1:25" ht="15.5">
      <c r="A33" s="1288" t="s">
        <v>407</v>
      </c>
      <c r="B33" s="1478">
        <f>'[78]7'!B33</f>
        <v>0</v>
      </c>
      <c r="C33" s="1478">
        <f>'[78]7'!C33</f>
        <v>0</v>
      </c>
      <c r="D33" s="1478">
        <f>'[78]7'!D33</f>
        <v>0</v>
      </c>
      <c r="E33" s="1478">
        <f>'[78]7'!E33</f>
        <v>0</v>
      </c>
      <c r="F33" s="1478">
        <f>'[78]7'!F33</f>
        <v>0</v>
      </c>
      <c r="G33" s="1502">
        <f>'[78]7'!G33</f>
        <v>624.96533642223881</v>
      </c>
      <c r="H33" s="1502">
        <f>'[78]7'!H33</f>
        <v>159.64042859904001</v>
      </c>
      <c r="I33" s="1502">
        <f>'[78]7'!I33</f>
        <v>0.44010559567581375</v>
      </c>
      <c r="J33" s="1502">
        <f>'[78]7'!J33</f>
        <v>1050.9233058515424</v>
      </c>
      <c r="K33" s="1502">
        <f>'[78]7'!K33</f>
        <v>1835.9691764684972</v>
      </c>
      <c r="L33" s="1502">
        <f>'[78]7'!L33</f>
        <v>1533.7991091354991</v>
      </c>
      <c r="M33" s="1502">
        <f>'[78]7'!M33</f>
        <v>1070.3349129931091</v>
      </c>
      <c r="N33" s="1502">
        <f>'[78]7'!N33</f>
        <v>12.057492970813508</v>
      </c>
      <c r="O33" s="1502">
        <f>'[78]7'!O33</f>
        <v>2570.1834239328141</v>
      </c>
      <c r="P33" s="1502">
        <f>'[78]7'!P33</f>
        <v>5186.3749390322355</v>
      </c>
      <c r="Q33" s="1502">
        <f>'[78]7'!Q33</f>
        <v>7022.3441155007331</v>
      </c>
      <c r="R33" s="1289" t="s">
        <v>399</v>
      </c>
      <c r="S33" s="1217"/>
      <c r="T33" s="1217">
        <f t="shared" si="1"/>
        <v>0</v>
      </c>
      <c r="U33" s="1217">
        <f t="shared" si="2"/>
        <v>0</v>
      </c>
      <c r="V33" s="1217">
        <f t="shared" si="3"/>
        <v>0</v>
      </c>
      <c r="W33" s="1217">
        <f t="shared" si="4"/>
        <v>0</v>
      </c>
      <c r="X33" s="2495">
        <f t="shared" si="5"/>
        <v>0</v>
      </c>
      <c r="Y33" s="2164">
        <f t="shared" si="6"/>
        <v>0</v>
      </c>
    </row>
    <row r="34" spans="1:25" ht="13">
      <c r="S34" s="2164"/>
      <c r="T34" s="1217"/>
      <c r="U34" s="1217"/>
      <c r="V34" s="1217"/>
      <c r="W34" s="1217"/>
      <c r="X34" s="2495"/>
      <c r="Y34" s="2164"/>
    </row>
    <row r="35" spans="1:25" ht="13">
      <c r="G35" s="1217"/>
      <c r="H35" s="1217"/>
      <c r="I35" s="1217"/>
      <c r="J35" s="1217"/>
      <c r="K35" s="1217"/>
      <c r="M35" s="1217"/>
      <c r="N35" s="1217"/>
      <c r="O35" s="1217"/>
      <c r="P35" s="1217"/>
      <c r="Q35" s="1217"/>
      <c r="T35" s="1217"/>
      <c r="U35" s="1217"/>
      <c r="V35" s="1217"/>
      <c r="W35" s="1217"/>
      <c r="X35" s="2495"/>
    </row>
    <row r="42" spans="1:25" ht="14">
      <c r="A42" s="1218" t="s">
        <v>1162</v>
      </c>
      <c r="B42" s="1219"/>
      <c r="C42" s="1219"/>
      <c r="D42" s="1219"/>
      <c r="E42" s="1219"/>
      <c r="F42" s="1219"/>
      <c r="G42" s="1219"/>
      <c r="H42" s="1219"/>
      <c r="I42" s="1219"/>
      <c r="J42" s="1219"/>
      <c r="K42" s="1219"/>
      <c r="L42" s="1820"/>
      <c r="M42" s="1219"/>
      <c r="N42" s="1219"/>
      <c r="O42" s="1219"/>
      <c r="P42" s="1219"/>
      <c r="Q42" s="1219"/>
      <c r="R42" s="1219"/>
    </row>
    <row r="43" spans="1:25" ht="14">
      <c r="F43" s="1218"/>
      <c r="J43" s="1219"/>
      <c r="K43" s="1219"/>
    </row>
  </sheetData>
  <mergeCells count="13">
    <mergeCell ref="A10:A15"/>
    <mergeCell ref="Q10:Q12"/>
    <mergeCell ref="R10:R15"/>
    <mergeCell ref="B11:F11"/>
    <mergeCell ref="G11:K11"/>
    <mergeCell ref="L11:P11"/>
    <mergeCell ref="F12:F13"/>
    <mergeCell ref="K12:K13"/>
    <mergeCell ref="P12:P13"/>
    <mergeCell ref="Q13:Q15"/>
    <mergeCell ref="F14:F15"/>
    <mergeCell ref="K14:K15"/>
    <mergeCell ref="P14:P15"/>
  </mergeCells>
  <phoneticPr fontId="51" type="noConversion"/>
  <printOptions horizontalCentered="1" verticalCentered="1"/>
  <pageMargins left="0" right="0" top="0" bottom="0" header="0.5" footer="0.5"/>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Y50"/>
  <sheetViews>
    <sheetView zoomScale="80" zoomScaleNormal="80" workbookViewId="0">
      <pane ySplit="12" topLeftCell="A42" activePane="bottomLeft" state="frozen"/>
      <selection activeCell="B43" sqref="B43"/>
      <selection pane="bottomLeft" activeCell="F43" sqref="F43"/>
    </sheetView>
  </sheetViews>
  <sheetFormatPr defaultColWidth="8.81640625" defaultRowHeight="12.5"/>
  <cols>
    <col min="1" max="2" width="9.7265625" customWidth="1"/>
    <col min="3" max="3" width="8.81640625" customWidth="1"/>
    <col min="4" max="4" width="14.26953125" customWidth="1"/>
    <col min="5" max="5" width="13.7265625" customWidth="1"/>
    <col min="6" max="6" width="12.7265625" customWidth="1"/>
    <col min="7" max="7" width="11.81640625" customWidth="1"/>
    <col min="8" max="8" width="13.7265625" customWidth="1"/>
    <col min="9" max="9" width="11.26953125" customWidth="1"/>
    <col min="10" max="11" width="13.7265625" customWidth="1"/>
    <col min="12" max="13" width="12.7265625" customWidth="1"/>
    <col min="14" max="14" width="11.81640625" customWidth="1"/>
    <col min="15" max="15" width="11.7265625" customWidth="1"/>
    <col min="16" max="16" width="9.26953125" style="261" customWidth="1"/>
  </cols>
  <sheetData>
    <row r="1" spans="1:25" s="1076" customFormat="1" ht="18">
      <c r="A1" s="1073" t="s">
        <v>372</v>
      </c>
      <c r="B1" s="1074"/>
      <c r="C1" s="1074"/>
      <c r="D1" s="1074"/>
      <c r="E1" s="1074"/>
      <c r="F1" s="1074"/>
      <c r="G1" s="1074"/>
      <c r="H1" s="1074"/>
      <c r="I1" s="1074"/>
      <c r="J1" s="1074"/>
      <c r="K1" s="1074"/>
      <c r="L1" s="1074"/>
      <c r="M1" s="1074"/>
      <c r="N1" s="1074"/>
      <c r="O1" s="1074"/>
      <c r="P1" s="1075"/>
    </row>
    <row r="2" spans="1:25" s="1076" customFormat="1" ht="18">
      <c r="A2" s="1077" t="s">
        <v>373</v>
      </c>
      <c r="B2" s="1074"/>
      <c r="C2" s="1074"/>
      <c r="D2" s="1074"/>
      <c r="E2" s="1074"/>
      <c r="F2" s="1074"/>
      <c r="G2" s="1074"/>
      <c r="H2" s="1074"/>
      <c r="I2" s="1074"/>
      <c r="J2" s="1074"/>
      <c r="K2" s="1074"/>
      <c r="L2" s="1074"/>
      <c r="M2" s="1074"/>
      <c r="N2" s="1074"/>
      <c r="O2" s="1074"/>
      <c r="P2" s="1075"/>
    </row>
    <row r="3" spans="1:25" s="1076" customFormat="1" ht="19">
      <c r="A3" s="1078" t="s">
        <v>374</v>
      </c>
      <c r="B3" s="1074"/>
      <c r="C3" s="1074"/>
      <c r="D3" s="1074"/>
      <c r="E3" s="1074"/>
      <c r="F3" s="1074"/>
      <c r="G3" s="1074"/>
      <c r="H3" s="1074"/>
      <c r="I3" s="1074"/>
      <c r="J3" s="1074"/>
      <c r="K3" s="1074"/>
      <c r="L3" s="1074"/>
      <c r="M3" s="1074"/>
      <c r="N3" s="1074"/>
      <c r="O3" s="1074"/>
      <c r="P3" s="1075"/>
    </row>
    <row r="4" spans="1:25" s="1076" customFormat="1" ht="18">
      <c r="A4" s="1077" t="s">
        <v>375</v>
      </c>
      <c r="B4" s="1074"/>
      <c r="C4" s="1074"/>
      <c r="D4" s="1074"/>
      <c r="E4" s="1074"/>
      <c r="F4" s="1074"/>
      <c r="G4" s="1074"/>
      <c r="H4" s="1074"/>
      <c r="I4" s="1074"/>
      <c r="J4" s="1074"/>
      <c r="K4" s="1074"/>
      <c r="L4" s="1074"/>
      <c r="M4" s="1074"/>
      <c r="N4" s="1074"/>
      <c r="O4" s="1074"/>
      <c r="P4" s="1075"/>
    </row>
    <row r="5" spans="1:25" s="1076" customFormat="1" ht="19">
      <c r="A5" s="1078" t="s">
        <v>376</v>
      </c>
      <c r="B5" s="1074"/>
      <c r="C5" s="1074"/>
      <c r="D5" s="1074"/>
      <c r="E5" s="1074"/>
      <c r="F5" s="1074"/>
      <c r="G5" s="1074"/>
      <c r="H5" s="1074"/>
      <c r="I5" s="1074"/>
      <c r="J5" s="1074"/>
      <c r="K5" s="1074"/>
      <c r="L5" s="1074"/>
      <c r="M5" s="1074"/>
      <c r="N5" s="1074"/>
      <c r="O5" s="1074"/>
      <c r="P5" s="1075"/>
    </row>
    <row r="6" spans="1:25" s="9" customFormat="1" ht="15.5">
      <c r="A6" s="177" t="s">
        <v>377</v>
      </c>
      <c r="B6" s="177"/>
      <c r="C6" s="177"/>
      <c r="D6" s="177"/>
      <c r="E6" s="177"/>
      <c r="F6" s="177"/>
      <c r="G6" s="177"/>
      <c r="H6" s="177"/>
      <c r="I6" s="177"/>
      <c r="J6" s="177"/>
      <c r="K6" s="177"/>
      <c r="L6" s="177"/>
      <c r="M6" s="177"/>
      <c r="N6" s="177"/>
      <c r="O6" s="38" t="s">
        <v>378</v>
      </c>
      <c r="P6" s="250"/>
    </row>
    <row r="7" spans="1:25" s="9" customFormat="1" ht="18" customHeight="1">
      <c r="A7" s="212"/>
      <c r="C7" s="363" t="s">
        <v>379</v>
      </c>
      <c r="D7" s="177"/>
      <c r="E7" s="177"/>
      <c r="F7" s="177"/>
      <c r="G7" s="364" t="s">
        <v>380</v>
      </c>
      <c r="H7" s="216"/>
      <c r="I7" s="363" t="s">
        <v>381</v>
      </c>
      <c r="J7" s="177"/>
      <c r="K7" s="177"/>
      <c r="L7" s="177"/>
      <c r="M7" s="177"/>
      <c r="N7" s="177"/>
      <c r="O7" s="364" t="s">
        <v>382</v>
      </c>
      <c r="P7" s="250"/>
    </row>
    <row r="8" spans="1:25" s="36" customFormat="1" ht="18" customHeight="1">
      <c r="A8" s="58"/>
      <c r="C8" s="313" t="s">
        <v>383</v>
      </c>
      <c r="D8" s="56"/>
      <c r="E8" s="215" t="s">
        <v>384</v>
      </c>
      <c r="F8" s="312"/>
      <c r="G8" s="378" t="s">
        <v>385</v>
      </c>
      <c r="H8" s="217"/>
      <c r="I8" s="207"/>
      <c r="J8" s="1242" t="s">
        <v>386</v>
      </c>
      <c r="K8" s="209"/>
      <c r="L8" s="206"/>
      <c r="M8" s="209"/>
      <c r="N8" s="214"/>
      <c r="O8" s="1243" t="s">
        <v>385</v>
      </c>
      <c r="P8" s="258"/>
    </row>
    <row r="9" spans="1:25" s="36" customFormat="1" ht="18" customHeight="1">
      <c r="A9" s="26" t="s">
        <v>387</v>
      </c>
      <c r="B9" s="76"/>
      <c r="C9" s="89" t="s">
        <v>388</v>
      </c>
      <c r="D9" s="90"/>
      <c r="E9" s="375" t="s">
        <v>389</v>
      </c>
      <c r="F9" s="61" t="s">
        <v>389</v>
      </c>
      <c r="G9" s="208"/>
      <c r="H9" s="380" t="s">
        <v>390</v>
      </c>
      <c r="I9" s="210"/>
      <c r="J9" s="376" t="s">
        <v>9</v>
      </c>
      <c r="K9" s="61" t="s">
        <v>391</v>
      </c>
      <c r="L9" s="61" t="s">
        <v>392</v>
      </c>
      <c r="M9" s="61" t="s">
        <v>393</v>
      </c>
      <c r="N9" s="314"/>
      <c r="O9" s="63" t="s">
        <v>394</v>
      </c>
      <c r="P9" s="258"/>
    </row>
    <row r="10" spans="1:25" s="36" customFormat="1" ht="18" customHeight="1">
      <c r="A10" s="84" t="s">
        <v>395</v>
      </c>
      <c r="B10" s="127"/>
      <c r="C10" s="374" t="s">
        <v>1739</v>
      </c>
      <c r="D10" s="61" t="s">
        <v>396</v>
      </c>
      <c r="E10" s="63" t="s">
        <v>397</v>
      </c>
      <c r="F10" s="63" t="s">
        <v>398</v>
      </c>
      <c r="G10" s="211" t="s">
        <v>399</v>
      </c>
      <c r="H10" s="178" t="s">
        <v>400</v>
      </c>
      <c r="I10" s="379" t="s">
        <v>383</v>
      </c>
      <c r="J10" s="377" t="s">
        <v>401</v>
      </c>
      <c r="K10" s="63" t="s">
        <v>402</v>
      </c>
      <c r="L10" s="61" t="s">
        <v>398</v>
      </c>
      <c r="M10" s="63" t="s">
        <v>403</v>
      </c>
      <c r="N10" s="211" t="s">
        <v>399</v>
      </c>
      <c r="O10" s="63" t="s">
        <v>404</v>
      </c>
      <c r="P10" s="258"/>
    </row>
    <row r="11" spans="1:25" s="41" customFormat="1" ht="18" customHeight="1">
      <c r="A11" s="99"/>
      <c r="B11" s="62"/>
      <c r="C11" s="128" t="s">
        <v>1738</v>
      </c>
      <c r="D11" s="86" t="s">
        <v>388</v>
      </c>
      <c r="E11" s="112" t="s">
        <v>406</v>
      </c>
      <c r="F11" s="112" t="s">
        <v>406</v>
      </c>
      <c r="G11" s="85" t="s">
        <v>407</v>
      </c>
      <c r="H11" s="178"/>
      <c r="I11" s="86" t="s">
        <v>388</v>
      </c>
      <c r="J11" s="85" t="s">
        <v>408</v>
      </c>
      <c r="K11" s="85" t="s">
        <v>409</v>
      </c>
      <c r="L11" s="85" t="s">
        <v>410</v>
      </c>
      <c r="M11" s="112" t="s">
        <v>409</v>
      </c>
      <c r="N11" s="112" t="s">
        <v>407</v>
      </c>
      <c r="O11" s="112" t="s">
        <v>411</v>
      </c>
      <c r="P11" s="259"/>
    </row>
    <row r="12" spans="1:25" s="36" customFormat="1" ht="18" customHeight="1">
      <c r="A12" s="67"/>
      <c r="B12" s="68"/>
      <c r="C12" s="213"/>
      <c r="D12" s="91" t="s">
        <v>412</v>
      </c>
      <c r="E12" s="92" t="s">
        <v>413</v>
      </c>
      <c r="F12" s="92" t="s">
        <v>414</v>
      </c>
      <c r="G12" s="92"/>
      <c r="H12" s="218"/>
      <c r="I12" s="91"/>
      <c r="J12" s="92" t="s">
        <v>415</v>
      </c>
      <c r="K12" s="92" t="s">
        <v>413</v>
      </c>
      <c r="L12" s="92" t="s">
        <v>416</v>
      </c>
      <c r="M12" s="92" t="s">
        <v>417</v>
      </c>
      <c r="N12" s="92"/>
      <c r="O12" s="92" t="s">
        <v>418</v>
      </c>
      <c r="P12" s="260" t="s">
        <v>419</v>
      </c>
    </row>
    <row r="13" spans="1:25" s="274" customFormat="1" ht="20.25" customHeight="1">
      <c r="A13" s="263">
        <v>2016</v>
      </c>
      <c r="B13" s="404"/>
      <c r="C13" s="405">
        <v>2.5</v>
      </c>
      <c r="D13" s="222">
        <v>815.9</v>
      </c>
      <c r="E13" s="397">
        <v>365.3</v>
      </c>
      <c r="F13" s="1485">
        <v>990.6</v>
      </c>
      <c r="G13" s="391">
        <v>484.8</v>
      </c>
      <c r="H13" s="399">
        <v>2659.1000000000004</v>
      </c>
      <c r="I13" s="328">
        <v>0</v>
      </c>
      <c r="J13" s="400">
        <v>670.6</v>
      </c>
      <c r="K13" s="397">
        <v>1086.8</v>
      </c>
      <c r="L13" s="401">
        <v>5.0999999999999996</v>
      </c>
      <c r="M13" s="373">
        <v>0</v>
      </c>
      <c r="N13" s="401">
        <v>389.6</v>
      </c>
      <c r="O13" s="272">
        <v>507</v>
      </c>
      <c r="P13" s="382">
        <v>4.5474735088646412E-13</v>
      </c>
    </row>
    <row r="14" spans="1:25" s="357" customFormat="1" ht="14.25" customHeight="1">
      <c r="A14" s="356">
        <v>2017</v>
      </c>
      <c r="B14" s="402"/>
      <c r="C14" s="906">
        <v>2.5</v>
      </c>
      <c r="D14" s="906">
        <v>880.6</v>
      </c>
      <c r="E14" s="876">
        <v>252.6</v>
      </c>
      <c r="F14" s="1002">
        <v>1024</v>
      </c>
      <c r="G14" s="921">
        <v>549.5</v>
      </c>
      <c r="H14" s="922">
        <v>2709.2</v>
      </c>
      <c r="I14" s="359">
        <v>0</v>
      </c>
      <c r="J14" s="923">
        <v>662.7</v>
      </c>
      <c r="K14" s="876">
        <v>1218.8</v>
      </c>
      <c r="L14" s="1003">
        <v>10.7</v>
      </c>
      <c r="M14" s="877">
        <v>0</v>
      </c>
      <c r="N14" s="924">
        <v>321.10000000000002</v>
      </c>
      <c r="O14" s="925">
        <v>495.9</v>
      </c>
      <c r="P14" s="382">
        <v>0</v>
      </c>
      <c r="Q14" s="889"/>
      <c r="R14" s="889"/>
      <c r="S14" s="889"/>
      <c r="T14" s="889"/>
      <c r="U14" s="889"/>
      <c r="V14" s="889"/>
      <c r="W14" s="889"/>
      <c r="X14" s="889"/>
      <c r="Y14" s="889"/>
    </row>
    <row r="15" spans="1:25" s="889" customFormat="1" ht="14.25" customHeight="1">
      <c r="A15" s="884">
        <v>2018</v>
      </c>
      <c r="B15" s="1001"/>
      <c r="C15" s="906">
        <v>2.5</v>
      </c>
      <c r="D15" s="906">
        <v>699.8</v>
      </c>
      <c r="E15" s="876">
        <v>130.9</v>
      </c>
      <c r="F15" s="1002">
        <v>1005.6</v>
      </c>
      <c r="G15" s="921">
        <v>617.70000000000005</v>
      </c>
      <c r="H15" s="922">
        <v>2456.5</v>
      </c>
      <c r="I15" s="908">
        <v>0</v>
      </c>
      <c r="J15" s="923">
        <v>681.7</v>
      </c>
      <c r="K15" s="876">
        <v>1028.7</v>
      </c>
      <c r="L15" s="1003">
        <v>5.9</v>
      </c>
      <c r="M15" s="877">
        <v>0</v>
      </c>
      <c r="N15" s="924">
        <v>199.1</v>
      </c>
      <c r="O15" s="925">
        <v>541.1</v>
      </c>
      <c r="P15" s="382">
        <v>0</v>
      </c>
    </row>
    <row r="16" spans="1:25" s="889" customFormat="1" ht="14.25" customHeight="1">
      <c r="A16" s="884">
        <v>2019</v>
      </c>
      <c r="B16" s="1001"/>
      <c r="C16" s="906">
        <v>2.5</v>
      </c>
      <c r="D16" s="906">
        <v>1276.0999999999999</v>
      </c>
      <c r="E16" s="876">
        <v>415</v>
      </c>
      <c r="F16" s="1002">
        <v>1085.9000000000001</v>
      </c>
      <c r="G16" s="921">
        <v>418.3</v>
      </c>
      <c r="H16" s="922">
        <v>3197.8</v>
      </c>
      <c r="I16" s="908">
        <v>0</v>
      </c>
      <c r="J16" s="923">
        <v>687.1</v>
      </c>
      <c r="K16" s="876">
        <v>1603.1</v>
      </c>
      <c r="L16" s="1003">
        <v>4.2</v>
      </c>
      <c r="M16" s="877">
        <v>0</v>
      </c>
      <c r="N16" s="924">
        <v>317.39999999999998</v>
      </c>
      <c r="O16" s="925">
        <v>586</v>
      </c>
      <c r="P16" s="382">
        <v>0</v>
      </c>
    </row>
    <row r="17" spans="1:16" s="889" customFormat="1" ht="14.25" customHeight="1">
      <c r="A17" s="884">
        <v>2020</v>
      </c>
      <c r="B17" s="1001"/>
      <c r="C17" s="906">
        <v>2.5</v>
      </c>
      <c r="D17" s="906">
        <v>732</v>
      </c>
      <c r="E17" s="876">
        <v>162.1</v>
      </c>
      <c r="F17" s="1002">
        <v>1778.8</v>
      </c>
      <c r="G17" s="921">
        <v>348.4</v>
      </c>
      <c r="H17" s="922">
        <v>3023.8</v>
      </c>
      <c r="I17" s="908">
        <v>0</v>
      </c>
      <c r="J17" s="923">
        <v>745.1</v>
      </c>
      <c r="K17" s="876">
        <v>1408.5</v>
      </c>
      <c r="L17" s="1003">
        <v>4.9000000000000004</v>
      </c>
      <c r="M17" s="877">
        <v>0</v>
      </c>
      <c r="N17" s="924">
        <v>269.7</v>
      </c>
      <c r="O17" s="925">
        <v>595.6</v>
      </c>
      <c r="P17" s="382">
        <v>0</v>
      </c>
    </row>
    <row r="18" spans="1:16" s="889" customFormat="1" ht="14.25" customHeight="1">
      <c r="A18" s="884">
        <v>2021</v>
      </c>
      <c r="B18" s="1001"/>
      <c r="C18" s="906">
        <v>2.5</v>
      </c>
      <c r="D18" s="906">
        <v>1468.6</v>
      </c>
      <c r="E18" s="876">
        <v>421.7</v>
      </c>
      <c r="F18" s="1002">
        <v>1797.8</v>
      </c>
      <c r="G18" s="921">
        <v>439</v>
      </c>
      <c r="H18" s="922">
        <v>4129.6000000000004</v>
      </c>
      <c r="I18" s="908">
        <v>0</v>
      </c>
      <c r="J18" s="923">
        <v>704</v>
      </c>
      <c r="K18" s="876">
        <v>2335.1</v>
      </c>
      <c r="L18" s="1003">
        <v>203.5</v>
      </c>
      <c r="M18" s="877">
        <v>0</v>
      </c>
      <c r="N18" s="924">
        <v>282.3</v>
      </c>
      <c r="O18" s="925">
        <v>604.70000000000005</v>
      </c>
      <c r="P18" s="382">
        <v>0</v>
      </c>
    </row>
    <row r="19" spans="1:16" s="483" customFormat="1" ht="14.25" customHeight="1">
      <c r="A19" s="1782">
        <v>2022</v>
      </c>
      <c r="B19" s="2354"/>
      <c r="C19" s="1528">
        <v>2.5</v>
      </c>
      <c r="D19" s="1528">
        <v>1401.6</v>
      </c>
      <c r="E19" s="1970">
        <v>276</v>
      </c>
      <c r="F19" s="1971">
        <v>2773.8</v>
      </c>
      <c r="G19" s="1972">
        <v>384</v>
      </c>
      <c r="H19" s="2355">
        <v>4837.8999999999996</v>
      </c>
      <c r="I19" s="2356">
        <v>0</v>
      </c>
      <c r="J19" s="1969">
        <v>684.4</v>
      </c>
      <c r="K19" s="1970">
        <v>3224.4</v>
      </c>
      <c r="L19" s="1973">
        <v>6.4</v>
      </c>
      <c r="M19" s="1764">
        <v>0</v>
      </c>
      <c r="N19" s="1974">
        <v>300</v>
      </c>
      <c r="O19" s="1975">
        <v>622.70000000000005</v>
      </c>
      <c r="P19" s="1855">
        <v>0</v>
      </c>
    </row>
    <row r="20" spans="1:16" s="483" customFormat="1" ht="14.25" customHeight="1">
      <c r="A20" s="1782">
        <v>2023</v>
      </c>
      <c r="B20" s="2354"/>
      <c r="C20" s="1528">
        <v>2.5</v>
      </c>
      <c r="D20" s="1528">
        <v>1512.7</v>
      </c>
      <c r="E20" s="1970">
        <v>490</v>
      </c>
      <c r="F20" s="1971">
        <v>3477.4</v>
      </c>
      <c r="G20" s="1972">
        <v>552.9</v>
      </c>
      <c r="H20" s="2355">
        <v>6035.5</v>
      </c>
      <c r="I20" s="2356">
        <v>0</v>
      </c>
      <c r="J20" s="1969">
        <v>667.8</v>
      </c>
      <c r="K20" s="1970">
        <v>4468.5</v>
      </c>
      <c r="L20" s="1973">
        <v>2.8</v>
      </c>
      <c r="M20" s="1764">
        <v>0</v>
      </c>
      <c r="N20" s="1974">
        <v>217.3</v>
      </c>
      <c r="O20" s="1975">
        <v>679.1</v>
      </c>
      <c r="P20" s="1855">
        <v>0</v>
      </c>
    </row>
    <row r="21" spans="1:16" s="483" customFormat="1" ht="14.25" customHeight="1">
      <c r="A21" s="1782">
        <v>2024</v>
      </c>
      <c r="B21" s="2354"/>
      <c r="C21" s="1528">
        <v>2.5</v>
      </c>
      <c r="D21" s="1528">
        <v>1425</v>
      </c>
      <c r="E21" s="1970">
        <v>96.1</v>
      </c>
      <c r="F21" s="1971">
        <v>4294.7</v>
      </c>
      <c r="G21" s="1972">
        <v>621.70000000000005</v>
      </c>
      <c r="H21" s="2355">
        <v>6439.9999999999991</v>
      </c>
      <c r="I21" s="2356">
        <v>0</v>
      </c>
      <c r="J21" s="1969">
        <v>670.8</v>
      </c>
      <c r="K21" s="1970">
        <v>4774.8999999999996</v>
      </c>
      <c r="L21" s="1973">
        <v>6.6</v>
      </c>
      <c r="M21" s="1764">
        <v>0</v>
      </c>
      <c r="N21" s="1974">
        <v>254.8</v>
      </c>
      <c r="O21" s="1975">
        <v>732.9</v>
      </c>
      <c r="P21" s="1855">
        <v>0</v>
      </c>
    </row>
    <row r="22" spans="1:16" s="483" customFormat="1" ht="14.25" customHeight="1">
      <c r="A22" s="2058">
        <v>2025</v>
      </c>
      <c r="B22" s="2171"/>
      <c r="C22" s="2172">
        <v>244.1</v>
      </c>
      <c r="D22" s="2172">
        <v>1430.8</v>
      </c>
      <c r="E22" s="2173">
        <v>26.8</v>
      </c>
      <c r="F22" s="2174">
        <v>4136.3</v>
      </c>
      <c r="G22" s="2175">
        <v>498.4</v>
      </c>
      <c r="H22" s="2176">
        <f t="shared" ref="H22" si="0">SUM(C22:G22)</f>
        <v>6336.4</v>
      </c>
      <c r="I22" s="2177">
        <v>0</v>
      </c>
      <c r="J22" s="2178">
        <v>677.9</v>
      </c>
      <c r="K22" s="2173">
        <v>4394.3999999999996</v>
      </c>
      <c r="L22" s="2179">
        <v>0.8</v>
      </c>
      <c r="M22" s="2180">
        <v>0</v>
      </c>
      <c r="N22" s="2181">
        <v>255.3</v>
      </c>
      <c r="O22" s="2182">
        <v>1008</v>
      </c>
      <c r="P22" s="1855">
        <f>H22-I22-J22-K22-L22-M22-N22-O22</f>
        <v>0</v>
      </c>
    </row>
    <row r="23" spans="1:16" s="889" customFormat="1" ht="21" customHeight="1">
      <c r="A23" s="884">
        <v>2024</v>
      </c>
      <c r="B23" s="1001" t="s">
        <v>243</v>
      </c>
      <c r="C23" s="906">
        <v>2.5</v>
      </c>
      <c r="D23" s="906">
        <v>1505</v>
      </c>
      <c r="E23" s="876">
        <v>91.4</v>
      </c>
      <c r="F23" s="1002">
        <v>4346.3999999999996</v>
      </c>
      <c r="G23" s="921">
        <v>639.5</v>
      </c>
      <c r="H23" s="922">
        <v>6584.7999999999993</v>
      </c>
      <c r="I23" s="908">
        <v>0</v>
      </c>
      <c r="J23" s="923">
        <v>695</v>
      </c>
      <c r="K23" s="876">
        <v>4956.1000000000004</v>
      </c>
      <c r="L23" s="1003">
        <v>14.3</v>
      </c>
      <c r="M23" s="877">
        <v>0</v>
      </c>
      <c r="N23" s="924">
        <v>203.2</v>
      </c>
      <c r="O23" s="925">
        <v>716.2</v>
      </c>
      <c r="P23" s="382">
        <v>0</v>
      </c>
    </row>
    <row r="24" spans="1:16" s="889" customFormat="1" ht="15" customHeight="1">
      <c r="A24" s="884"/>
      <c r="B24" s="1001" t="s">
        <v>240</v>
      </c>
      <c r="C24" s="906">
        <v>2.5</v>
      </c>
      <c r="D24" s="906">
        <v>1909.7</v>
      </c>
      <c r="E24" s="876">
        <v>91.5</v>
      </c>
      <c r="F24" s="1002">
        <v>4473.8999999999996</v>
      </c>
      <c r="G24" s="921">
        <v>626.1</v>
      </c>
      <c r="H24" s="922">
        <v>7103.7</v>
      </c>
      <c r="I24" s="908">
        <v>0</v>
      </c>
      <c r="J24" s="923">
        <v>672.7</v>
      </c>
      <c r="K24" s="876">
        <v>5441.1</v>
      </c>
      <c r="L24" s="1003">
        <v>7.3</v>
      </c>
      <c r="M24" s="877">
        <v>0</v>
      </c>
      <c r="N24" s="924">
        <v>252.5</v>
      </c>
      <c r="O24" s="925">
        <v>730.1</v>
      </c>
      <c r="P24" s="382">
        <v>-1.1368683772161603E-12</v>
      </c>
    </row>
    <row r="25" spans="1:16" s="889" customFormat="1" ht="15" customHeight="1">
      <c r="A25" s="884"/>
      <c r="B25" s="1001" t="s">
        <v>241</v>
      </c>
      <c r="C25" s="1528">
        <v>2.5</v>
      </c>
      <c r="D25" s="1528">
        <v>1425</v>
      </c>
      <c r="E25" s="1970">
        <v>96.1</v>
      </c>
      <c r="F25" s="1971">
        <v>4294.7</v>
      </c>
      <c r="G25" s="1972">
        <v>621.70000000000005</v>
      </c>
      <c r="H25" s="2355">
        <v>6439.9999999999991</v>
      </c>
      <c r="I25" s="2356">
        <v>0</v>
      </c>
      <c r="J25" s="1969">
        <v>670.8</v>
      </c>
      <c r="K25" s="1970">
        <v>4774.8999999999996</v>
      </c>
      <c r="L25" s="1973">
        <v>6.6</v>
      </c>
      <c r="M25" s="1764">
        <v>0</v>
      </c>
      <c r="N25" s="1974">
        <v>254.8</v>
      </c>
      <c r="O25" s="1975">
        <v>732.9</v>
      </c>
      <c r="P25" s="382">
        <v>0</v>
      </c>
    </row>
    <row r="26" spans="1:16" s="889" customFormat="1" ht="21" customHeight="1">
      <c r="A26" s="884">
        <v>2025</v>
      </c>
      <c r="B26" s="1001" t="s">
        <v>242</v>
      </c>
      <c r="C26" s="1528">
        <v>2.5</v>
      </c>
      <c r="D26" s="1528">
        <v>1048.8</v>
      </c>
      <c r="E26" s="1970">
        <v>32</v>
      </c>
      <c r="F26" s="1971">
        <v>5519.1</v>
      </c>
      <c r="G26" s="1972">
        <v>556.1</v>
      </c>
      <c r="H26" s="2355">
        <f t="shared" ref="H26" si="1">SUM(C26:G26)</f>
        <v>7158.5000000000009</v>
      </c>
      <c r="I26" s="2356">
        <v>0</v>
      </c>
      <c r="J26" s="1969">
        <v>704.5</v>
      </c>
      <c r="K26" s="1970">
        <v>5352.3</v>
      </c>
      <c r="L26" s="1973">
        <v>96.2</v>
      </c>
      <c r="M26" s="1764">
        <v>0</v>
      </c>
      <c r="N26" s="1974">
        <v>260.10000000000002</v>
      </c>
      <c r="O26" s="1975">
        <v>745.4</v>
      </c>
      <c r="P26" s="382">
        <f>H26-I26-J26-K26-L26-M26-N26-O26</f>
        <v>0</v>
      </c>
    </row>
    <row r="27" spans="1:16" s="889" customFormat="1" ht="15" customHeight="1">
      <c r="A27" s="884"/>
      <c r="B27" s="1001" t="s">
        <v>243</v>
      </c>
      <c r="C27" s="1528">
        <v>2.5</v>
      </c>
      <c r="D27" s="1528">
        <v>1432.5</v>
      </c>
      <c r="E27" s="1970">
        <v>21.2</v>
      </c>
      <c r="F27" s="1971">
        <v>4985.1000000000004</v>
      </c>
      <c r="G27" s="1972">
        <v>379.2</v>
      </c>
      <c r="H27" s="2355">
        <v>6820.5</v>
      </c>
      <c r="I27" s="2356">
        <v>0</v>
      </c>
      <c r="J27" s="1969">
        <v>705.9</v>
      </c>
      <c r="K27" s="1970">
        <v>5018.1000000000004</v>
      </c>
      <c r="L27" s="1973">
        <v>104.4</v>
      </c>
      <c r="M27" s="1764">
        <v>0</v>
      </c>
      <c r="N27" s="1974">
        <v>237.3</v>
      </c>
      <c r="O27" s="1975">
        <v>754.8</v>
      </c>
      <c r="P27" s="382">
        <v>0</v>
      </c>
    </row>
    <row r="28" spans="1:16" s="889" customFormat="1" ht="15" customHeight="1">
      <c r="A28" s="884"/>
      <c r="B28" s="1001" t="s">
        <v>240</v>
      </c>
      <c r="C28" s="1528">
        <f t="shared" ref="C28:H28" si="2">C35</f>
        <v>2.5</v>
      </c>
      <c r="D28" s="1528">
        <f t="shared" si="2"/>
        <v>1220.9000000000001</v>
      </c>
      <c r="E28" s="1970">
        <f t="shared" si="2"/>
        <v>21.6</v>
      </c>
      <c r="F28" s="1971">
        <f t="shared" si="2"/>
        <v>4429.3</v>
      </c>
      <c r="G28" s="1972">
        <f t="shared" si="2"/>
        <v>461.4</v>
      </c>
      <c r="H28" s="2355">
        <f t="shared" si="2"/>
        <v>6135.7</v>
      </c>
      <c r="I28" s="2356">
        <v>0</v>
      </c>
      <c r="J28" s="1969">
        <f t="shared" ref="J28:O28" si="3">J35</f>
        <v>679.5</v>
      </c>
      <c r="K28" s="1970">
        <f t="shared" si="3"/>
        <v>4445.2</v>
      </c>
      <c r="L28" s="1973">
        <f t="shared" si="3"/>
        <v>1.2</v>
      </c>
      <c r="M28" s="1764">
        <f t="shared" si="3"/>
        <v>0</v>
      </c>
      <c r="N28" s="1974">
        <f t="shared" si="3"/>
        <v>246.6</v>
      </c>
      <c r="O28" s="1975">
        <f t="shared" si="3"/>
        <v>763.2</v>
      </c>
      <c r="P28" s="382">
        <f>H28-I28-J28-K28-L28-M28-N28-O28</f>
        <v>0</v>
      </c>
    </row>
    <row r="29" spans="1:16" s="889" customFormat="1" ht="15" customHeight="1">
      <c r="A29" s="884"/>
      <c r="B29" s="1001" t="s">
        <v>241</v>
      </c>
      <c r="C29" s="1528">
        <f t="shared" ref="C29:H29" si="4">C38</f>
        <v>244.1</v>
      </c>
      <c r="D29" s="1528">
        <f t="shared" si="4"/>
        <v>1430.8</v>
      </c>
      <c r="E29" s="1970">
        <f t="shared" si="4"/>
        <v>26.8</v>
      </c>
      <c r="F29" s="1971">
        <f t="shared" si="4"/>
        <v>4136.3</v>
      </c>
      <c r="G29" s="1972">
        <f t="shared" si="4"/>
        <v>496.5</v>
      </c>
      <c r="H29" s="2355">
        <f t="shared" si="4"/>
        <v>6334.5</v>
      </c>
      <c r="I29" s="2356">
        <v>0</v>
      </c>
      <c r="J29" s="1969">
        <f t="shared" ref="J29:O29" si="5">J38</f>
        <v>677.9</v>
      </c>
      <c r="K29" s="1970">
        <f t="shared" si="5"/>
        <v>4394.3999999999996</v>
      </c>
      <c r="L29" s="1973">
        <f t="shared" si="5"/>
        <v>0.8</v>
      </c>
      <c r="M29" s="1764">
        <f t="shared" si="5"/>
        <v>0</v>
      </c>
      <c r="N29" s="1974">
        <f t="shared" si="5"/>
        <v>258.3</v>
      </c>
      <c r="O29" s="1975">
        <f t="shared" si="5"/>
        <v>1003.1</v>
      </c>
      <c r="P29" s="382">
        <f>H29-I29-J29-K29-L29-M29-N29-O29</f>
        <v>0</v>
      </c>
    </row>
    <row r="30" spans="1:16" s="889" customFormat="1" ht="21" customHeight="1">
      <c r="A30" s="1681">
        <v>2026</v>
      </c>
      <c r="B30" s="1682" t="s">
        <v>242</v>
      </c>
      <c r="C30" s="2172">
        <f t="shared" ref="C30:H30" si="6">C41</f>
        <v>261.2</v>
      </c>
      <c r="D30" s="2172">
        <f t="shared" si="6"/>
        <v>1945.4</v>
      </c>
      <c r="E30" s="2173">
        <f t="shared" si="6"/>
        <v>31</v>
      </c>
      <c r="F30" s="2174">
        <f t="shared" si="6"/>
        <v>4536.5</v>
      </c>
      <c r="G30" s="2175">
        <f t="shared" si="6"/>
        <v>679.6</v>
      </c>
      <c r="H30" s="2176">
        <f t="shared" si="6"/>
        <v>7453.7000000000007</v>
      </c>
      <c r="I30" s="2177">
        <v>0</v>
      </c>
      <c r="J30" s="2178">
        <f t="shared" ref="J30:O30" si="7">J41</f>
        <v>791.3</v>
      </c>
      <c r="K30" s="2173">
        <f t="shared" si="7"/>
        <v>5370.8</v>
      </c>
      <c r="L30" s="2179">
        <f t="shared" si="7"/>
        <v>0.3</v>
      </c>
      <c r="M30" s="2180">
        <f t="shared" si="7"/>
        <v>0</v>
      </c>
      <c r="N30" s="2181">
        <f t="shared" si="7"/>
        <v>258.3</v>
      </c>
      <c r="O30" s="2182">
        <f t="shared" si="7"/>
        <v>1033</v>
      </c>
      <c r="P30" s="382">
        <f>H30-I30-J30-K30-L30-M30-N30-O30</f>
        <v>0</v>
      </c>
    </row>
    <row r="31" spans="1:16" s="483" customFormat="1" ht="21" customHeight="1">
      <c r="A31" s="1782">
        <v>2025</v>
      </c>
      <c r="B31" s="1783" t="s">
        <v>427</v>
      </c>
      <c r="C31" s="1528">
        <v>2.5</v>
      </c>
      <c r="D31" s="1528">
        <v>1710</v>
      </c>
      <c r="E31" s="1970">
        <v>21.7</v>
      </c>
      <c r="F31" s="1971">
        <v>4879.6000000000004</v>
      </c>
      <c r="G31" s="1972">
        <v>424.4</v>
      </c>
      <c r="H31" s="2355">
        <v>7038.2</v>
      </c>
      <c r="I31" s="2356">
        <v>0</v>
      </c>
      <c r="J31" s="1969">
        <v>703.5</v>
      </c>
      <c r="K31" s="1970">
        <v>5228.8</v>
      </c>
      <c r="L31" s="1973">
        <v>106.4</v>
      </c>
      <c r="M31" s="1764">
        <v>0</v>
      </c>
      <c r="N31" s="1974">
        <v>247.4</v>
      </c>
      <c r="O31" s="1975">
        <v>752.1</v>
      </c>
      <c r="P31" s="1855">
        <v>0</v>
      </c>
    </row>
    <row r="32" spans="1:16" s="483" customFormat="1" ht="15" customHeight="1">
      <c r="A32" s="1782"/>
      <c r="B32" s="2051" t="s">
        <v>428</v>
      </c>
      <c r="C32" s="1528">
        <v>2.5</v>
      </c>
      <c r="D32" s="1528">
        <v>1432.5</v>
      </c>
      <c r="E32" s="1970">
        <v>21.2</v>
      </c>
      <c r="F32" s="1971">
        <v>4985.1000000000004</v>
      </c>
      <c r="G32" s="2393">
        <v>379.2</v>
      </c>
      <c r="H32" s="2355">
        <f t="shared" ref="H32:H41" si="8">SUM(C32:G32)</f>
        <v>6820.5</v>
      </c>
      <c r="I32" s="2482">
        <v>0</v>
      </c>
      <c r="J32" s="1969">
        <v>705.9</v>
      </c>
      <c r="K32" s="1970">
        <v>5018.1000000000004</v>
      </c>
      <c r="L32" s="1973">
        <v>104.4</v>
      </c>
      <c r="M32" s="1764">
        <v>0</v>
      </c>
      <c r="N32" s="1974">
        <v>237.3</v>
      </c>
      <c r="O32" s="1975">
        <v>754.8</v>
      </c>
      <c r="P32" s="1855">
        <f t="shared" ref="P32:P41" si="9">H32-I32-J32-K32-L32-M32-N32-O32</f>
        <v>0</v>
      </c>
    </row>
    <row r="33" spans="1:16" s="483" customFormat="1" ht="15" customHeight="1">
      <c r="A33" s="1782"/>
      <c r="B33" s="2051" t="s">
        <v>429</v>
      </c>
      <c r="C33" s="1528">
        <v>2.5</v>
      </c>
      <c r="D33" s="1528">
        <v>1605.2</v>
      </c>
      <c r="E33" s="1970">
        <v>31.7</v>
      </c>
      <c r="F33" s="1971">
        <v>4469.5</v>
      </c>
      <c r="G33" s="2393">
        <v>385.9</v>
      </c>
      <c r="H33" s="2355">
        <f t="shared" si="8"/>
        <v>6494.7999999999993</v>
      </c>
      <c r="I33" s="2482">
        <v>0</v>
      </c>
      <c r="J33" s="1969">
        <v>691.9</v>
      </c>
      <c r="K33" s="1970">
        <v>4790</v>
      </c>
      <c r="L33" s="1973">
        <v>8.1999999999999993</v>
      </c>
      <c r="M33" s="1764">
        <v>0</v>
      </c>
      <c r="N33" s="1974">
        <v>247.2</v>
      </c>
      <c r="O33" s="1975">
        <v>757.5</v>
      </c>
      <c r="P33" s="1855">
        <f t="shared" si="9"/>
        <v>0</v>
      </c>
    </row>
    <row r="34" spans="1:16" s="483" customFormat="1" ht="15" customHeight="1">
      <c r="A34" s="1782"/>
      <c r="B34" s="2051" t="s">
        <v>430</v>
      </c>
      <c r="C34" s="1528">
        <v>2.5</v>
      </c>
      <c r="D34" s="1528">
        <v>1334.5</v>
      </c>
      <c r="E34" s="1970">
        <v>40.200000000000003</v>
      </c>
      <c r="F34" s="1971">
        <v>4475.2</v>
      </c>
      <c r="G34" s="2393">
        <v>387.2</v>
      </c>
      <c r="H34" s="2355">
        <f t="shared" si="8"/>
        <v>6239.5999999999995</v>
      </c>
      <c r="I34" s="2482">
        <v>0</v>
      </c>
      <c r="J34" s="2486">
        <v>680.5</v>
      </c>
      <c r="K34" s="1970">
        <v>4548.7</v>
      </c>
      <c r="L34" s="1973">
        <v>1.9</v>
      </c>
      <c r="M34" s="1764">
        <v>0</v>
      </c>
      <c r="N34" s="1974">
        <v>247.7</v>
      </c>
      <c r="O34" s="1975">
        <v>760.8</v>
      </c>
      <c r="P34" s="1855">
        <f t="shared" si="9"/>
        <v>0</v>
      </c>
    </row>
    <row r="35" spans="1:16" s="483" customFormat="1" ht="15" customHeight="1">
      <c r="A35" s="1782"/>
      <c r="B35" s="2051" t="s">
        <v>431</v>
      </c>
      <c r="C35" s="1528">
        <v>2.5</v>
      </c>
      <c r="D35" s="1528">
        <v>1220.9000000000001</v>
      </c>
      <c r="E35" s="1970">
        <v>21.6</v>
      </c>
      <c r="F35" s="1971">
        <v>4429.3</v>
      </c>
      <c r="G35" s="2393">
        <v>461.4</v>
      </c>
      <c r="H35" s="2355">
        <f t="shared" si="8"/>
        <v>6135.7</v>
      </c>
      <c r="I35" s="2482">
        <v>0</v>
      </c>
      <c r="J35" s="1969">
        <v>679.5</v>
      </c>
      <c r="K35" s="1970">
        <v>4445.2</v>
      </c>
      <c r="L35" s="1973">
        <v>1.2</v>
      </c>
      <c r="M35" s="1764">
        <v>0</v>
      </c>
      <c r="N35" s="1974">
        <v>246.6</v>
      </c>
      <c r="O35" s="1975">
        <v>763.2</v>
      </c>
      <c r="P35" s="1855">
        <f t="shared" si="9"/>
        <v>0</v>
      </c>
    </row>
    <row r="36" spans="1:16" s="483" customFormat="1" ht="15" customHeight="1">
      <c r="A36" s="1782"/>
      <c r="B36" s="2051" t="s">
        <v>420</v>
      </c>
      <c r="C36" s="1528">
        <v>2.5</v>
      </c>
      <c r="D36" s="1528">
        <v>1588.6</v>
      </c>
      <c r="E36" s="1970">
        <v>22.8</v>
      </c>
      <c r="F36" s="1971">
        <v>3964.3</v>
      </c>
      <c r="G36" s="2393">
        <v>482.5</v>
      </c>
      <c r="H36" s="2355">
        <f t="shared" si="8"/>
        <v>6060.7</v>
      </c>
      <c r="I36" s="2482">
        <v>0</v>
      </c>
      <c r="J36" s="1969">
        <v>673.7</v>
      </c>
      <c r="K36" s="1970">
        <v>4372.5</v>
      </c>
      <c r="L36" s="1973">
        <v>1.1000000000000001</v>
      </c>
      <c r="M36" s="1764">
        <v>0</v>
      </c>
      <c r="N36" s="1974">
        <v>246.8</v>
      </c>
      <c r="O36" s="1975">
        <v>766.6</v>
      </c>
      <c r="P36" s="1855">
        <f t="shared" si="9"/>
        <v>0</v>
      </c>
    </row>
    <row r="37" spans="1:16" s="483" customFormat="1" ht="15" customHeight="1">
      <c r="A37" s="1782"/>
      <c r="B37" s="2051" t="s">
        <v>421</v>
      </c>
      <c r="C37" s="1528">
        <v>2.5</v>
      </c>
      <c r="D37" s="1618">
        <v>1364.2</v>
      </c>
      <c r="E37" s="1970">
        <v>22.5</v>
      </c>
      <c r="F37" s="1971">
        <v>4237.8</v>
      </c>
      <c r="G37" s="2393">
        <v>516.5</v>
      </c>
      <c r="H37" s="2355">
        <f t="shared" si="8"/>
        <v>6143.5</v>
      </c>
      <c r="I37" s="2482">
        <v>0</v>
      </c>
      <c r="J37" s="1969">
        <v>682.5</v>
      </c>
      <c r="K37" s="1970">
        <v>4439.7</v>
      </c>
      <c r="L37" s="1973">
        <v>1.4</v>
      </c>
      <c r="M37" s="1764">
        <v>0</v>
      </c>
      <c r="N37" s="1974">
        <v>249.4</v>
      </c>
      <c r="O37" s="1975">
        <v>770.5</v>
      </c>
      <c r="P37" s="1855">
        <f t="shared" si="9"/>
        <v>0</v>
      </c>
    </row>
    <row r="38" spans="1:16" s="483" customFormat="1" ht="15" customHeight="1">
      <c r="A38" s="1782"/>
      <c r="B38" s="2051" t="s">
        <v>422</v>
      </c>
      <c r="C38" s="1528">
        <v>244.1</v>
      </c>
      <c r="D38" s="1528">
        <v>1430.8</v>
      </c>
      <c r="E38" s="1970">
        <v>26.8</v>
      </c>
      <c r="F38" s="1971">
        <v>4136.3</v>
      </c>
      <c r="G38" s="2393">
        <v>496.5</v>
      </c>
      <c r="H38" s="2355">
        <f t="shared" si="8"/>
        <v>6334.5</v>
      </c>
      <c r="I38" s="2482">
        <v>0</v>
      </c>
      <c r="J38" s="1969">
        <v>677.9</v>
      </c>
      <c r="K38" s="1970">
        <v>4394.3999999999996</v>
      </c>
      <c r="L38" s="1973">
        <v>0.8</v>
      </c>
      <c r="M38" s="1764">
        <v>0</v>
      </c>
      <c r="N38" s="1974">
        <v>258.3</v>
      </c>
      <c r="O38" s="1975">
        <v>1003.1</v>
      </c>
      <c r="P38" s="1855">
        <f t="shared" si="9"/>
        <v>0</v>
      </c>
    </row>
    <row r="39" spans="1:16" s="483" customFormat="1" ht="21" customHeight="1">
      <c r="A39" s="1782">
        <v>2026</v>
      </c>
      <c r="B39" s="2051" t="s">
        <v>423</v>
      </c>
      <c r="C39" s="1528">
        <v>282.3</v>
      </c>
      <c r="D39" s="1528">
        <v>1076.3</v>
      </c>
      <c r="E39" s="1970">
        <v>27.6</v>
      </c>
      <c r="F39" s="1971">
        <v>4720.3</v>
      </c>
      <c r="G39" s="2393">
        <v>476.8</v>
      </c>
      <c r="H39" s="2355">
        <f t="shared" si="8"/>
        <v>6583.3</v>
      </c>
      <c r="I39" s="2482">
        <v>0</v>
      </c>
      <c r="J39" s="1969">
        <v>680.1</v>
      </c>
      <c r="K39" s="1970">
        <v>4594.7</v>
      </c>
      <c r="L39" s="1973">
        <v>2.2999999999999998</v>
      </c>
      <c r="M39" s="1764">
        <v>0</v>
      </c>
      <c r="N39" s="1974">
        <v>261.2</v>
      </c>
      <c r="O39" s="1975">
        <v>1045</v>
      </c>
      <c r="P39" s="1855">
        <f t="shared" si="9"/>
        <v>0</v>
      </c>
    </row>
    <row r="40" spans="1:16" s="483" customFormat="1" ht="15" customHeight="1">
      <c r="A40" s="1782"/>
      <c r="B40" s="2051" t="s">
        <v>424</v>
      </c>
      <c r="C40" s="1528">
        <v>296</v>
      </c>
      <c r="D40" s="1528">
        <v>1774.5</v>
      </c>
      <c r="E40" s="1970">
        <v>36.700000000000003</v>
      </c>
      <c r="F40" s="1971">
        <v>4095.9</v>
      </c>
      <c r="G40" s="2393">
        <v>478</v>
      </c>
      <c r="H40" s="2355">
        <f t="shared" si="8"/>
        <v>6681.1</v>
      </c>
      <c r="I40" s="2482">
        <v>0</v>
      </c>
      <c r="J40" s="1969">
        <v>681.2</v>
      </c>
      <c r="K40" s="1970">
        <v>4601.7</v>
      </c>
      <c r="L40" s="1973">
        <v>105.6</v>
      </c>
      <c r="M40" s="1764">
        <v>0</v>
      </c>
      <c r="N40" s="1974">
        <v>230.6</v>
      </c>
      <c r="O40" s="1975">
        <v>1062</v>
      </c>
      <c r="P40" s="1855">
        <f t="shared" si="9"/>
        <v>0</v>
      </c>
    </row>
    <row r="41" spans="1:16" s="483" customFormat="1" ht="15" customHeight="1">
      <c r="A41" s="1782"/>
      <c r="B41" s="2051" t="s">
        <v>425</v>
      </c>
      <c r="C41" s="1528">
        <v>261.2</v>
      </c>
      <c r="D41" s="1528">
        <v>1945.4</v>
      </c>
      <c r="E41" s="1970">
        <v>31</v>
      </c>
      <c r="F41" s="1971">
        <v>4536.5</v>
      </c>
      <c r="G41" s="2527">
        <v>679.6</v>
      </c>
      <c r="H41" s="2355">
        <f t="shared" si="8"/>
        <v>7453.7000000000007</v>
      </c>
      <c r="I41" s="2482">
        <v>0</v>
      </c>
      <c r="J41" s="1969">
        <v>791.3</v>
      </c>
      <c r="K41" s="1970">
        <v>5370.8</v>
      </c>
      <c r="L41" s="1973">
        <v>0.3</v>
      </c>
      <c r="M41" s="1764">
        <v>0</v>
      </c>
      <c r="N41" s="1974">
        <v>258.3</v>
      </c>
      <c r="O41" s="1975">
        <v>1033</v>
      </c>
      <c r="P41" s="1855">
        <f t="shared" si="9"/>
        <v>0</v>
      </c>
    </row>
    <row r="42" spans="1:16" s="483" customFormat="1" ht="15" customHeight="1">
      <c r="A42" s="1782"/>
      <c r="B42" s="2051" t="s">
        <v>426</v>
      </c>
      <c r="C42" s="1528">
        <v>261.3</v>
      </c>
      <c r="D42" s="1528">
        <v>1306</v>
      </c>
      <c r="E42" s="1970">
        <v>25.3</v>
      </c>
      <c r="F42" s="1971">
        <v>4892.3999999999996</v>
      </c>
      <c r="G42" s="2393">
        <v>684.9</v>
      </c>
      <c r="H42" s="2355">
        <f>SUM(C42:G42)</f>
        <v>7169.9</v>
      </c>
      <c r="I42" s="2482">
        <v>0</v>
      </c>
      <c r="J42" s="1969">
        <v>792.5</v>
      </c>
      <c r="K42" s="1970">
        <v>4994.1000000000004</v>
      </c>
      <c r="L42" s="1973">
        <v>13.9</v>
      </c>
      <c r="M42" s="1764">
        <v>0</v>
      </c>
      <c r="N42" s="1974">
        <v>333.1</v>
      </c>
      <c r="O42" s="1975">
        <v>1036.3</v>
      </c>
      <c r="P42" s="1855">
        <f t="shared" ref="P42" si="10">H42-I42-J42-K42-L42-M42-N42-O42</f>
        <v>0</v>
      </c>
    </row>
    <row r="43" spans="1:16" s="483" customFormat="1" ht="15" customHeight="1">
      <c r="A43" s="1782"/>
      <c r="B43" s="2051" t="s">
        <v>1790</v>
      </c>
      <c r="C43" s="1528">
        <v>257.60000000000002</v>
      </c>
      <c r="D43" s="1528">
        <v>567.6</v>
      </c>
      <c r="E43" s="1970">
        <v>26.7</v>
      </c>
      <c r="F43" s="1971">
        <v>5334.6</v>
      </c>
      <c r="G43" s="2393">
        <v>710.3</v>
      </c>
      <c r="H43" s="2355">
        <f>SUM(C43:G43)</f>
        <v>6896.8</v>
      </c>
      <c r="I43" s="2482">
        <v>0</v>
      </c>
      <c r="J43" s="1969">
        <v>791</v>
      </c>
      <c r="K43" s="1970">
        <v>4818</v>
      </c>
      <c r="L43" s="1973">
        <v>2.9</v>
      </c>
      <c r="M43" s="1764">
        <v>0</v>
      </c>
      <c r="N43" s="1974">
        <v>249.3</v>
      </c>
      <c r="O43" s="1975">
        <v>1035.5999999999999</v>
      </c>
      <c r="P43" s="1855">
        <f t="shared" ref="P43" si="11">H43-I43-J43-K43-L43-M43-N43-O43</f>
        <v>0</v>
      </c>
    </row>
    <row r="44" spans="1:16" ht="19.5" customHeight="1">
      <c r="A44" s="224" t="s">
        <v>1741</v>
      </c>
      <c r="B44" s="224"/>
      <c r="C44" s="224"/>
      <c r="D44" s="224"/>
      <c r="E44" s="224"/>
      <c r="F44" s="622"/>
      <c r="G44" s="224"/>
      <c r="H44" s="224" t="s">
        <v>119</v>
      </c>
      <c r="I44" s="224"/>
      <c r="J44" s="224"/>
      <c r="K44" s="224"/>
      <c r="L44" s="224"/>
      <c r="M44" s="224"/>
      <c r="N44" s="224"/>
      <c r="O44" s="251" t="s">
        <v>1740</v>
      </c>
    </row>
    <row r="45" spans="1:16" ht="12.75" customHeight="1">
      <c r="N45" s="150"/>
      <c r="O45" s="1"/>
    </row>
    <row r="46" spans="1:16" ht="14">
      <c r="A46" s="476" t="s">
        <v>432</v>
      </c>
      <c r="B46" s="1"/>
      <c r="C46" s="1"/>
      <c r="D46" s="1"/>
      <c r="E46" s="1"/>
      <c r="F46" s="1"/>
      <c r="G46" s="1"/>
      <c r="H46" s="1"/>
      <c r="I46" s="1"/>
      <c r="J46" s="1"/>
      <c r="K46" s="1"/>
      <c r="L46" s="1"/>
      <c r="M46" s="1"/>
      <c r="N46" s="150"/>
      <c r="O46" s="1"/>
    </row>
    <row r="50" spans="3:16">
      <c r="C50" s="1271"/>
      <c r="D50" s="1271"/>
      <c r="E50" s="1271"/>
      <c r="F50" s="1271"/>
      <c r="G50" s="1271"/>
      <c r="H50" s="1271"/>
      <c r="I50" s="1270"/>
      <c r="J50" s="1271"/>
      <c r="K50" s="1271"/>
      <c r="L50" s="1271"/>
      <c r="M50" s="1271"/>
      <c r="N50" s="1271"/>
      <c r="O50" s="1271"/>
      <c r="P50"/>
    </row>
  </sheetData>
  <phoneticPr fontId="0" type="noConversion"/>
  <printOptions horizontalCentered="1" verticalCentered="1"/>
  <pageMargins left="0" right="0" top="0" bottom="0" header="0.51181102362204722" footer="0.51181102362204722"/>
  <pageSetup paperSize="9" scale="77"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0">
    <tabColor rgb="FF00B0F0"/>
    <pageSetUpPr fitToPage="1"/>
  </sheetPr>
  <dimension ref="A1:S50"/>
  <sheetViews>
    <sheetView zoomScale="90" zoomScaleNormal="90" zoomScaleSheetLayoutView="62" workbookViewId="0">
      <pane ySplit="13" topLeftCell="A44" activePane="bottomLeft" state="frozen"/>
      <selection activeCell="H46" sqref="H46"/>
      <selection pane="bottomLeft" activeCell="A46" sqref="A46"/>
    </sheetView>
  </sheetViews>
  <sheetFormatPr defaultColWidth="9.1796875" defaultRowHeight="12.5"/>
  <cols>
    <col min="1" max="2" width="9.7265625" style="744" customWidth="1"/>
    <col min="3" max="3" width="18.26953125" style="744" bestFit="1" customWidth="1"/>
    <col min="4" max="4" width="24.453125" style="744" bestFit="1" customWidth="1"/>
    <col min="5" max="5" width="17.7265625" style="744" bestFit="1" customWidth="1"/>
    <col min="6" max="6" width="19.26953125" style="744" customWidth="1"/>
    <col min="7" max="7" width="18.26953125" style="744" bestFit="1" customWidth="1"/>
    <col min="8" max="8" width="18.1796875" style="744" customWidth="1"/>
    <col min="9" max="9" width="16.7265625" style="744" customWidth="1"/>
    <col min="10" max="10" width="19.81640625" style="744" bestFit="1" customWidth="1"/>
    <col min="11" max="16384" width="9.1796875" style="744"/>
  </cols>
  <sheetData>
    <row r="1" spans="1:10" ht="18" customHeight="1">
      <c r="A1" s="1901" t="s">
        <v>1163</v>
      </c>
      <c r="B1" s="1901"/>
      <c r="C1" s="1901"/>
      <c r="D1" s="1901"/>
      <c r="E1" s="1901"/>
      <c r="F1" s="1901"/>
      <c r="G1" s="1901"/>
      <c r="H1" s="1901"/>
      <c r="I1" s="1901"/>
      <c r="J1" s="1901"/>
    </row>
    <row r="2" spans="1:10" ht="18" customHeight="1">
      <c r="A2" s="1901" t="s">
        <v>1164</v>
      </c>
      <c r="B2" s="1901"/>
      <c r="C2" s="1901"/>
      <c r="D2" s="1901"/>
      <c r="E2" s="1901"/>
      <c r="F2" s="1901"/>
      <c r="G2" s="1901"/>
      <c r="H2" s="1901"/>
      <c r="I2" s="1901"/>
      <c r="J2" s="1901"/>
    </row>
    <row r="3" spans="1:10" ht="16" customHeight="1">
      <c r="A3" s="1902" t="s">
        <v>68</v>
      </c>
      <c r="B3" s="768"/>
      <c r="C3" s="768"/>
      <c r="D3" s="768"/>
      <c r="E3" s="768"/>
      <c r="F3" s="768"/>
      <c r="G3" s="768"/>
      <c r="H3" s="768"/>
      <c r="I3" s="768"/>
      <c r="J3" s="768"/>
    </row>
    <row r="4" spans="1:10" ht="18">
      <c r="A4" s="2566" t="s">
        <v>1165</v>
      </c>
      <c r="B4" s="2566"/>
      <c r="C4" s="2566"/>
      <c r="D4" s="2566"/>
      <c r="E4" s="2566"/>
      <c r="F4" s="2566"/>
      <c r="G4" s="2566"/>
      <c r="H4" s="2566"/>
      <c r="I4" s="2566"/>
      <c r="J4" s="2566"/>
    </row>
    <row r="5" spans="1:10" ht="16" customHeight="1">
      <c r="A5" s="2567" t="s">
        <v>1166</v>
      </c>
      <c r="B5" s="2567"/>
      <c r="C5" s="2567"/>
      <c r="D5" s="2567"/>
      <c r="E5" s="2567"/>
      <c r="F5" s="2567"/>
      <c r="G5" s="2567"/>
      <c r="H5" s="2567"/>
      <c r="I5" s="2567"/>
      <c r="J5" s="2567"/>
    </row>
    <row r="6" spans="1:10" ht="16" hidden="1" customHeight="1">
      <c r="A6" s="2003"/>
      <c r="B6" s="2003"/>
      <c r="C6" s="2003"/>
      <c r="D6" s="2003"/>
      <c r="E6" s="2003"/>
      <c r="F6" s="2003"/>
      <c r="G6" s="2003"/>
      <c r="H6" s="2003"/>
      <c r="I6" s="2003"/>
      <c r="J6" s="2003"/>
    </row>
    <row r="7" spans="1:10" ht="16" hidden="1" customHeight="1">
      <c r="A7" s="2003"/>
      <c r="B7" s="2003"/>
      <c r="C7" s="2003"/>
      <c r="D7" s="2003"/>
      <c r="E7" s="2003"/>
      <c r="F7" s="2003"/>
      <c r="G7" s="2003"/>
      <c r="H7" s="2003"/>
      <c r="I7" s="2003"/>
      <c r="J7" s="2003"/>
    </row>
    <row r="8" spans="1:10" ht="8.25" customHeight="1">
      <c r="A8" s="1902"/>
      <c r="B8" s="768"/>
      <c r="C8" s="768"/>
      <c r="D8" s="768"/>
      <c r="E8" s="768"/>
      <c r="F8" s="768"/>
      <c r="G8" s="768"/>
      <c r="H8" s="768"/>
      <c r="I8" s="768"/>
      <c r="J8" s="768"/>
    </row>
    <row r="9" spans="1:10" s="747" customFormat="1" ht="14.9" customHeight="1">
      <c r="A9" s="2568" t="s">
        <v>1011</v>
      </c>
      <c r="B9" s="2568"/>
      <c r="C9" s="746"/>
      <c r="D9" s="746"/>
      <c r="E9" s="746"/>
      <c r="F9" s="1903"/>
      <c r="G9" s="746"/>
      <c r="H9" s="746"/>
      <c r="I9" s="746"/>
      <c r="J9" s="1904" t="s">
        <v>1012</v>
      </c>
    </row>
    <row r="10" spans="1:10" s="772" customFormat="1" ht="14">
      <c r="A10" s="769"/>
      <c r="B10" s="770"/>
      <c r="C10" s="2569" t="s">
        <v>394</v>
      </c>
      <c r="D10" s="2570"/>
      <c r="E10" s="2569" t="s">
        <v>1167</v>
      </c>
      <c r="F10" s="2570"/>
      <c r="G10" s="2569" t="s">
        <v>1168</v>
      </c>
      <c r="H10" s="2570"/>
      <c r="I10" s="2569" t="s">
        <v>1169</v>
      </c>
      <c r="J10" s="2570"/>
    </row>
    <row r="11" spans="1:10" s="772" customFormat="1" ht="14.25" customHeight="1">
      <c r="A11" s="1905" t="s">
        <v>387</v>
      </c>
      <c r="B11" s="1906"/>
      <c r="C11" s="2558" t="s">
        <v>1170</v>
      </c>
      <c r="D11" s="2559"/>
      <c r="E11" s="2560" t="s">
        <v>1171</v>
      </c>
      <c r="F11" s="2561"/>
      <c r="G11" s="2562" t="s">
        <v>1172</v>
      </c>
      <c r="H11" s="2563"/>
      <c r="I11" s="2564" t="s">
        <v>1173</v>
      </c>
      <c r="J11" s="2565"/>
    </row>
    <row r="12" spans="1:10" s="772" customFormat="1" ht="42">
      <c r="A12" s="1907" t="s">
        <v>395</v>
      </c>
      <c r="B12" s="1908"/>
      <c r="C12" s="1949" t="s">
        <v>1174</v>
      </c>
      <c r="D12" s="2006" t="s">
        <v>1175</v>
      </c>
      <c r="E12" s="1949" t="s">
        <v>1176</v>
      </c>
      <c r="F12" s="1949" t="s">
        <v>1177</v>
      </c>
      <c r="G12" s="1949" t="s">
        <v>1178</v>
      </c>
      <c r="H12" s="1949" t="s">
        <v>1179</v>
      </c>
      <c r="I12" s="1949" t="s">
        <v>1180</v>
      </c>
      <c r="J12" s="1949" t="s">
        <v>1181</v>
      </c>
    </row>
    <row r="13" spans="1:10" s="786" customFormat="1" ht="48.75" customHeight="1">
      <c r="A13" s="780"/>
      <c r="B13" s="1909"/>
      <c r="C13" s="2423" t="s">
        <v>1182</v>
      </c>
      <c r="D13" s="2424" t="s">
        <v>1183</v>
      </c>
      <c r="E13" s="2424" t="s">
        <v>1184</v>
      </c>
      <c r="F13" s="2424" t="s">
        <v>1185</v>
      </c>
      <c r="G13" s="2424" t="s">
        <v>1186</v>
      </c>
      <c r="H13" s="2424" t="s">
        <v>1187</v>
      </c>
      <c r="I13" s="2425" t="s">
        <v>1188</v>
      </c>
      <c r="J13" s="2425" t="s">
        <v>1189</v>
      </c>
    </row>
    <row r="14" spans="1:10" s="772" customFormat="1" ht="20.25" customHeight="1">
      <c r="A14" s="1910">
        <v>2015</v>
      </c>
      <c r="B14" s="799"/>
      <c r="C14" s="1911">
        <v>18.969857827339677</v>
      </c>
      <c r="D14" s="1911">
        <v>17.387613930222184</v>
      </c>
      <c r="E14" s="1911">
        <v>5.2723574972273886</v>
      </c>
      <c r="F14" s="1911">
        <v>59.166730085286723</v>
      </c>
      <c r="G14" s="1911">
        <v>0.80139841571120063</v>
      </c>
      <c r="H14" s="1911">
        <v>4.6010373766319796</v>
      </c>
      <c r="I14" s="1912">
        <v>22.968676791184834</v>
      </c>
      <c r="J14" s="1911">
        <v>68.102861666160678</v>
      </c>
    </row>
    <row r="15" spans="1:10" s="772" customFormat="1" ht="16" customHeight="1">
      <c r="A15" s="1910">
        <v>2016</v>
      </c>
      <c r="B15" s="799"/>
      <c r="C15" s="1911">
        <v>19.271763034294125</v>
      </c>
      <c r="D15" s="1911">
        <v>17.856778858990189</v>
      </c>
      <c r="E15" s="1911">
        <v>5.9293416076312253</v>
      </c>
      <c r="F15" s="1911">
        <v>56.561342133462325</v>
      </c>
      <c r="G15" s="1911">
        <v>0.96755291592906834</v>
      </c>
      <c r="H15" s="1911">
        <v>6.8464502980658857</v>
      </c>
      <c r="I15" s="1912">
        <v>21.875964390208484</v>
      </c>
      <c r="J15" s="1911">
        <v>66.576230494260798</v>
      </c>
    </row>
    <row r="16" spans="1:10" s="772" customFormat="1" ht="16" customHeight="1">
      <c r="A16" s="1910">
        <v>2017</v>
      </c>
      <c r="B16" s="799"/>
      <c r="C16" s="1911">
        <v>19.467028355985747</v>
      </c>
      <c r="D16" s="1911">
        <v>18.169120787234917</v>
      </c>
      <c r="E16" s="1911">
        <v>5.6163834058364221</v>
      </c>
      <c r="F16" s="1911">
        <v>52.83550911154726</v>
      </c>
      <c r="G16" s="1911">
        <v>1.0892581633441316</v>
      </c>
      <c r="H16" s="1911">
        <v>7.0807077237660527</v>
      </c>
      <c r="I16" s="1912">
        <v>23.988770662848083</v>
      </c>
      <c r="J16" s="1911">
        <v>71.031812812504185</v>
      </c>
    </row>
    <row r="17" spans="1:19" s="772" customFormat="1" ht="16.5" customHeight="1">
      <c r="A17" s="1910">
        <v>2018</v>
      </c>
      <c r="B17" s="1917"/>
      <c r="C17" s="1911">
        <v>18.915073073036428</v>
      </c>
      <c r="D17" s="1911">
        <v>17.598240043315467</v>
      </c>
      <c r="E17" s="1911">
        <v>5.5003195418057613</v>
      </c>
      <c r="F17" s="1911">
        <v>61.162225836007586</v>
      </c>
      <c r="G17" s="1911">
        <v>0.97588209001592852</v>
      </c>
      <c r="H17" s="1911">
        <v>6.7140487103032758</v>
      </c>
      <c r="I17" s="1912">
        <v>24.068476746837828</v>
      </c>
      <c r="J17" s="1911">
        <v>72.102470225648986</v>
      </c>
      <c r="K17" s="1915"/>
      <c r="L17" s="1916"/>
      <c r="M17" s="1916"/>
      <c r="N17" s="1916"/>
      <c r="O17" s="1916"/>
      <c r="P17" s="1916"/>
      <c r="Q17" s="1916"/>
      <c r="R17" s="1916"/>
      <c r="S17" s="1916"/>
    </row>
    <row r="18" spans="1:19" s="772" customFormat="1" ht="16.5" customHeight="1">
      <c r="A18" s="1910">
        <v>2019</v>
      </c>
      <c r="B18" s="1917"/>
      <c r="C18" s="1911">
        <v>19.386342384019525</v>
      </c>
      <c r="D18" s="1911">
        <v>18.056049608881882</v>
      </c>
      <c r="E18" s="1911">
        <v>4.7796278320084049</v>
      </c>
      <c r="F18" s="1911">
        <v>62.033098412681554</v>
      </c>
      <c r="G18" s="1911">
        <v>1.1056498188177797</v>
      </c>
      <c r="H18" s="1911">
        <v>8.734118190132989</v>
      </c>
      <c r="I18" s="1911">
        <v>25.51102422152444</v>
      </c>
      <c r="J18" s="1911">
        <v>69.009467772337302</v>
      </c>
      <c r="K18" s="1915"/>
      <c r="L18" s="1916"/>
      <c r="M18" s="1916"/>
      <c r="N18" s="1916"/>
      <c r="O18" s="1916"/>
      <c r="P18" s="1916"/>
      <c r="Q18" s="1916"/>
      <c r="R18" s="1916"/>
      <c r="S18" s="1916"/>
    </row>
    <row r="19" spans="1:19" s="772" customFormat="1" ht="16.5" customHeight="1">
      <c r="A19" s="1910">
        <v>2020</v>
      </c>
      <c r="B19" s="1917"/>
      <c r="C19" s="1911">
        <v>18.600947219444649</v>
      </c>
      <c r="D19" s="1911">
        <v>17.296402892787857</v>
      </c>
      <c r="E19" s="1911">
        <v>4.2657575047379286</v>
      </c>
      <c r="F19" s="1911">
        <v>68.026538818280557</v>
      </c>
      <c r="G19" s="1911">
        <v>0.71891570353114365</v>
      </c>
      <c r="H19" s="1911">
        <v>2.837000349748652</v>
      </c>
      <c r="I19" s="1912">
        <v>24.561658093213076</v>
      </c>
      <c r="J19" s="1911">
        <v>68.958897996515901</v>
      </c>
      <c r="K19" s="1915"/>
      <c r="L19" s="1916"/>
      <c r="M19" s="1916"/>
      <c r="N19" s="1916"/>
      <c r="O19" s="1916"/>
      <c r="P19" s="1916"/>
      <c r="Q19" s="1916"/>
      <c r="R19" s="1916"/>
      <c r="S19" s="1916"/>
    </row>
    <row r="20" spans="1:19" s="772" customFormat="1" ht="16.5" customHeight="1">
      <c r="A20" s="1910">
        <v>2021</v>
      </c>
      <c r="B20" s="1917"/>
      <c r="C20" s="1911">
        <v>18.657327930347265</v>
      </c>
      <c r="D20" s="1911">
        <v>17.197064877580726</v>
      </c>
      <c r="E20" s="1911">
        <v>3.1678523586705665</v>
      </c>
      <c r="F20" s="1911">
        <v>70.085570362563615</v>
      </c>
      <c r="G20" s="1911">
        <v>1.1490923387327492</v>
      </c>
      <c r="H20" s="1911">
        <v>7.9768092303328153</v>
      </c>
      <c r="I20" s="1912">
        <v>26.192404957063808</v>
      </c>
      <c r="J20" s="1911">
        <v>68.184256454742993</v>
      </c>
      <c r="K20" s="1915"/>
      <c r="L20" s="1916"/>
      <c r="M20" s="1916"/>
      <c r="N20" s="1916"/>
      <c r="O20" s="1916"/>
      <c r="P20" s="1916"/>
      <c r="Q20" s="1916"/>
      <c r="R20" s="1916"/>
      <c r="S20" s="1916"/>
    </row>
    <row r="21" spans="1:19" s="772" customFormat="1" ht="16.5" customHeight="1">
      <c r="A21" s="1910">
        <v>2022</v>
      </c>
      <c r="B21" s="1917"/>
      <c r="C21" s="1911">
        <f t="shared" ref="C21:J21" si="0">C32</f>
        <v>19.523639490447152</v>
      </c>
      <c r="D21" s="1911">
        <f t="shared" si="0"/>
        <v>18.070895831357955</v>
      </c>
      <c r="E21" s="1911">
        <f t="shared" si="0"/>
        <v>3.0036964791129908</v>
      </c>
      <c r="F21" s="1911">
        <f t="shared" si="0"/>
        <v>68.493738119904904</v>
      </c>
      <c r="G21" s="1911">
        <f t="shared" si="0"/>
        <v>1.2407482706308763</v>
      </c>
      <c r="H21" s="1911">
        <f t="shared" si="0"/>
        <v>8.5853827719361284</v>
      </c>
      <c r="I21" s="1912">
        <f t="shared" si="0"/>
        <v>25.331317438677413</v>
      </c>
      <c r="J21" s="1911">
        <f t="shared" si="0"/>
        <v>66.428160187795442</v>
      </c>
      <c r="K21" s="1915"/>
      <c r="L21" s="1916"/>
      <c r="M21" s="1916"/>
      <c r="N21" s="1916"/>
      <c r="O21" s="1916"/>
      <c r="P21" s="1916"/>
      <c r="Q21" s="1916"/>
      <c r="R21" s="1916"/>
      <c r="S21" s="1916"/>
    </row>
    <row r="22" spans="1:19" s="772" customFormat="1" ht="16.5" customHeight="1">
      <c r="A22" s="1910">
        <v>2023</v>
      </c>
      <c r="B22" s="1917"/>
      <c r="C22" s="1911">
        <f t="shared" ref="C22:J22" si="1">C36</f>
        <v>19.677594192851963</v>
      </c>
      <c r="D22" s="1911">
        <f t="shared" si="1"/>
        <v>18.117877839885978</v>
      </c>
      <c r="E22" s="1911">
        <f t="shared" si="1"/>
        <v>2.9051825997236747</v>
      </c>
      <c r="F22" s="1911">
        <f t="shared" si="1"/>
        <v>59.824019303886736</v>
      </c>
      <c r="G22" s="1911">
        <f t="shared" si="1"/>
        <v>1.2580474229025358</v>
      </c>
      <c r="H22" s="1911">
        <f t="shared" si="1"/>
        <v>9.2500592194997626</v>
      </c>
      <c r="I22" s="1912">
        <f t="shared" si="1"/>
        <v>25.709162584325206</v>
      </c>
      <c r="J22" s="1911">
        <f t="shared" si="1"/>
        <v>62.521147689983337</v>
      </c>
      <c r="K22" s="1915"/>
      <c r="L22" s="1916"/>
      <c r="M22" s="1916"/>
      <c r="N22" s="1916"/>
      <c r="O22" s="1916"/>
      <c r="P22" s="1916"/>
      <c r="Q22" s="1916"/>
      <c r="R22" s="1916"/>
      <c r="S22" s="1916"/>
    </row>
    <row r="23" spans="1:19" s="772" customFormat="1" ht="16.5" customHeight="1">
      <c r="A23" s="1910">
        <v>2024</v>
      </c>
      <c r="B23" s="1917"/>
      <c r="C23" s="1911">
        <f t="shared" ref="C23:J23" si="2">C40</f>
        <v>21.2</v>
      </c>
      <c r="D23" s="1911">
        <f t="shared" si="2"/>
        <v>19.8</v>
      </c>
      <c r="E23" s="1911">
        <f t="shared" si="2"/>
        <v>2.8</v>
      </c>
      <c r="F23" s="1911">
        <f t="shared" si="2"/>
        <v>53.3</v>
      </c>
      <c r="G23" s="1911">
        <f t="shared" si="2"/>
        <v>1.3</v>
      </c>
      <c r="H23" s="1911">
        <f t="shared" si="2"/>
        <v>11.2</v>
      </c>
      <c r="I23" s="1912">
        <f t="shared" si="2"/>
        <v>26.8</v>
      </c>
      <c r="J23" s="1911">
        <f t="shared" si="2"/>
        <v>62.2</v>
      </c>
      <c r="K23" s="1915"/>
      <c r="L23" s="1916"/>
      <c r="M23" s="1916"/>
      <c r="N23" s="1916"/>
      <c r="O23" s="1916"/>
      <c r="P23" s="1916"/>
      <c r="Q23" s="1916"/>
      <c r="R23" s="1916"/>
      <c r="S23" s="1916"/>
    </row>
    <row r="24" spans="1:19" s="772" customFormat="1" ht="16.5" customHeight="1">
      <c r="A24" s="1913">
        <v>2025</v>
      </c>
      <c r="B24" s="2499"/>
      <c r="C24" s="1921">
        <f t="shared" ref="C24:J24" si="3">C44</f>
        <v>21.8</v>
      </c>
      <c r="D24" s="1921">
        <f t="shared" si="3"/>
        <v>20.5</v>
      </c>
      <c r="E24" s="1921">
        <f t="shared" si="3"/>
        <v>2.6</v>
      </c>
      <c r="F24" s="1921">
        <f t="shared" si="3"/>
        <v>58.5</v>
      </c>
      <c r="G24" s="1921">
        <f t="shared" si="3"/>
        <v>1.1000000000000001</v>
      </c>
      <c r="H24" s="1921">
        <f t="shared" si="3"/>
        <v>10.3</v>
      </c>
      <c r="I24" s="1922">
        <f t="shared" si="3"/>
        <v>26</v>
      </c>
      <c r="J24" s="1921">
        <f t="shared" si="3"/>
        <v>62</v>
      </c>
      <c r="K24" s="1916"/>
      <c r="L24" s="1916"/>
      <c r="M24" s="1916"/>
      <c r="N24" s="1916"/>
      <c r="O24" s="1916"/>
      <c r="P24" s="1916"/>
      <c r="Q24" s="1916"/>
      <c r="R24" s="1916"/>
      <c r="S24" s="1916"/>
    </row>
    <row r="25" spans="1:19" s="1916" customFormat="1" ht="21.25" customHeight="1">
      <c r="A25" s="1918">
        <v>2021</v>
      </c>
      <c r="B25" s="1919" t="s">
        <v>242</v>
      </c>
      <c r="C25" s="1911">
        <v>18.502743107528232</v>
      </c>
      <c r="D25" s="1911">
        <v>17.303661127458003</v>
      </c>
      <c r="E25" s="1911">
        <v>3.9880641164087729</v>
      </c>
      <c r="F25" s="1911">
        <v>67.254370792683702</v>
      </c>
      <c r="G25" s="1911">
        <v>0.23176544728186829</v>
      </c>
      <c r="H25" s="1911">
        <v>2.2316387338957209</v>
      </c>
      <c r="I25" s="1912">
        <v>25.151053645046133</v>
      </c>
      <c r="J25" s="1911">
        <v>66.535134063772375</v>
      </c>
    </row>
    <row r="26" spans="1:19" s="1916" customFormat="1" ht="16.5" customHeight="1">
      <c r="A26" s="1918"/>
      <c r="B26" s="1919" t="s">
        <v>243</v>
      </c>
      <c r="C26" s="1911">
        <v>18.71727928056816</v>
      </c>
      <c r="D26" s="1911">
        <v>17.493868808132213</v>
      </c>
      <c r="E26" s="1911">
        <v>3.7959224271919902</v>
      </c>
      <c r="F26" s="1911">
        <v>68.961882255810892</v>
      </c>
      <c r="G26" s="1911">
        <v>0.56186337535280684</v>
      </c>
      <c r="H26" s="1911">
        <v>3.9555176754675938</v>
      </c>
      <c r="I26" s="1912">
        <v>26.385991677255443</v>
      </c>
      <c r="J26" s="1911">
        <v>68.226484550715114</v>
      </c>
    </row>
    <row r="27" spans="1:19" s="1916" customFormat="1" ht="16.5" customHeight="1">
      <c r="A27" s="1918"/>
      <c r="B27" s="1919" t="s">
        <v>240</v>
      </c>
      <c r="C27" s="1911">
        <v>18.327337989524978</v>
      </c>
      <c r="D27" s="1911">
        <v>16.88315195701454</v>
      </c>
      <c r="E27" s="1911">
        <v>3.6386852672472618</v>
      </c>
      <c r="F27" s="1911">
        <v>69.644302278653925</v>
      </c>
      <c r="G27" s="1911">
        <v>0.81801843527653051</v>
      </c>
      <c r="H27" s="1911">
        <v>6.2088019600665385</v>
      </c>
      <c r="I27" s="1912">
        <v>26.198633299757425</v>
      </c>
      <c r="J27" s="1911">
        <v>67.300762555350119</v>
      </c>
    </row>
    <row r="28" spans="1:19" s="1916" customFormat="1" ht="16.5" customHeight="1">
      <c r="A28" s="1918"/>
      <c r="B28" s="1919" t="s">
        <v>241</v>
      </c>
      <c r="C28" s="1911">
        <v>18.657327930347265</v>
      </c>
      <c r="D28" s="1911">
        <v>17.197064877580726</v>
      </c>
      <c r="E28" s="1911">
        <v>3.1678523586705665</v>
      </c>
      <c r="F28" s="1911">
        <v>70.085570362563615</v>
      </c>
      <c r="G28" s="1911">
        <v>1.1490923387327492</v>
      </c>
      <c r="H28" s="1911">
        <v>7.9768092303328153</v>
      </c>
      <c r="I28" s="1912">
        <v>26.192404957063808</v>
      </c>
      <c r="J28" s="1911">
        <v>68.184256454742993</v>
      </c>
    </row>
    <row r="29" spans="1:19" s="1916" customFormat="1" ht="20.25" customHeight="1">
      <c r="A29" s="1918">
        <v>2022</v>
      </c>
      <c r="B29" s="1919" t="s">
        <v>242</v>
      </c>
      <c r="C29" s="1911">
        <v>19.445951489864555</v>
      </c>
      <c r="D29" s="1911">
        <v>18.025118609938826</v>
      </c>
      <c r="E29" s="1911">
        <v>3.5202051857637797</v>
      </c>
      <c r="F29" s="1911">
        <v>70.333559805260435</v>
      </c>
      <c r="G29" s="1911">
        <v>0.32232601292260471</v>
      </c>
      <c r="H29" s="1911">
        <v>2.3540335467634779</v>
      </c>
      <c r="I29" s="1912">
        <v>25.510808045997713</v>
      </c>
      <c r="J29" s="1911">
        <v>67.265745871530356</v>
      </c>
    </row>
    <row r="30" spans="1:19" s="1916" customFormat="1" ht="16.5" customHeight="1">
      <c r="A30" s="1918"/>
      <c r="B30" s="1919" t="s">
        <v>243</v>
      </c>
      <c r="C30" s="1911">
        <v>19.079279043620325</v>
      </c>
      <c r="D30" s="1911">
        <v>17.667787808543363</v>
      </c>
      <c r="E30" s="1911">
        <v>3.3229778295877268</v>
      </c>
      <c r="F30" s="1911">
        <v>69.919104351357532</v>
      </c>
      <c r="G30" s="1911">
        <v>0.63964408308542664</v>
      </c>
      <c r="H30" s="1911">
        <v>4.7644134884497618</v>
      </c>
      <c r="I30" s="1912">
        <v>25.692944604065548</v>
      </c>
      <c r="J30" s="1911">
        <v>63.907033486992837</v>
      </c>
    </row>
    <row r="31" spans="1:19" s="1916" customFormat="1" ht="16.5" customHeight="1">
      <c r="A31" s="1918"/>
      <c r="B31" s="2292" t="s">
        <v>240</v>
      </c>
      <c r="C31" s="1911">
        <v>19.319335128482727</v>
      </c>
      <c r="D31" s="1911">
        <v>17.884442040703455</v>
      </c>
      <c r="E31" s="1911">
        <v>3.1746858433357552</v>
      </c>
      <c r="F31" s="1911">
        <v>69.10608813489263</v>
      </c>
      <c r="G31" s="1911">
        <v>0.90054493189838003</v>
      </c>
      <c r="H31" s="1911">
        <v>6.2290982856756685</v>
      </c>
      <c r="I31" s="1912">
        <v>24.038854187340121</v>
      </c>
      <c r="J31" s="1911">
        <v>64.96253170737441</v>
      </c>
    </row>
    <row r="32" spans="1:19" s="1916" customFormat="1" ht="16.5" customHeight="1">
      <c r="A32" s="1918"/>
      <c r="B32" s="2292" t="s">
        <v>241</v>
      </c>
      <c r="C32" s="1911">
        <v>19.523639490447152</v>
      </c>
      <c r="D32" s="1911">
        <v>18.070895831357955</v>
      </c>
      <c r="E32" s="1911">
        <v>3.0036964791129908</v>
      </c>
      <c r="F32" s="1911">
        <v>68.493738119904904</v>
      </c>
      <c r="G32" s="1911">
        <v>1.2407482706308763</v>
      </c>
      <c r="H32" s="1911">
        <v>8.5853827719361284</v>
      </c>
      <c r="I32" s="1912">
        <v>25.331317438677413</v>
      </c>
      <c r="J32" s="1911">
        <v>66.428160187795442</v>
      </c>
    </row>
    <row r="33" spans="1:10" s="1916" customFormat="1" ht="20.25" customHeight="1">
      <c r="A33" s="1918">
        <v>2023</v>
      </c>
      <c r="B33" s="1919" t="s">
        <v>242</v>
      </c>
      <c r="C33" s="1911">
        <v>19.166571827866015</v>
      </c>
      <c r="D33" s="1911">
        <v>17.666539936148908</v>
      </c>
      <c r="E33" s="1911">
        <v>2.9773550268194908</v>
      </c>
      <c r="F33" s="1911">
        <v>64.976693754499266</v>
      </c>
      <c r="G33" s="1911">
        <v>0.36189559406721261</v>
      </c>
      <c r="H33" s="1911">
        <v>2.8415545619767908</v>
      </c>
      <c r="I33" s="1912">
        <v>24.610021175254374</v>
      </c>
      <c r="J33" s="1911">
        <v>65.275413580258927</v>
      </c>
    </row>
    <row r="34" spans="1:10" s="1916" customFormat="1" ht="16.5" customHeight="1">
      <c r="A34" s="1918"/>
      <c r="B34" s="2292" t="s">
        <v>243</v>
      </c>
      <c r="C34" s="1911">
        <v>19.305593405323556</v>
      </c>
      <c r="D34" s="1911">
        <v>17.764264093581332</v>
      </c>
      <c r="E34" s="1911">
        <v>3.0728536538097799</v>
      </c>
      <c r="F34" s="1911">
        <v>61.791387344217362</v>
      </c>
      <c r="G34" s="1911">
        <v>0.73394311530786738</v>
      </c>
      <c r="H34" s="1911">
        <v>5.3338370798065311</v>
      </c>
      <c r="I34" s="1912">
        <v>23.386360745042815</v>
      </c>
      <c r="J34" s="1911">
        <v>63.22438739340798</v>
      </c>
    </row>
    <row r="35" spans="1:10" s="1916" customFormat="1" ht="16.5" customHeight="1">
      <c r="A35" s="1918"/>
      <c r="B35" s="2292" t="s">
        <v>240</v>
      </c>
      <c r="C35" s="1911">
        <v>19.391876261358291</v>
      </c>
      <c r="D35" s="1911">
        <v>17.869838154717932</v>
      </c>
      <c r="E35" s="1911">
        <v>3.1127603785723128</v>
      </c>
      <c r="F35" s="1911">
        <v>58.050865573688171</v>
      </c>
      <c r="G35" s="1911">
        <v>1.0265139012000162</v>
      </c>
      <c r="H35" s="1911">
        <v>7.8381292405599963</v>
      </c>
      <c r="I35" s="1912">
        <v>24.029459494419712</v>
      </c>
      <c r="J35" s="1911">
        <v>63.721569981249424</v>
      </c>
    </row>
    <row r="36" spans="1:10" s="1916" customFormat="1" ht="16.5" customHeight="1">
      <c r="A36" s="1918"/>
      <c r="B36" s="2292" t="s">
        <v>241</v>
      </c>
      <c r="C36" s="1911">
        <v>19.677594192851963</v>
      </c>
      <c r="D36" s="1911">
        <v>18.117877839885978</v>
      </c>
      <c r="E36" s="1911">
        <v>2.9051825997236747</v>
      </c>
      <c r="F36" s="1911">
        <v>59.824019303886736</v>
      </c>
      <c r="G36" s="1911">
        <v>1.2580474229025358</v>
      </c>
      <c r="H36" s="1911">
        <v>9.2500592194997626</v>
      </c>
      <c r="I36" s="1912">
        <v>25.709162584325206</v>
      </c>
      <c r="J36" s="1911">
        <v>62.521147689983337</v>
      </c>
    </row>
    <row r="37" spans="1:10" s="1916" customFormat="1" ht="20.25" customHeight="1">
      <c r="A37" s="1918">
        <v>2024</v>
      </c>
      <c r="B37" s="1919" t="s">
        <v>242</v>
      </c>
      <c r="C37" s="1911">
        <v>22.2</v>
      </c>
      <c r="D37" s="1911">
        <v>20.6</v>
      </c>
      <c r="E37" s="1911">
        <v>2.9</v>
      </c>
      <c r="F37" s="1911">
        <v>58.9</v>
      </c>
      <c r="G37" s="1911">
        <v>0.5</v>
      </c>
      <c r="H37" s="1911">
        <v>3.4</v>
      </c>
      <c r="I37" s="1912">
        <v>29.3</v>
      </c>
      <c r="J37" s="1911">
        <v>60.1</v>
      </c>
    </row>
    <row r="38" spans="1:10" s="1916" customFormat="1" ht="16.5" customHeight="1">
      <c r="A38" s="1918"/>
      <c r="B38" s="2292" t="s">
        <v>243</v>
      </c>
      <c r="C38" s="1911">
        <v>20.399999999999999</v>
      </c>
      <c r="D38" s="1911">
        <v>19</v>
      </c>
      <c r="E38" s="1911">
        <v>3</v>
      </c>
      <c r="F38" s="1911">
        <v>59.1</v>
      </c>
      <c r="G38" s="1911">
        <v>0.7</v>
      </c>
      <c r="H38" s="1911">
        <v>6.2</v>
      </c>
      <c r="I38" s="1912">
        <v>25.6</v>
      </c>
      <c r="J38" s="1911">
        <v>58.8</v>
      </c>
    </row>
    <row r="39" spans="1:10" s="1916" customFormat="1" ht="16.5" customHeight="1">
      <c r="A39" s="1918"/>
      <c r="B39" s="2292" t="s">
        <v>240</v>
      </c>
      <c r="C39" s="1911">
        <v>20.5</v>
      </c>
      <c r="D39" s="1911">
        <v>19.100000000000001</v>
      </c>
      <c r="E39" s="1911">
        <v>2.9</v>
      </c>
      <c r="F39" s="1911">
        <v>55</v>
      </c>
      <c r="G39" s="1911">
        <v>1</v>
      </c>
      <c r="H39" s="1911">
        <v>8.9</v>
      </c>
      <c r="I39" s="1912">
        <v>27.2</v>
      </c>
      <c r="J39" s="1911">
        <v>60.1</v>
      </c>
    </row>
    <row r="40" spans="1:10" s="1916" customFormat="1" ht="16.5" customHeight="1">
      <c r="A40" s="1918"/>
      <c r="B40" s="2292" t="s">
        <v>241</v>
      </c>
      <c r="C40" s="1911">
        <v>21.2</v>
      </c>
      <c r="D40" s="1911">
        <v>19.8</v>
      </c>
      <c r="E40" s="1911">
        <v>2.8</v>
      </c>
      <c r="F40" s="1911">
        <v>53.3</v>
      </c>
      <c r="G40" s="1911">
        <v>1.3</v>
      </c>
      <c r="H40" s="1911">
        <v>11.2</v>
      </c>
      <c r="I40" s="1912">
        <v>26.8</v>
      </c>
      <c r="J40" s="1911">
        <v>62.2</v>
      </c>
    </row>
    <row r="41" spans="1:10" s="1916" customFormat="1" ht="20.25" customHeight="1">
      <c r="A41" s="1918">
        <v>2025</v>
      </c>
      <c r="B41" s="1919" t="s">
        <v>242</v>
      </c>
      <c r="C41" s="1911">
        <v>20.6</v>
      </c>
      <c r="D41" s="1911">
        <v>19.100000000000001</v>
      </c>
      <c r="E41" s="1911">
        <v>2.7</v>
      </c>
      <c r="F41" s="1911">
        <v>53.7</v>
      </c>
      <c r="G41" s="1911">
        <v>0.4</v>
      </c>
      <c r="H41" s="1911">
        <v>3</v>
      </c>
      <c r="I41" s="1912">
        <v>25.7</v>
      </c>
      <c r="J41" s="1911">
        <v>63.1</v>
      </c>
    </row>
    <row r="42" spans="1:10" s="1916" customFormat="1" ht="16.5" customHeight="1">
      <c r="A42" s="1918"/>
      <c r="B42" s="2497" t="s">
        <v>243</v>
      </c>
      <c r="C42" s="1911">
        <v>20.2</v>
      </c>
      <c r="D42" s="1911">
        <v>18.8</v>
      </c>
      <c r="E42" s="1911">
        <v>2.6</v>
      </c>
      <c r="F42" s="1911">
        <v>54.8</v>
      </c>
      <c r="G42" s="1911">
        <v>0.6</v>
      </c>
      <c r="H42" s="1911">
        <v>5.8</v>
      </c>
      <c r="I42" s="2496">
        <v>26.1</v>
      </c>
      <c r="J42" s="1911">
        <v>62.1</v>
      </c>
    </row>
    <row r="43" spans="1:10" s="1916" customFormat="1" ht="16.5" customHeight="1">
      <c r="A43" s="1918"/>
      <c r="B43" s="2497" t="s">
        <v>240</v>
      </c>
      <c r="C43" s="1911">
        <v>20.9</v>
      </c>
      <c r="D43" s="1911">
        <v>19.5</v>
      </c>
      <c r="E43" s="1911">
        <v>2.7</v>
      </c>
      <c r="F43" s="1911">
        <v>56.4</v>
      </c>
      <c r="G43" s="1911">
        <v>0.8</v>
      </c>
      <c r="H43" s="1911">
        <v>8.3000000000000007</v>
      </c>
      <c r="I43" s="2496">
        <v>26.5</v>
      </c>
      <c r="J43" s="1911">
        <v>63</v>
      </c>
    </row>
    <row r="44" spans="1:10" s="1916" customFormat="1" ht="16.5" customHeight="1">
      <c r="A44" s="1918"/>
      <c r="B44" s="2292" t="s">
        <v>241</v>
      </c>
      <c r="C44" s="1911">
        <v>21.8</v>
      </c>
      <c r="D44" s="1911">
        <v>20.5</v>
      </c>
      <c r="E44" s="1911">
        <v>2.6</v>
      </c>
      <c r="F44" s="1911">
        <v>58.5</v>
      </c>
      <c r="G44" s="1911">
        <v>1.1000000000000001</v>
      </c>
      <c r="H44" s="1911">
        <v>10.3</v>
      </c>
      <c r="I44" s="2496">
        <v>26</v>
      </c>
      <c r="J44" s="1911">
        <v>62</v>
      </c>
    </row>
    <row r="45" spans="1:10" s="1916" customFormat="1" ht="20.5" customHeight="1">
      <c r="A45" s="1918">
        <v>2026</v>
      </c>
      <c r="B45" s="1919" t="s">
        <v>242</v>
      </c>
      <c r="C45" s="1911">
        <v>20.8</v>
      </c>
      <c r="D45" s="1911">
        <v>19.5</v>
      </c>
      <c r="E45" s="1911">
        <v>2.6</v>
      </c>
      <c r="F45" s="1911">
        <v>56.9</v>
      </c>
      <c r="G45" s="1911">
        <v>0.3</v>
      </c>
      <c r="H45" s="1911">
        <v>2.1</v>
      </c>
      <c r="I45" s="1912">
        <v>28.2</v>
      </c>
      <c r="J45" s="1911">
        <v>60.4</v>
      </c>
    </row>
    <row r="46" spans="1:10" ht="21.25" customHeight="1">
      <c r="A46" s="761" t="s">
        <v>1190</v>
      </c>
      <c r="B46" s="761"/>
      <c r="C46" s="761"/>
      <c r="D46" s="761"/>
      <c r="E46" s="761"/>
      <c r="F46" s="761"/>
      <c r="G46" s="761"/>
      <c r="H46" s="761"/>
      <c r="I46" s="761"/>
      <c r="J46" s="1953" t="s">
        <v>1191</v>
      </c>
    </row>
    <row r="47" spans="1:10" ht="13.4" customHeight="1">
      <c r="A47" s="744" t="s">
        <v>1192</v>
      </c>
      <c r="J47" s="1951" t="s">
        <v>1193</v>
      </c>
    </row>
    <row r="48" spans="1:10" ht="13.75" customHeight="1"/>
    <row r="49" spans="1:18" ht="14">
      <c r="A49" s="1218" t="s">
        <v>1194</v>
      </c>
      <c r="B49" s="743"/>
      <c r="C49" s="743"/>
      <c r="D49" s="743"/>
      <c r="E49" s="743"/>
      <c r="F49" s="743"/>
      <c r="G49" s="743"/>
      <c r="H49" s="743"/>
      <c r="I49" s="743"/>
      <c r="J49" s="743"/>
    </row>
    <row r="50" spans="1:18" s="891" customFormat="1" ht="14">
      <c r="A50" s="1923"/>
      <c r="B50" s="1924"/>
      <c r="C50" s="1924"/>
      <c r="D50" s="1924"/>
      <c r="E50" s="1924"/>
      <c r="F50" s="1924"/>
      <c r="G50" s="1924"/>
      <c r="H50" s="1924"/>
      <c r="I50" s="1924"/>
      <c r="J50" s="1924"/>
      <c r="K50" s="1219"/>
      <c r="L50" s="1820"/>
      <c r="M50" s="1219"/>
      <c r="N50" s="1219"/>
      <c r="O50" s="1219"/>
      <c r="P50" s="1219"/>
      <c r="Q50" s="1219"/>
      <c r="R50" s="1219"/>
    </row>
  </sheetData>
  <mergeCells count="11">
    <mergeCell ref="C11:D11"/>
    <mergeCell ref="E11:F11"/>
    <mergeCell ref="G11:H11"/>
    <mergeCell ref="I11:J11"/>
    <mergeCell ref="A4:J4"/>
    <mergeCell ref="A5:J5"/>
    <mergeCell ref="A9:B9"/>
    <mergeCell ref="C10:D10"/>
    <mergeCell ref="E10:F10"/>
    <mergeCell ref="G10:H10"/>
    <mergeCell ref="I10:J10"/>
  </mergeCells>
  <printOptions horizontalCentered="1"/>
  <pageMargins left="0.4" right="0.4" top="0.5" bottom="0.5" header="0.3" footer="0.3"/>
  <pageSetup paperSize="9" scale="62"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tabColor rgb="FF00B0F0"/>
    <pageSetUpPr fitToPage="1"/>
  </sheetPr>
  <dimension ref="A1:AA50"/>
  <sheetViews>
    <sheetView zoomScale="90" zoomScaleNormal="90" workbookViewId="0">
      <pane ySplit="13" topLeftCell="A33" activePane="bottomLeft" state="frozen"/>
      <selection activeCell="H46" sqref="H46"/>
      <selection pane="bottomLeft" activeCell="H46" sqref="H46"/>
    </sheetView>
  </sheetViews>
  <sheetFormatPr defaultColWidth="9.1796875" defaultRowHeight="12.5"/>
  <cols>
    <col min="1" max="2" width="9.7265625" style="744" customWidth="1"/>
    <col min="3" max="18" width="12.81640625" style="744" customWidth="1"/>
    <col min="19" max="16384" width="9.1796875" style="744"/>
  </cols>
  <sheetData>
    <row r="1" spans="1:18" ht="18" customHeight="1">
      <c r="A1" s="1901" t="s">
        <v>1195</v>
      </c>
      <c r="B1" s="1901"/>
      <c r="C1" s="1901"/>
      <c r="D1" s="1901"/>
      <c r="E1" s="1901"/>
      <c r="F1" s="1901"/>
      <c r="G1" s="1901"/>
      <c r="H1" s="1901"/>
      <c r="I1" s="1901"/>
      <c r="J1" s="1901"/>
      <c r="K1" s="1901"/>
      <c r="L1" s="1901"/>
      <c r="M1" s="1901"/>
      <c r="N1" s="1901"/>
      <c r="O1" s="1901"/>
      <c r="P1" s="1901"/>
      <c r="Q1" s="1901"/>
      <c r="R1" s="1901"/>
    </row>
    <row r="2" spans="1:18" ht="18" customHeight="1">
      <c r="A2" s="1901" t="s">
        <v>1164</v>
      </c>
      <c r="B2" s="1901"/>
      <c r="C2" s="1901"/>
      <c r="D2" s="1901"/>
      <c r="E2" s="1901"/>
      <c r="F2" s="1901"/>
      <c r="G2" s="1901"/>
      <c r="H2" s="1901"/>
      <c r="I2" s="1901"/>
      <c r="J2" s="1901"/>
      <c r="K2" s="1901"/>
      <c r="L2" s="1901"/>
      <c r="M2" s="1901"/>
      <c r="N2" s="1901"/>
      <c r="O2" s="1901"/>
      <c r="P2" s="1901"/>
      <c r="Q2" s="1901"/>
      <c r="R2" s="1901"/>
    </row>
    <row r="3" spans="1:18" ht="16" customHeight="1">
      <c r="A3" s="1902" t="s">
        <v>68</v>
      </c>
      <c r="B3" s="768"/>
      <c r="C3" s="768"/>
      <c r="D3" s="768"/>
      <c r="E3" s="768"/>
      <c r="F3" s="768"/>
      <c r="G3" s="768"/>
      <c r="H3" s="768"/>
      <c r="I3" s="768"/>
      <c r="J3" s="768"/>
      <c r="K3" s="768"/>
      <c r="L3" s="768"/>
      <c r="M3" s="768"/>
      <c r="N3" s="768"/>
      <c r="O3" s="768"/>
      <c r="P3" s="768"/>
      <c r="Q3" s="768"/>
      <c r="R3" s="768"/>
    </row>
    <row r="4" spans="1:18" ht="18">
      <c r="A4" s="2663" t="s">
        <v>1196</v>
      </c>
      <c r="B4" s="2663"/>
      <c r="C4" s="2663"/>
      <c r="D4" s="2663"/>
      <c r="E4" s="2663"/>
      <c r="F4" s="2663"/>
      <c r="G4" s="2663"/>
      <c r="H4" s="2663"/>
      <c r="I4" s="2663"/>
      <c r="J4" s="2663"/>
      <c r="K4" s="2663"/>
      <c r="L4" s="2663"/>
      <c r="M4" s="2663"/>
      <c r="N4" s="2663"/>
      <c r="O4" s="2663"/>
      <c r="P4" s="2663"/>
      <c r="Q4" s="2663"/>
      <c r="R4" s="2663"/>
    </row>
    <row r="5" spans="1:18" ht="16" customHeight="1">
      <c r="A5" s="2664" t="s">
        <v>1197</v>
      </c>
      <c r="B5" s="2664"/>
      <c r="C5" s="2664"/>
      <c r="D5" s="2664"/>
      <c r="E5" s="2664"/>
      <c r="F5" s="2664"/>
      <c r="G5" s="2664"/>
      <c r="H5" s="2664"/>
      <c r="I5" s="2664"/>
      <c r="J5" s="2664"/>
      <c r="K5" s="2664"/>
      <c r="L5" s="2664"/>
      <c r="M5" s="2664"/>
      <c r="N5" s="2664"/>
      <c r="O5" s="2664"/>
      <c r="P5" s="2664"/>
      <c r="Q5" s="2664"/>
      <c r="R5" s="2664"/>
    </row>
    <row r="6" spans="1:18" ht="16" customHeight="1">
      <c r="A6" s="1902"/>
      <c r="B6" s="768"/>
      <c r="C6" s="768"/>
      <c r="D6" s="768"/>
      <c r="E6" s="768"/>
      <c r="F6" s="768"/>
      <c r="G6" s="768"/>
      <c r="H6" s="768"/>
      <c r="I6" s="768"/>
      <c r="J6" s="768"/>
      <c r="K6" s="768"/>
      <c r="L6" s="768"/>
      <c r="M6" s="768"/>
      <c r="N6" s="768"/>
      <c r="O6" s="768"/>
      <c r="P6" s="768"/>
      <c r="Q6" s="768"/>
      <c r="R6" s="768"/>
    </row>
    <row r="7" spans="1:18" s="747" customFormat="1" ht="14.9" customHeight="1">
      <c r="A7" s="2568" t="s">
        <v>1011</v>
      </c>
      <c r="B7" s="2566"/>
      <c r="C7" s="746"/>
      <c r="D7" s="746"/>
      <c r="E7" s="746"/>
      <c r="F7" s="746"/>
      <c r="G7" s="746"/>
      <c r="H7" s="746"/>
      <c r="I7" s="746"/>
      <c r="J7" s="746"/>
      <c r="K7" s="746"/>
      <c r="L7" s="746"/>
      <c r="M7" s="746"/>
      <c r="N7" s="746"/>
      <c r="O7" s="746"/>
      <c r="P7" s="746"/>
      <c r="Q7" s="746"/>
      <c r="R7" s="1904" t="s">
        <v>1012</v>
      </c>
    </row>
    <row r="8" spans="1:18" s="772" customFormat="1" ht="14.5" customHeight="1">
      <c r="A8" s="769"/>
      <c r="B8" s="770"/>
      <c r="C8" s="2569" t="s">
        <v>394</v>
      </c>
      <c r="D8" s="2665"/>
      <c r="E8" s="2665"/>
      <c r="F8" s="2570"/>
      <c r="G8" s="2569" t="s">
        <v>1167</v>
      </c>
      <c r="H8" s="2665"/>
      <c r="I8" s="2665"/>
      <c r="J8" s="2570"/>
      <c r="K8" s="2569" t="s">
        <v>1168</v>
      </c>
      <c r="L8" s="2665"/>
      <c r="M8" s="2665"/>
      <c r="N8" s="2570"/>
      <c r="O8" s="2569" t="s">
        <v>1169</v>
      </c>
      <c r="P8" s="2665"/>
      <c r="Q8" s="2665"/>
      <c r="R8" s="2570"/>
    </row>
    <row r="9" spans="1:18" s="772" customFormat="1" ht="14.25" customHeight="1">
      <c r="A9" s="1905"/>
      <c r="B9" s="1906"/>
      <c r="C9" s="2560" t="s">
        <v>1170</v>
      </c>
      <c r="D9" s="2666"/>
      <c r="E9" s="2666"/>
      <c r="F9" s="2561"/>
      <c r="G9" s="2560" t="s">
        <v>1171</v>
      </c>
      <c r="H9" s="2666"/>
      <c r="I9" s="2666"/>
      <c r="J9" s="2561"/>
      <c r="K9" s="2560" t="s">
        <v>1172</v>
      </c>
      <c r="L9" s="2666"/>
      <c r="M9" s="2666"/>
      <c r="N9" s="2561"/>
      <c r="O9" s="2560" t="s">
        <v>1173</v>
      </c>
      <c r="P9" s="2666" t="s">
        <v>1173</v>
      </c>
      <c r="Q9" s="2666"/>
      <c r="R9" s="2561"/>
    </row>
    <row r="10" spans="1:18" s="772" customFormat="1" ht="51.75" customHeight="1">
      <c r="A10" s="1905" t="s">
        <v>387</v>
      </c>
      <c r="B10" s="1906"/>
      <c r="C10" s="2667" t="s">
        <v>1174</v>
      </c>
      <c r="D10" s="2668"/>
      <c r="E10" s="2667" t="s">
        <v>1175</v>
      </c>
      <c r="F10" s="2668"/>
      <c r="G10" s="2667" t="s">
        <v>1176</v>
      </c>
      <c r="H10" s="2668"/>
      <c r="I10" s="2667" t="s">
        <v>1177</v>
      </c>
      <c r="J10" s="2668"/>
      <c r="K10" s="2667" t="s">
        <v>1198</v>
      </c>
      <c r="L10" s="2668"/>
      <c r="M10" s="2667" t="s">
        <v>1179</v>
      </c>
      <c r="N10" s="2668"/>
      <c r="O10" s="2667" t="s">
        <v>1180</v>
      </c>
      <c r="P10" s="2668"/>
      <c r="Q10" s="2667" t="s">
        <v>1181</v>
      </c>
      <c r="R10" s="2668"/>
    </row>
    <row r="11" spans="1:18" s="786" customFormat="1" ht="40.5" customHeight="1">
      <c r="A11" s="1907" t="s">
        <v>395</v>
      </c>
      <c r="B11" s="1908"/>
      <c r="C11" s="2669" t="s">
        <v>1182</v>
      </c>
      <c r="D11" s="2670"/>
      <c r="E11" s="2669" t="s">
        <v>1183</v>
      </c>
      <c r="F11" s="2670"/>
      <c r="G11" s="2669" t="s">
        <v>1184</v>
      </c>
      <c r="H11" s="2670"/>
      <c r="I11" s="2669" t="s">
        <v>1185</v>
      </c>
      <c r="J11" s="2670"/>
      <c r="K11" s="2669" t="s">
        <v>1186</v>
      </c>
      <c r="L11" s="2670"/>
      <c r="M11" s="2669" t="s">
        <v>1187</v>
      </c>
      <c r="N11" s="2670"/>
      <c r="O11" s="2671" t="s">
        <v>1188</v>
      </c>
      <c r="P11" s="2672"/>
      <c r="Q11" s="2671" t="s">
        <v>1189</v>
      </c>
      <c r="R11" s="2672"/>
    </row>
    <row r="12" spans="1:18" s="786" customFormat="1" ht="15.5">
      <c r="A12" s="1907"/>
      <c r="B12" s="1908"/>
      <c r="C12" s="777" t="s">
        <v>1199</v>
      </c>
      <c r="D12" s="778" t="s">
        <v>1200</v>
      </c>
      <c r="E12" s="777" t="s">
        <v>1199</v>
      </c>
      <c r="F12" s="778" t="s">
        <v>1200</v>
      </c>
      <c r="G12" s="777" t="s">
        <v>1199</v>
      </c>
      <c r="H12" s="778" t="s">
        <v>1200</v>
      </c>
      <c r="I12" s="777" t="s">
        <v>1199</v>
      </c>
      <c r="J12" s="778" t="s">
        <v>1200</v>
      </c>
      <c r="K12" s="777" t="s">
        <v>1199</v>
      </c>
      <c r="L12" s="778" t="s">
        <v>1200</v>
      </c>
      <c r="M12" s="777" t="s">
        <v>1199</v>
      </c>
      <c r="N12" s="778" t="s">
        <v>1200</v>
      </c>
      <c r="O12" s="777" t="s">
        <v>1199</v>
      </c>
      <c r="P12" s="778" t="s">
        <v>1200</v>
      </c>
      <c r="Q12" s="777" t="s">
        <v>1199</v>
      </c>
      <c r="R12" s="778" t="s">
        <v>1200</v>
      </c>
    </row>
    <row r="13" spans="1:18" s="786" customFormat="1" ht="14">
      <c r="A13" s="780"/>
      <c r="B13" s="781"/>
      <c r="C13" s="819" t="s">
        <v>513</v>
      </c>
      <c r="D13" s="820" t="s">
        <v>1201</v>
      </c>
      <c r="E13" s="819" t="s">
        <v>513</v>
      </c>
      <c r="F13" s="820" t="s">
        <v>1201</v>
      </c>
      <c r="G13" s="819" t="s">
        <v>513</v>
      </c>
      <c r="H13" s="820" t="s">
        <v>1201</v>
      </c>
      <c r="I13" s="819" t="s">
        <v>513</v>
      </c>
      <c r="J13" s="820" t="s">
        <v>1201</v>
      </c>
      <c r="K13" s="819" t="s">
        <v>513</v>
      </c>
      <c r="L13" s="820" t="s">
        <v>1201</v>
      </c>
      <c r="M13" s="819" t="s">
        <v>513</v>
      </c>
      <c r="N13" s="820" t="s">
        <v>1201</v>
      </c>
      <c r="O13" s="819" t="s">
        <v>513</v>
      </c>
      <c r="P13" s="820" t="s">
        <v>1201</v>
      </c>
      <c r="Q13" s="819" t="s">
        <v>513</v>
      </c>
      <c r="R13" s="820" t="s">
        <v>1201</v>
      </c>
    </row>
    <row r="14" spans="1:18" s="772" customFormat="1" ht="20.25" customHeight="1">
      <c r="A14" s="1910">
        <v>2015</v>
      </c>
      <c r="B14" s="799"/>
      <c r="C14" s="1911">
        <v>18.600730625169383</v>
      </c>
      <c r="D14" s="1911">
        <v>19.832341893840574</v>
      </c>
      <c r="E14" s="1911">
        <v>16.735271421881436</v>
      </c>
      <c r="F14" s="1911">
        <v>18.216900006380616</v>
      </c>
      <c r="G14" s="1911">
        <v>3.8767955535909802</v>
      </c>
      <c r="H14" s="1911">
        <v>5.2026089376128049</v>
      </c>
      <c r="I14" s="1911">
        <v>54.279327151034288</v>
      </c>
      <c r="J14" s="1911">
        <v>66.987571281917397</v>
      </c>
      <c r="K14" s="1911">
        <v>1.4271060079241626</v>
      </c>
      <c r="L14" s="1911">
        <v>0.83190298773612792</v>
      </c>
      <c r="M14" s="1911">
        <v>13.332618958819719</v>
      </c>
      <c r="N14" s="1911">
        <v>4.3221548984051239</v>
      </c>
      <c r="O14" s="1911">
        <v>25.546143932287723</v>
      </c>
      <c r="P14" s="1911">
        <v>24.201462878733036</v>
      </c>
      <c r="Q14" s="1911">
        <v>72.398712145977498</v>
      </c>
      <c r="R14" s="1911">
        <v>66.029843309930087</v>
      </c>
    </row>
    <row r="15" spans="1:18" s="772" customFormat="1" ht="16" customHeight="1">
      <c r="A15" s="1910">
        <v>2016</v>
      </c>
      <c r="B15" s="799"/>
      <c r="C15" s="1911">
        <v>20.132937220848717</v>
      </c>
      <c r="D15" s="1911">
        <v>19.41763389135777</v>
      </c>
      <c r="E15" s="1911">
        <v>18.448911185340449</v>
      </c>
      <c r="F15" s="1911">
        <v>18.05515620594743</v>
      </c>
      <c r="G15" s="1911">
        <v>5.3442401063207665</v>
      </c>
      <c r="H15" s="1911">
        <v>5.6705282198017173</v>
      </c>
      <c r="I15" s="1911">
        <v>49.902124060724972</v>
      </c>
      <c r="J15" s="1911">
        <v>65.735301348842341</v>
      </c>
      <c r="K15" s="1911">
        <v>1.534867873411764</v>
      </c>
      <c r="L15" s="1911">
        <v>0.65309785930408182</v>
      </c>
      <c r="M15" s="1911">
        <v>13.328455676449014</v>
      </c>
      <c r="N15" s="1911">
        <v>3.6546757959464138</v>
      </c>
      <c r="O15" s="1911">
        <v>24.111922536187013</v>
      </c>
      <c r="P15" s="1911">
        <v>23.233689884262404</v>
      </c>
      <c r="Q15" s="1911">
        <v>71.278134542096566</v>
      </c>
      <c r="R15" s="1911">
        <v>64.028813855861145</v>
      </c>
    </row>
    <row r="16" spans="1:18" s="772" customFormat="1" ht="16" customHeight="1">
      <c r="A16" s="1910">
        <v>2017</v>
      </c>
      <c r="B16" s="799"/>
      <c r="C16" s="1911">
        <v>20.965353748732102</v>
      </c>
      <c r="D16" s="1911">
        <v>19.167046567839776</v>
      </c>
      <c r="E16" s="1911">
        <v>19.395197227044527</v>
      </c>
      <c r="F16" s="1911">
        <v>18.267932103582609</v>
      </c>
      <c r="G16" s="1911">
        <v>5.4504189274211772</v>
      </c>
      <c r="H16" s="1911">
        <v>5.3808341955838879</v>
      </c>
      <c r="I16" s="1911">
        <v>50.642033148029327</v>
      </c>
      <c r="J16" s="1911">
        <v>59.047647890653955</v>
      </c>
      <c r="K16" s="1911">
        <v>1.5326388471594066</v>
      </c>
      <c r="L16" s="1911">
        <v>0.92254108170727323</v>
      </c>
      <c r="M16" s="1911">
        <v>12.956486553317401</v>
      </c>
      <c r="N16" s="1911">
        <v>3.7635475030266132</v>
      </c>
      <c r="O16" s="1911">
        <v>34.05332975638494</v>
      </c>
      <c r="P16" s="1911">
        <v>19.611375856445154</v>
      </c>
      <c r="Q16" s="1911">
        <v>71.332263282446732</v>
      </c>
      <c r="R16" s="1911">
        <v>66.357627316329271</v>
      </c>
    </row>
    <row r="17" spans="1:27" s="772" customFormat="1" ht="16.5" customHeight="1">
      <c r="A17" s="1910">
        <v>2018</v>
      </c>
      <c r="B17" s="1917"/>
      <c r="C17" s="1911">
        <v>20.85016921915404</v>
      </c>
      <c r="D17" s="1911">
        <v>18.080339545476839</v>
      </c>
      <c r="E17" s="1911">
        <v>19.367881570224394</v>
      </c>
      <c r="F17" s="1911">
        <v>17.256340091937979</v>
      </c>
      <c r="G17" s="1911">
        <v>5.5493795016287741</v>
      </c>
      <c r="H17" s="1911">
        <v>5.7387919613228675</v>
      </c>
      <c r="I17" s="1911">
        <v>63.79183666278746</v>
      </c>
      <c r="J17" s="1911">
        <v>67.887756770078482</v>
      </c>
      <c r="K17" s="1911">
        <v>1.5195436850237836</v>
      </c>
      <c r="L17" s="1911">
        <v>0.66153861010394821</v>
      </c>
      <c r="M17" s="1911">
        <v>14.279429920961498</v>
      </c>
      <c r="N17" s="1911">
        <v>0.78793657667363981</v>
      </c>
      <c r="O17" s="1911">
        <v>32.886618071955347</v>
      </c>
      <c r="P17" s="1911">
        <v>23.015286628829053</v>
      </c>
      <c r="Q17" s="1911">
        <v>69.553061726235725</v>
      </c>
      <c r="R17" s="1911">
        <v>64.206840601979636</v>
      </c>
      <c r="S17" s="1915"/>
      <c r="T17" s="1916"/>
      <c r="U17" s="1916"/>
      <c r="V17" s="1916"/>
      <c r="W17" s="1916"/>
      <c r="X17" s="1916"/>
      <c r="Y17" s="1916"/>
      <c r="Z17" s="1916"/>
      <c r="AA17" s="1916"/>
    </row>
    <row r="18" spans="1:27" s="772" customFormat="1" ht="16.5" customHeight="1">
      <c r="A18" s="1910">
        <v>2019</v>
      </c>
      <c r="B18" s="1917"/>
      <c r="C18" s="1911">
        <v>21.106800361327927</v>
      </c>
      <c r="D18" s="1911">
        <v>18.615236441952433</v>
      </c>
      <c r="E18" s="1911">
        <v>19.747434204402765</v>
      </c>
      <c r="F18" s="1911">
        <v>17.6645439186053</v>
      </c>
      <c r="G18" s="1911">
        <v>4.9061360044886229</v>
      </c>
      <c r="H18" s="1911">
        <v>4.4836551314032356</v>
      </c>
      <c r="I18" s="1911">
        <v>66.121131279879421</v>
      </c>
      <c r="J18" s="1911">
        <v>74.3</v>
      </c>
      <c r="K18" s="1911">
        <v>1.7689807467050538</v>
      </c>
      <c r="L18" s="1911">
        <v>0.85568866663546894</v>
      </c>
      <c r="M18" s="1911">
        <v>14.236546284825435</v>
      </c>
      <c r="N18" s="1911">
        <v>4.8338947689267737</v>
      </c>
      <c r="O18" s="1911">
        <v>36.021025234310287</v>
      </c>
      <c r="P18" s="1911">
        <v>21.346856160836168</v>
      </c>
      <c r="Q18" s="1911">
        <v>65.79042246074178</v>
      </c>
      <c r="R18" s="1911">
        <v>68.545174707376475</v>
      </c>
      <c r="S18" s="1915"/>
      <c r="T18" s="1916"/>
      <c r="U18" s="1916"/>
      <c r="V18" s="1916"/>
      <c r="W18" s="1916"/>
      <c r="X18" s="1916"/>
      <c r="Y18" s="1916"/>
      <c r="Z18" s="1916"/>
      <c r="AA18" s="1916"/>
    </row>
    <row r="19" spans="1:27" s="772" customFormat="1" ht="16.5" customHeight="1">
      <c r="A19" s="1910">
        <v>2020</v>
      </c>
      <c r="B19" s="1917"/>
      <c r="C19" s="1911">
        <v>19.944841476862038</v>
      </c>
      <c r="D19" s="1911">
        <v>17.822268805863196</v>
      </c>
      <c r="E19" s="1911">
        <v>18.635231270017012</v>
      </c>
      <c r="F19" s="1911">
        <v>16.950209769663147</v>
      </c>
      <c r="G19" s="1911">
        <v>4.640487787519489</v>
      </c>
      <c r="H19" s="1911">
        <v>4.129130247600072</v>
      </c>
      <c r="I19" s="1911">
        <v>69.977207855834365</v>
      </c>
      <c r="J19" s="1911">
        <v>74.32395514052304</v>
      </c>
      <c r="K19" s="1911">
        <v>0.96234168108722795</v>
      </c>
      <c r="L19" s="1911">
        <v>0.76268793014908354</v>
      </c>
      <c r="M19" s="1911">
        <v>9.4393740907523771</v>
      </c>
      <c r="N19" s="1911">
        <v>-5.2696911119942849</v>
      </c>
      <c r="O19" s="1911">
        <v>34.023952085848038</v>
      </c>
      <c r="P19" s="1911">
        <v>21.615020703262523</v>
      </c>
      <c r="Q19" s="1911">
        <v>66.326155961720602</v>
      </c>
      <c r="R19" s="1911">
        <v>71.139952628367993</v>
      </c>
      <c r="S19" s="1915"/>
      <c r="T19" s="1916"/>
      <c r="U19" s="1916"/>
      <c r="V19" s="1916"/>
      <c r="W19" s="1916"/>
      <c r="X19" s="1916"/>
      <c r="Y19" s="1916"/>
      <c r="Z19" s="1916"/>
      <c r="AA19" s="1916"/>
    </row>
    <row r="20" spans="1:27" s="772" customFormat="1" ht="16.5" customHeight="1">
      <c r="A20" s="1910">
        <v>2021</v>
      </c>
      <c r="B20" s="1917"/>
      <c r="C20" s="1911">
        <v>20.64688255788618</v>
      </c>
      <c r="D20" s="1911">
        <v>17.119563252603452</v>
      </c>
      <c r="E20" s="1911">
        <v>19.239195615080202</v>
      </c>
      <c r="F20" s="1911">
        <v>15.645384682960376</v>
      </c>
      <c r="G20" s="1911">
        <v>3.9211391365104751</v>
      </c>
      <c r="H20" s="1911">
        <v>2.8382642645870702</v>
      </c>
      <c r="I20" s="1911">
        <v>71.934225884147097</v>
      </c>
      <c r="J20" s="1911">
        <v>72.807521469879475</v>
      </c>
      <c r="K20" s="1911">
        <v>1.2994018879816043</v>
      </c>
      <c r="L20" s="1911">
        <v>1.2561496587052907</v>
      </c>
      <c r="M20" s="1911">
        <v>10.852239077058394</v>
      </c>
      <c r="N20" s="1911">
        <v>3.5444600816482512</v>
      </c>
      <c r="O20" s="1911">
        <v>33.561529013212358</v>
      </c>
      <c r="P20" s="1911">
        <v>24.661923225362923</v>
      </c>
      <c r="Q20" s="1911">
        <v>69.284049249162607</v>
      </c>
      <c r="R20" s="1911">
        <v>68.687775700155967</v>
      </c>
      <c r="S20" s="1915"/>
      <c r="T20" s="1916"/>
      <c r="U20" s="1916"/>
      <c r="V20" s="1916"/>
      <c r="W20" s="1916"/>
      <c r="X20" s="1916"/>
      <c r="Y20" s="1916"/>
      <c r="Z20" s="1916"/>
      <c r="AA20" s="1916"/>
    </row>
    <row r="21" spans="1:27" s="772" customFormat="1" ht="16.5" customHeight="1">
      <c r="A21" s="1910">
        <v>2022</v>
      </c>
      <c r="B21" s="1917"/>
      <c r="C21" s="1911">
        <f t="shared" ref="C21:R21" si="0">C32</f>
        <v>21.537467378089413</v>
      </c>
      <c r="D21" s="1911">
        <f t="shared" si="0"/>
        <v>17.541649579766482</v>
      </c>
      <c r="E21" s="1911">
        <f t="shared" si="0"/>
        <v>20.105463735937317</v>
      </c>
      <c r="F21" s="1911">
        <f t="shared" si="0"/>
        <v>15.945960975355074</v>
      </c>
      <c r="G21" s="1911">
        <f t="shared" si="0"/>
        <v>3.292529863949059</v>
      </c>
      <c r="H21" s="1911">
        <f t="shared" si="0"/>
        <v>2.2722997732268113</v>
      </c>
      <c r="I21" s="1911">
        <f t="shared" si="0"/>
        <v>74.331487082272346</v>
      </c>
      <c r="J21" s="1911">
        <f t="shared" si="0"/>
        <v>67.027549802259045</v>
      </c>
      <c r="K21" s="1911">
        <f t="shared" si="0"/>
        <v>1.4388142359538301</v>
      </c>
      <c r="L21" s="1911">
        <f t="shared" si="0"/>
        <v>1.1915736565628721</v>
      </c>
      <c r="M21" s="1911">
        <f t="shared" si="0"/>
        <v>10.99551932488149</v>
      </c>
      <c r="N21" s="1911">
        <f t="shared" si="0"/>
        <v>4.5434629003691125</v>
      </c>
      <c r="O21" s="1911">
        <f t="shared" si="0"/>
        <v>32.77941228785749</v>
      </c>
      <c r="P21" s="1911">
        <f t="shared" si="0"/>
        <v>22.874417131395848</v>
      </c>
      <c r="Q21" s="1911">
        <f t="shared" si="0"/>
        <v>68.773784343453897</v>
      </c>
      <c r="R21" s="1911">
        <f t="shared" si="0"/>
        <v>68.251505943002783</v>
      </c>
      <c r="S21" s="1915"/>
      <c r="T21" s="1916"/>
      <c r="U21" s="1916"/>
      <c r="V21" s="1916"/>
      <c r="W21" s="1916"/>
      <c r="X21" s="1916"/>
      <c r="Y21" s="1916"/>
      <c r="Z21" s="1916"/>
      <c r="AA21" s="1916"/>
    </row>
    <row r="22" spans="1:27" s="772" customFormat="1" ht="16.5" customHeight="1">
      <c r="A22" s="1910">
        <v>2023</v>
      </c>
      <c r="B22" s="1917"/>
      <c r="C22" s="1911">
        <f t="shared" ref="C22:R22" si="1">C36</f>
        <v>21.933252701547758</v>
      </c>
      <c r="D22" s="1911">
        <f t="shared" si="1"/>
        <v>17.976510129872718</v>
      </c>
      <c r="E22" s="1911">
        <f t="shared" si="1"/>
        <v>20.509456999790618</v>
      </c>
      <c r="F22" s="1911">
        <f t="shared" si="1"/>
        <v>16.222370288108483</v>
      </c>
      <c r="G22" s="1911">
        <f t="shared" si="1"/>
        <v>3.3523321392633116</v>
      </c>
      <c r="H22" s="1911">
        <f t="shared" si="1"/>
        <v>2.2171468133700474</v>
      </c>
      <c r="I22" s="1911">
        <f t="shared" si="1"/>
        <v>71.04528428892624</v>
      </c>
      <c r="J22" s="1911">
        <f t="shared" si="1"/>
        <v>60.682507693667006</v>
      </c>
      <c r="K22" s="1911">
        <f t="shared" si="1"/>
        <v>1.6929227193284293</v>
      </c>
      <c r="L22" s="1911">
        <f t="shared" si="1"/>
        <v>1.1214976033971031</v>
      </c>
      <c r="M22" s="1911">
        <f t="shared" si="1"/>
        <v>12.546466863825762</v>
      </c>
      <c r="N22" s="1911">
        <f t="shared" si="1"/>
        <v>5.7559322628724079</v>
      </c>
      <c r="O22" s="1911">
        <f t="shared" si="1"/>
        <v>32.679854200461882</v>
      </c>
      <c r="P22" s="1911">
        <f t="shared" si="1"/>
        <v>23.551361749371893</v>
      </c>
      <c r="Q22" s="1911">
        <f t="shared" si="1"/>
        <v>67.099478145127264</v>
      </c>
      <c r="R22" s="1911">
        <f t="shared" si="1"/>
        <v>63.772666803159559</v>
      </c>
      <c r="S22" s="1915"/>
      <c r="T22" s="1916"/>
      <c r="U22" s="1916"/>
      <c r="V22" s="1916"/>
      <c r="W22" s="1916"/>
      <c r="X22" s="1916"/>
      <c r="Y22" s="1916"/>
      <c r="Z22" s="1916"/>
      <c r="AA22" s="1916"/>
    </row>
    <row r="23" spans="1:27" s="772" customFormat="1" ht="16.5" customHeight="1">
      <c r="A23" s="1910">
        <v>2024</v>
      </c>
      <c r="B23" s="1917"/>
      <c r="C23" s="1911">
        <f t="shared" ref="C23:R23" si="2">C40</f>
        <v>32</v>
      </c>
      <c r="D23" s="1911">
        <f t="shared" si="2"/>
        <v>16.899999999999999</v>
      </c>
      <c r="E23" s="1911">
        <f t="shared" si="2"/>
        <v>30.9</v>
      </c>
      <c r="F23" s="1911">
        <f t="shared" si="2"/>
        <v>15.4</v>
      </c>
      <c r="G23" s="1911">
        <f t="shared" si="2"/>
        <v>3.3</v>
      </c>
      <c r="H23" s="1911">
        <f t="shared" si="2"/>
        <v>2</v>
      </c>
      <c r="I23" s="1911">
        <f t="shared" si="2"/>
        <v>57.3</v>
      </c>
      <c r="J23" s="1911">
        <f t="shared" si="2"/>
        <v>60.3</v>
      </c>
      <c r="K23" s="1911">
        <f t="shared" si="2"/>
        <v>1.8</v>
      </c>
      <c r="L23" s="1911">
        <f t="shared" si="2"/>
        <v>1</v>
      </c>
      <c r="M23" s="1911">
        <f t="shared" si="2"/>
        <v>11.1</v>
      </c>
      <c r="N23" s="1911">
        <f t="shared" si="2"/>
        <v>7.1</v>
      </c>
      <c r="O23" s="1911">
        <f t="shared" si="2"/>
        <v>40.799999999999997</v>
      </c>
      <c r="P23" s="1911">
        <f t="shared" si="2"/>
        <v>22</v>
      </c>
      <c r="Q23" s="1911">
        <f t="shared" si="2"/>
        <v>66.099999999999994</v>
      </c>
      <c r="R23" s="1911">
        <f t="shared" si="2"/>
        <v>67.3</v>
      </c>
      <c r="S23" s="1915"/>
      <c r="T23" s="1916"/>
      <c r="U23" s="1916"/>
      <c r="V23" s="1916"/>
      <c r="W23" s="1916"/>
      <c r="X23" s="1916"/>
      <c r="Y23" s="1916"/>
      <c r="Z23" s="1916"/>
      <c r="AA23" s="1916"/>
    </row>
    <row r="24" spans="1:27" s="772" customFormat="1" ht="16.5" customHeight="1">
      <c r="A24" s="1913">
        <v>2025</v>
      </c>
      <c r="B24" s="1914"/>
      <c r="C24" s="1921">
        <f t="shared" ref="C24:R24" si="3">C44</f>
        <v>27.5</v>
      </c>
      <c r="D24" s="1921">
        <f t="shared" si="3"/>
        <v>17.2</v>
      </c>
      <c r="E24" s="1921">
        <f t="shared" si="3"/>
        <v>26.6</v>
      </c>
      <c r="F24" s="1921">
        <f t="shared" si="3"/>
        <v>16</v>
      </c>
      <c r="G24" s="1921">
        <f t="shared" si="3"/>
        <v>2.8</v>
      </c>
      <c r="H24" s="1921">
        <f t="shared" si="3"/>
        <v>2</v>
      </c>
      <c r="I24" s="1921">
        <f t="shared" si="3"/>
        <v>56.2</v>
      </c>
      <c r="J24" s="1921">
        <f t="shared" si="3"/>
        <v>65.7</v>
      </c>
      <c r="K24" s="1921">
        <f t="shared" si="3"/>
        <v>1.5</v>
      </c>
      <c r="L24" s="1921">
        <f t="shared" si="3"/>
        <v>0.8</v>
      </c>
      <c r="M24" s="1921">
        <f t="shared" si="3"/>
        <v>11.6</v>
      </c>
      <c r="N24" s="1921">
        <f t="shared" si="3"/>
        <v>6.5</v>
      </c>
      <c r="O24" s="1921">
        <f t="shared" si="3"/>
        <v>38</v>
      </c>
      <c r="P24" s="1921">
        <f t="shared" si="3"/>
        <v>22.9</v>
      </c>
      <c r="Q24" s="1921">
        <f t="shared" si="3"/>
        <v>66.5</v>
      </c>
      <c r="R24" s="1921">
        <f t="shared" si="3"/>
        <v>66</v>
      </c>
      <c r="S24" s="1916"/>
      <c r="T24" s="1916"/>
      <c r="U24" s="1916"/>
      <c r="V24" s="1916"/>
      <c r="W24" s="1916"/>
      <c r="X24" s="1916"/>
      <c r="Y24" s="1916"/>
      <c r="Z24" s="1916"/>
      <c r="AA24" s="1916"/>
    </row>
    <row r="25" spans="1:27" s="1916" customFormat="1" ht="21.25" customHeight="1">
      <c r="A25" s="1918">
        <v>2021</v>
      </c>
      <c r="B25" s="1919" t="s">
        <v>242</v>
      </c>
      <c r="C25" s="1911">
        <v>19.710229020089887</v>
      </c>
      <c r="D25" s="1911">
        <v>17.878401486413729</v>
      </c>
      <c r="E25" s="1911">
        <v>18.349888563559915</v>
      </c>
      <c r="F25" s="1911">
        <v>17.020840046076074</v>
      </c>
      <c r="G25" s="1911">
        <v>4.5726026452997441</v>
      </c>
      <c r="H25" s="1911">
        <v>3.6992396658984301</v>
      </c>
      <c r="I25" s="1911">
        <v>69.522495360674739</v>
      </c>
      <c r="J25" s="1911">
        <v>71.363990794826066</v>
      </c>
      <c r="K25" s="1911">
        <v>0.2881858919807142</v>
      </c>
      <c r="L25" s="1911">
        <v>0.18278010256338845</v>
      </c>
      <c r="M25" s="1911">
        <v>3.2507533355862006</v>
      </c>
      <c r="N25" s="1911">
        <v>0.82925787872131573</v>
      </c>
      <c r="O25" s="1911">
        <v>34.965241280077009</v>
      </c>
      <c r="P25" s="1911">
        <v>21.578295192903301</v>
      </c>
      <c r="Q25" s="1911">
        <v>67.789164473839207</v>
      </c>
      <c r="R25" s="1911">
        <v>63.928868625359371</v>
      </c>
    </row>
    <row r="26" spans="1:27" s="1916" customFormat="1" ht="16.5" customHeight="1">
      <c r="A26" s="1918"/>
      <c r="B26" s="1919" t="s">
        <v>243</v>
      </c>
      <c r="C26" s="1911">
        <v>20.350429548117898</v>
      </c>
      <c r="D26" s="1911">
        <v>17.565740328106696</v>
      </c>
      <c r="E26" s="1911">
        <v>18.944133065894029</v>
      </c>
      <c r="F26" s="1911">
        <v>16.708663698700697</v>
      </c>
      <c r="G26" s="1911">
        <v>4.3460324323773296</v>
      </c>
      <c r="H26" s="1911">
        <v>3.5577508331498704</v>
      </c>
      <c r="I26" s="1911">
        <v>69.602371987675824</v>
      </c>
      <c r="J26" s="1911">
        <v>73.90932908575644</v>
      </c>
      <c r="K26" s="1911">
        <v>0.71386746062448858</v>
      </c>
      <c r="L26" s="1911">
        <v>0.5588275137300972</v>
      </c>
      <c r="M26" s="1911">
        <v>5.7969680119970057</v>
      </c>
      <c r="N26" s="1911">
        <v>1.7328030222780413</v>
      </c>
      <c r="O26" s="1911">
        <v>34.087955227805075</v>
      </c>
      <c r="P26" s="1911">
        <v>24.535333371357751</v>
      </c>
      <c r="Q26" s="1911">
        <v>67.217357619659012</v>
      </c>
      <c r="R26" s="1911">
        <v>69.438036707148569</v>
      </c>
    </row>
    <row r="27" spans="1:27" s="1916" customFormat="1" ht="16.5" customHeight="1">
      <c r="A27" s="1918"/>
      <c r="B27" s="1919" t="s">
        <v>240</v>
      </c>
      <c r="C27" s="1911">
        <v>20.297829863150973</v>
      </c>
      <c r="D27" s="1911">
        <v>16.774455485772954</v>
      </c>
      <c r="E27" s="1911">
        <v>18.905606503338504</v>
      </c>
      <c r="F27" s="1911">
        <v>15.324303863077676</v>
      </c>
      <c r="G27" s="1911">
        <v>4.3068065567380049</v>
      </c>
      <c r="H27" s="1911">
        <v>3.5601132841016723</v>
      </c>
      <c r="I27" s="1911">
        <v>69.916525750926141</v>
      </c>
      <c r="J27" s="1911">
        <v>74.428689457087359</v>
      </c>
      <c r="K27" s="1911">
        <v>1.0171378403892144</v>
      </c>
      <c r="L27" s="1911">
        <v>0.79859777376070262</v>
      </c>
      <c r="M27" s="1911">
        <v>8.4633156960256564</v>
      </c>
      <c r="N27" s="1911">
        <v>2.758942770490008</v>
      </c>
      <c r="O27" s="1911">
        <v>34.207748662743619</v>
      </c>
      <c r="P27" s="1911">
        <v>23.801943186840145</v>
      </c>
      <c r="Q27" s="1911">
        <v>68.216527706712</v>
      </c>
      <c r="R27" s="1911">
        <v>67.054625712490719</v>
      </c>
    </row>
    <row r="28" spans="1:27" s="1916" customFormat="1" ht="16.5" customHeight="1">
      <c r="A28" s="1918"/>
      <c r="B28" s="1919" t="s">
        <v>241</v>
      </c>
      <c r="C28" s="1911">
        <v>20.64688255788618</v>
      </c>
      <c r="D28" s="1911">
        <v>17.119563252603452</v>
      </c>
      <c r="E28" s="1911">
        <v>19.239195615080202</v>
      </c>
      <c r="F28" s="1911">
        <v>15.645384682960376</v>
      </c>
      <c r="G28" s="1911">
        <v>3.9211391365104751</v>
      </c>
      <c r="H28" s="1911">
        <v>2.8382642645870702</v>
      </c>
      <c r="I28" s="1911">
        <v>71.934225884147097</v>
      </c>
      <c r="J28" s="1911">
        <v>72.807521469879475</v>
      </c>
      <c r="K28" s="1911">
        <v>1.2994018879816043</v>
      </c>
      <c r="L28" s="1911">
        <v>1.2561496587052907</v>
      </c>
      <c r="M28" s="1911">
        <v>10.852239077058394</v>
      </c>
      <c r="N28" s="1911">
        <v>3.5444600816482512</v>
      </c>
      <c r="O28" s="1911">
        <v>33.561529013212358</v>
      </c>
      <c r="P28" s="1911">
        <v>24.661923225362923</v>
      </c>
      <c r="Q28" s="1911">
        <v>69.284049249162607</v>
      </c>
      <c r="R28" s="1911">
        <v>68.687775700155967</v>
      </c>
    </row>
    <row r="29" spans="1:27" s="1916" customFormat="1" ht="20.25" customHeight="1">
      <c r="A29" s="1918">
        <v>2022</v>
      </c>
      <c r="B29" s="1919" t="s">
        <v>242</v>
      </c>
      <c r="C29" s="1911">
        <v>21.265434242094972</v>
      </c>
      <c r="D29" s="1911">
        <v>17.771323072374106</v>
      </c>
      <c r="E29" s="1911">
        <v>19.834481880594655</v>
      </c>
      <c r="F29" s="1911">
        <v>16.288528556862957</v>
      </c>
      <c r="G29" s="1911">
        <v>3.825588075086622</v>
      </c>
      <c r="H29" s="1911">
        <v>2.8723053938779781</v>
      </c>
      <c r="I29" s="1911">
        <v>72.621560399668141</v>
      </c>
      <c r="J29" s="1911">
        <v>71.795920207251143</v>
      </c>
      <c r="K29" s="1911">
        <v>0.31836696675979981</v>
      </c>
      <c r="L29" s="1911">
        <v>0.34982849304719171</v>
      </c>
      <c r="M29" s="1911">
        <v>3.2111499653172579</v>
      </c>
      <c r="N29" s="1911">
        <v>1.1385804730793103</v>
      </c>
      <c r="O29" s="1911">
        <v>31.321695084682926</v>
      </c>
      <c r="P29" s="1911">
        <v>23.053930624696669</v>
      </c>
      <c r="Q29" s="1911">
        <v>71.119944674122138</v>
      </c>
      <c r="R29" s="1911">
        <v>66.049874390230556</v>
      </c>
    </row>
    <row r="30" spans="1:27" s="1916" customFormat="1" ht="16.5" customHeight="1">
      <c r="A30" s="1918"/>
      <c r="B30" s="1919" t="s">
        <v>243</v>
      </c>
      <c r="C30" s="1911">
        <v>20.446180847620866</v>
      </c>
      <c r="D30" s="1911">
        <v>17.726530352802833</v>
      </c>
      <c r="E30" s="1911">
        <v>19.015565754871051</v>
      </c>
      <c r="F30" s="1911">
        <v>16.223372933861498</v>
      </c>
      <c r="G30" s="1911">
        <v>3.7795926595350906</v>
      </c>
      <c r="H30" s="1911">
        <v>2.5445969710714778</v>
      </c>
      <c r="I30" s="1911">
        <v>73.207590593915</v>
      </c>
      <c r="J30" s="1911">
        <v>69.565318083836601</v>
      </c>
      <c r="K30" s="1911">
        <v>0.77634273271515952</v>
      </c>
      <c r="L30" s="1911">
        <v>0.59321223449193849</v>
      </c>
      <c r="M30" s="1911">
        <v>6.5508121716107537</v>
      </c>
      <c r="N30" s="1911">
        <v>2.2950820564209486</v>
      </c>
      <c r="O30" s="1911">
        <v>34.101799547342573</v>
      </c>
      <c r="P30" s="1911">
        <v>21.90493586356591</v>
      </c>
      <c r="Q30" s="1911">
        <v>68.145564255370132</v>
      </c>
      <c r="R30" s="1911">
        <v>61.788429204212314</v>
      </c>
    </row>
    <row r="31" spans="1:27" s="1916" customFormat="1" ht="16.5" customHeight="1">
      <c r="A31" s="1918"/>
      <c r="B31" s="2292" t="s">
        <v>240</v>
      </c>
      <c r="C31" s="1911">
        <v>20.781644279330656</v>
      </c>
      <c r="D31" s="1911">
        <v>18.106863159110063</v>
      </c>
      <c r="E31" s="1911">
        <v>19.354582772959709</v>
      </c>
      <c r="F31" s="1911">
        <v>16.549560716546875</v>
      </c>
      <c r="G31" s="1911">
        <v>3.6876990272384593</v>
      </c>
      <c r="H31" s="1911">
        <v>2.4163012780220217</v>
      </c>
      <c r="I31" s="1911">
        <v>73.400657381930102</v>
      </c>
      <c r="J31" s="1911">
        <v>69.931086355504959</v>
      </c>
      <c r="K31" s="1911">
        <v>1.0134960665056043</v>
      </c>
      <c r="L31" s="1911">
        <v>0.86760283301713925</v>
      </c>
      <c r="M31" s="1911">
        <v>7.6824209802061896</v>
      </c>
      <c r="N31" s="1911">
        <v>3.332014882738918</v>
      </c>
      <c r="O31" s="1911">
        <v>31.555821777533854</v>
      </c>
      <c r="P31" s="1911">
        <v>21.056734798863047</v>
      </c>
      <c r="Q31" s="1911">
        <v>69.909022847950027</v>
      </c>
      <c r="R31" s="1911">
        <v>63.155211998376856</v>
      </c>
    </row>
    <row r="32" spans="1:27" s="1916" customFormat="1" ht="16.5" customHeight="1">
      <c r="A32" s="1918"/>
      <c r="B32" s="2292" t="s">
        <v>241</v>
      </c>
      <c r="C32" s="1911">
        <v>21.537467378089413</v>
      </c>
      <c r="D32" s="1911">
        <v>17.541649579766482</v>
      </c>
      <c r="E32" s="1911">
        <v>20.105463735937317</v>
      </c>
      <c r="F32" s="1911">
        <v>15.945960975355074</v>
      </c>
      <c r="G32" s="1911">
        <v>3.292529863949059</v>
      </c>
      <c r="H32" s="1911">
        <v>2.2722997732268113</v>
      </c>
      <c r="I32" s="1911">
        <v>74.331487082272346</v>
      </c>
      <c r="J32" s="1911">
        <v>67.027549802259045</v>
      </c>
      <c r="K32" s="1911">
        <v>1.4388142359538301</v>
      </c>
      <c r="L32" s="1911">
        <v>1.1915736565628721</v>
      </c>
      <c r="M32" s="1911">
        <v>10.99551932488149</v>
      </c>
      <c r="N32" s="1911">
        <v>4.5434629003691125</v>
      </c>
      <c r="O32" s="1911">
        <v>32.77941228785749</v>
      </c>
      <c r="P32" s="1911">
        <v>22.874417131395848</v>
      </c>
      <c r="Q32" s="1911">
        <v>68.773784343453897</v>
      </c>
      <c r="R32" s="1911">
        <v>68.251505943002783</v>
      </c>
    </row>
    <row r="33" spans="1:18" s="1916" customFormat="1" ht="20.25" customHeight="1">
      <c r="A33" s="1918">
        <v>2023</v>
      </c>
      <c r="B33" s="1919" t="s">
        <v>242</v>
      </c>
      <c r="C33" s="1911">
        <v>21.284260550234187</v>
      </c>
      <c r="D33" s="1911">
        <v>17.203432044829679</v>
      </c>
      <c r="E33" s="1911">
        <v>19.85354508876264</v>
      </c>
      <c r="F33" s="1911">
        <v>15.610580392098353</v>
      </c>
      <c r="G33" s="1911">
        <v>3.5654618809697061</v>
      </c>
      <c r="H33" s="1911">
        <v>2.0700222383418905</v>
      </c>
      <c r="I33" s="1911">
        <v>68.340508754697211</v>
      </c>
      <c r="J33" s="1911">
        <v>65.206636680303333</v>
      </c>
      <c r="K33" s="1911">
        <v>0.49277892778141025</v>
      </c>
      <c r="L33" s="1911">
        <v>0.31120017166601599</v>
      </c>
      <c r="M33" s="1911">
        <v>3.8897638964142836</v>
      </c>
      <c r="N33" s="1911">
        <v>1.6315035487844982</v>
      </c>
      <c r="O33" s="1911">
        <v>30.255805688221578</v>
      </c>
      <c r="P33" s="1911">
        <v>23.258963187147984</v>
      </c>
      <c r="Q33" s="1911">
        <v>69.221117111613779</v>
      </c>
      <c r="R33" s="1911">
        <v>65.168637806751349</v>
      </c>
    </row>
    <row r="34" spans="1:18" s="1916" customFormat="1" ht="16.5" customHeight="1">
      <c r="A34" s="1918"/>
      <c r="B34" s="2292" t="s">
        <v>243</v>
      </c>
      <c r="C34" s="1911">
        <v>21.699463671696435</v>
      </c>
      <c r="D34" s="1911">
        <v>16.980779607841242</v>
      </c>
      <c r="E34" s="1911">
        <v>20.276996638258769</v>
      </c>
      <c r="F34" s="1911">
        <v>15.301531228737153</v>
      </c>
      <c r="G34" s="1911">
        <v>3.6461177090634225</v>
      </c>
      <c r="H34" s="1911">
        <v>2.0944580064493912</v>
      </c>
      <c r="I34" s="1911">
        <v>66.661498868252139</v>
      </c>
      <c r="J34" s="1911">
        <v>61.091560994062597</v>
      </c>
      <c r="K34" s="1911">
        <v>0.92996130239839281</v>
      </c>
      <c r="L34" s="1911">
        <v>0.69215048900897758</v>
      </c>
      <c r="M34" s="1911">
        <v>7.1305194203699882</v>
      </c>
      <c r="N34" s="1911">
        <v>3.2139196661034646</v>
      </c>
      <c r="O34" s="1911">
        <v>30.871711535208007</v>
      </c>
      <c r="P34" s="1911">
        <v>19.94584849963611</v>
      </c>
      <c r="Q34" s="1911">
        <v>71.359381678027461</v>
      </c>
      <c r="R34" s="1911">
        <v>62.083903390797182</v>
      </c>
    </row>
    <row r="35" spans="1:18" s="1916" customFormat="1" ht="16.5" customHeight="1">
      <c r="A35" s="1918"/>
      <c r="B35" s="2292" t="s">
        <v>240</v>
      </c>
      <c r="C35" s="1911">
        <v>21.735417990731911</v>
      </c>
      <c r="D35" s="1911">
        <v>17.17211559218244</v>
      </c>
      <c r="E35" s="1911">
        <v>20.315592550816355</v>
      </c>
      <c r="F35" s="1911">
        <v>15.519780023531432</v>
      </c>
      <c r="G35" s="1911">
        <v>3.4479119596236307</v>
      </c>
      <c r="H35" s="1911">
        <v>2.2960667237536128</v>
      </c>
      <c r="I35" s="1911">
        <v>66.620346823609182</v>
      </c>
      <c r="J35" s="1911">
        <v>59.626218436715476</v>
      </c>
      <c r="K35" s="1911">
        <v>1.3676870538808594</v>
      </c>
      <c r="L35" s="1911">
        <v>0.90546693291388269</v>
      </c>
      <c r="M35" s="1911">
        <v>10.330458492970674</v>
      </c>
      <c r="N35" s="1911">
        <v>4.8621315490667554</v>
      </c>
      <c r="O35" s="1911">
        <v>30.647804619395558</v>
      </c>
      <c r="P35" s="1911">
        <v>21.302725850433362</v>
      </c>
      <c r="Q35" s="1911">
        <v>69.846968640180123</v>
      </c>
      <c r="R35" s="1911">
        <v>63.837537348140764</v>
      </c>
    </row>
    <row r="36" spans="1:18" s="1916" customFormat="1" ht="16.5" customHeight="1">
      <c r="A36" s="1918"/>
      <c r="B36" s="2292" t="s">
        <v>241</v>
      </c>
      <c r="C36" s="1911">
        <v>21.933252701547758</v>
      </c>
      <c r="D36" s="1911">
        <v>17.976510129872718</v>
      </c>
      <c r="E36" s="1911">
        <v>20.509456999790618</v>
      </c>
      <c r="F36" s="1911">
        <v>16.222370288108483</v>
      </c>
      <c r="G36" s="1911">
        <v>3.3523321392633116</v>
      </c>
      <c r="H36" s="1911">
        <v>2.2171468133700474</v>
      </c>
      <c r="I36" s="1911">
        <v>71.04528428892624</v>
      </c>
      <c r="J36" s="1911">
        <v>60.682507693667006</v>
      </c>
      <c r="K36" s="1911">
        <v>1.6929227193284293</v>
      </c>
      <c r="L36" s="1911">
        <v>1.1214976033971031</v>
      </c>
      <c r="M36" s="1911">
        <v>12.546466863825762</v>
      </c>
      <c r="N36" s="1911">
        <v>5.7559322628724079</v>
      </c>
      <c r="O36" s="1911">
        <v>32.679854200461882</v>
      </c>
      <c r="P36" s="1911">
        <v>23.551361749371893</v>
      </c>
      <c r="Q36" s="1911">
        <v>67.099478145127264</v>
      </c>
      <c r="R36" s="1911">
        <v>63.772666803159559</v>
      </c>
    </row>
    <row r="37" spans="1:18" s="1916" customFormat="1" ht="20.25" customHeight="1">
      <c r="A37" s="1918">
        <v>2024</v>
      </c>
      <c r="B37" s="1919" t="s">
        <v>242</v>
      </c>
      <c r="C37" s="1911">
        <v>33</v>
      </c>
      <c r="D37" s="1911">
        <v>18.2</v>
      </c>
      <c r="E37" s="1911">
        <v>32.4</v>
      </c>
      <c r="F37" s="1911">
        <v>16.399999999999999</v>
      </c>
      <c r="G37" s="1911">
        <v>3.7</v>
      </c>
      <c r="H37" s="1911">
        <v>2.2000000000000002</v>
      </c>
      <c r="I37" s="1911">
        <v>66.599999999999994</v>
      </c>
      <c r="J37" s="1911">
        <v>60.5</v>
      </c>
      <c r="K37" s="1911">
        <v>0.5</v>
      </c>
      <c r="L37" s="1911">
        <v>0.5</v>
      </c>
      <c r="M37" s="1911">
        <v>3.4</v>
      </c>
      <c r="N37" s="1911">
        <v>2.2000000000000002</v>
      </c>
      <c r="O37" s="1911">
        <v>40.200000000000003</v>
      </c>
      <c r="P37" s="1911">
        <v>27.7</v>
      </c>
      <c r="Q37" s="1911">
        <v>64.900000000000006</v>
      </c>
      <c r="R37" s="1911">
        <v>60.2</v>
      </c>
    </row>
    <row r="38" spans="1:18" s="1916" customFormat="1" ht="16.5" customHeight="1">
      <c r="A38" s="1918"/>
      <c r="B38" s="2292" t="s">
        <v>243</v>
      </c>
      <c r="C38" s="1911">
        <v>32.9</v>
      </c>
      <c r="D38" s="1911">
        <v>16.7</v>
      </c>
      <c r="E38" s="1911">
        <v>31.8</v>
      </c>
      <c r="F38" s="1911">
        <v>15.2</v>
      </c>
      <c r="G38" s="1911">
        <v>4</v>
      </c>
      <c r="H38" s="1911">
        <v>2.2000000000000002</v>
      </c>
      <c r="I38" s="1911">
        <v>60.6</v>
      </c>
      <c r="J38" s="1911">
        <v>63.7</v>
      </c>
      <c r="K38" s="1911">
        <v>0.9</v>
      </c>
      <c r="L38" s="1911">
        <v>0.6</v>
      </c>
      <c r="M38" s="1911">
        <v>5.9</v>
      </c>
      <c r="N38" s="1911">
        <v>3.8</v>
      </c>
      <c r="O38" s="1911">
        <v>37.799999999999997</v>
      </c>
      <c r="P38" s="1911">
        <v>21.1</v>
      </c>
      <c r="Q38" s="1911">
        <v>66.3</v>
      </c>
      <c r="R38" s="1911">
        <v>63.7</v>
      </c>
    </row>
    <row r="39" spans="1:18" s="1916" customFormat="1" ht="16.5" customHeight="1">
      <c r="A39" s="1918"/>
      <c r="B39" s="2292" t="s">
        <v>240</v>
      </c>
      <c r="C39" s="1911">
        <v>32</v>
      </c>
      <c r="D39" s="1911">
        <v>16.3</v>
      </c>
      <c r="E39" s="1911">
        <v>30.9</v>
      </c>
      <c r="F39" s="1911">
        <v>14.9</v>
      </c>
      <c r="G39" s="1911">
        <v>3.4</v>
      </c>
      <c r="H39" s="1911">
        <v>2.1</v>
      </c>
      <c r="I39" s="1911">
        <v>56.8</v>
      </c>
      <c r="J39" s="1911">
        <v>61.2</v>
      </c>
      <c r="K39" s="1911">
        <v>1.3</v>
      </c>
      <c r="L39" s="1911">
        <v>0.9</v>
      </c>
      <c r="M39" s="1911">
        <v>8.5</v>
      </c>
      <c r="N39" s="1911">
        <v>5.5</v>
      </c>
      <c r="O39" s="1911">
        <v>40.799999999999997</v>
      </c>
      <c r="P39" s="1911">
        <v>22.9</v>
      </c>
      <c r="Q39" s="1911">
        <v>65</v>
      </c>
      <c r="R39" s="1911">
        <v>63.6</v>
      </c>
    </row>
    <row r="40" spans="1:18" s="1916" customFormat="1" ht="16.5" customHeight="1">
      <c r="A40" s="1918"/>
      <c r="B40" s="2292" t="s">
        <v>241</v>
      </c>
      <c r="C40" s="1911">
        <v>32</v>
      </c>
      <c r="D40" s="1911">
        <v>16.899999999999999</v>
      </c>
      <c r="E40" s="1911">
        <v>30.9</v>
      </c>
      <c r="F40" s="1911">
        <v>15.4</v>
      </c>
      <c r="G40" s="1911">
        <v>3.3</v>
      </c>
      <c r="H40" s="1911">
        <v>2</v>
      </c>
      <c r="I40" s="1911">
        <v>57.3</v>
      </c>
      <c r="J40" s="1911">
        <v>60.3</v>
      </c>
      <c r="K40" s="1911">
        <v>1.8</v>
      </c>
      <c r="L40" s="1911">
        <v>1</v>
      </c>
      <c r="M40" s="1911">
        <v>11.1</v>
      </c>
      <c r="N40" s="1911">
        <v>7.1</v>
      </c>
      <c r="O40" s="1911">
        <v>40.799999999999997</v>
      </c>
      <c r="P40" s="1911">
        <v>22</v>
      </c>
      <c r="Q40" s="1911">
        <v>66.099999999999994</v>
      </c>
      <c r="R40" s="1911">
        <v>67.3</v>
      </c>
    </row>
    <row r="41" spans="1:18" s="1916" customFormat="1" ht="20.25" customHeight="1">
      <c r="A41" s="1918">
        <v>2025</v>
      </c>
      <c r="B41" s="2498" t="s">
        <v>242</v>
      </c>
      <c r="C41" s="1911">
        <v>29.4</v>
      </c>
      <c r="D41" s="1911">
        <v>16.600000000000001</v>
      </c>
      <c r="E41" s="1911">
        <v>28.4</v>
      </c>
      <c r="F41" s="1911">
        <v>15.1</v>
      </c>
      <c r="G41" s="1911">
        <v>3.1</v>
      </c>
      <c r="H41" s="1911">
        <v>1.9</v>
      </c>
      <c r="I41" s="1911">
        <v>58.8</v>
      </c>
      <c r="J41" s="1911">
        <v>56.3</v>
      </c>
      <c r="K41" s="1911">
        <v>0.5</v>
      </c>
      <c r="L41" s="1911">
        <v>0.2</v>
      </c>
      <c r="M41" s="1911">
        <v>3.7</v>
      </c>
      <c r="N41" s="1911">
        <v>1.9</v>
      </c>
      <c r="O41" s="1911">
        <v>39.4</v>
      </c>
      <c r="P41" s="1911">
        <v>20.5</v>
      </c>
      <c r="Q41" s="1911">
        <v>66.400000000000006</v>
      </c>
      <c r="R41" s="1911">
        <v>67.8</v>
      </c>
    </row>
    <row r="42" spans="1:18" s="1916" customFormat="1" ht="16.5" customHeight="1">
      <c r="A42" s="1918"/>
      <c r="B42" s="2497" t="s">
        <v>243</v>
      </c>
      <c r="C42" s="1911">
        <v>29.7</v>
      </c>
      <c r="D42" s="1911">
        <v>16.2</v>
      </c>
      <c r="E42" s="1911">
        <v>28.6</v>
      </c>
      <c r="F42" s="1911">
        <v>14.9</v>
      </c>
      <c r="G42" s="1911">
        <v>2.9</v>
      </c>
      <c r="H42" s="1911">
        <v>1.8</v>
      </c>
      <c r="I42" s="1911">
        <v>56.5</v>
      </c>
      <c r="J42" s="1911">
        <v>62.5</v>
      </c>
      <c r="K42" s="1911">
        <v>0.7</v>
      </c>
      <c r="L42" s="1911">
        <v>0.4</v>
      </c>
      <c r="M42" s="1911">
        <v>6.4</v>
      </c>
      <c r="N42" s="1911">
        <v>3.8</v>
      </c>
      <c r="O42" s="1911">
        <v>39.1</v>
      </c>
      <c r="P42" s="1911">
        <v>21.8</v>
      </c>
      <c r="Q42" s="1911">
        <v>65.8</v>
      </c>
      <c r="R42" s="1911">
        <v>67.3</v>
      </c>
    </row>
    <row r="43" spans="1:18" s="1916" customFormat="1" ht="16.5" customHeight="1">
      <c r="A43" s="1918"/>
      <c r="B43" s="2497" t="s">
        <v>240</v>
      </c>
      <c r="C43" s="1911">
        <v>29.7</v>
      </c>
      <c r="D43" s="1911">
        <v>16.600000000000001</v>
      </c>
      <c r="E43" s="1911">
        <v>28.7</v>
      </c>
      <c r="F43" s="1911">
        <v>15.3</v>
      </c>
      <c r="G43" s="1911">
        <v>2.9</v>
      </c>
      <c r="H43" s="1911">
        <v>1.9</v>
      </c>
      <c r="I43" s="1911">
        <v>56.7</v>
      </c>
      <c r="J43" s="1911">
        <v>63.7</v>
      </c>
      <c r="K43" s="1911">
        <v>1.1000000000000001</v>
      </c>
      <c r="L43" s="1911">
        <v>0.6</v>
      </c>
      <c r="M43" s="1911">
        <v>8.8000000000000007</v>
      </c>
      <c r="N43" s="1911">
        <v>5.3</v>
      </c>
      <c r="O43" s="1911">
        <v>38.799999999999997</v>
      </c>
      <c r="P43" s="1911">
        <v>22.8</v>
      </c>
      <c r="Q43" s="1911">
        <v>66.400000000000006</v>
      </c>
      <c r="R43" s="1911">
        <v>68.7</v>
      </c>
    </row>
    <row r="44" spans="1:18" s="1916" customFormat="1" ht="16.5" customHeight="1">
      <c r="A44" s="1918"/>
      <c r="B44" s="2497" t="s">
        <v>241</v>
      </c>
      <c r="C44" s="1911">
        <v>27.5</v>
      </c>
      <c r="D44" s="1911">
        <v>17.2</v>
      </c>
      <c r="E44" s="1911">
        <v>26.6</v>
      </c>
      <c r="F44" s="1911">
        <v>16</v>
      </c>
      <c r="G44" s="1911">
        <v>2.8</v>
      </c>
      <c r="H44" s="1911">
        <v>2</v>
      </c>
      <c r="I44" s="1911">
        <v>56.2</v>
      </c>
      <c r="J44" s="1911">
        <v>65.7</v>
      </c>
      <c r="K44" s="1911">
        <v>1.5</v>
      </c>
      <c r="L44" s="1911">
        <v>0.8</v>
      </c>
      <c r="M44" s="1911">
        <v>11.6</v>
      </c>
      <c r="N44" s="1911">
        <v>6.5</v>
      </c>
      <c r="O44" s="1911">
        <v>38</v>
      </c>
      <c r="P44" s="1911">
        <v>22.9</v>
      </c>
      <c r="Q44" s="1911">
        <v>66.5</v>
      </c>
      <c r="R44" s="1911">
        <v>66</v>
      </c>
    </row>
    <row r="45" spans="1:18" s="1916" customFormat="1" ht="20.149999999999999" customHeight="1">
      <c r="A45" s="1918">
        <v>2026</v>
      </c>
      <c r="B45" s="2498" t="s">
        <v>242</v>
      </c>
      <c r="C45" s="1921">
        <v>25.2</v>
      </c>
      <c r="D45" s="1921">
        <v>17.399999999999999</v>
      </c>
      <c r="E45" s="1921">
        <v>24.3</v>
      </c>
      <c r="F45" s="1921">
        <v>16.2</v>
      </c>
      <c r="G45" s="1921">
        <v>2.7</v>
      </c>
      <c r="H45" s="1921">
        <v>2</v>
      </c>
      <c r="I45" s="1921">
        <v>55.5</v>
      </c>
      <c r="J45" s="1921">
        <v>65.2</v>
      </c>
      <c r="K45" s="1921">
        <v>0.5</v>
      </c>
      <c r="L45" s="1921">
        <v>0.1</v>
      </c>
      <c r="M45" s="1921">
        <v>3.4</v>
      </c>
      <c r="N45" s="1921">
        <v>0.9</v>
      </c>
      <c r="O45" s="1921">
        <v>47.7</v>
      </c>
      <c r="P45" s="1921">
        <v>23.4</v>
      </c>
      <c r="Q45" s="1921">
        <v>63.9</v>
      </c>
      <c r="R45" s="1921">
        <v>64.3</v>
      </c>
    </row>
    <row r="46" spans="1:18" ht="21.25" customHeight="1">
      <c r="A46" s="761" t="s">
        <v>1190</v>
      </c>
      <c r="B46" s="761"/>
      <c r="C46" s="761"/>
      <c r="D46" s="761"/>
      <c r="E46" s="761"/>
      <c r="F46" s="761"/>
      <c r="G46" s="761"/>
      <c r="H46" s="761"/>
      <c r="I46" s="761"/>
      <c r="J46" s="761"/>
      <c r="K46" s="761"/>
      <c r="L46" s="761"/>
      <c r="M46" s="761"/>
      <c r="N46" s="761"/>
      <c r="O46" s="761"/>
      <c r="P46" s="761"/>
      <c r="Q46" s="1952"/>
      <c r="R46" s="1953" t="s">
        <v>1202</v>
      </c>
    </row>
    <row r="47" spans="1:18" ht="13.75" customHeight="1">
      <c r="A47" s="744" t="s">
        <v>1192</v>
      </c>
      <c r="C47" s="1951"/>
      <c r="D47" s="1951"/>
      <c r="E47" s="1951"/>
      <c r="F47" s="1951"/>
      <c r="G47" s="1951"/>
      <c r="H47" s="1951"/>
      <c r="I47" s="1951"/>
      <c r="J47" s="1951"/>
      <c r="K47" s="1951"/>
      <c r="L47" s="1951"/>
      <c r="M47" s="1951"/>
      <c r="N47" s="1951"/>
      <c r="O47" s="1951"/>
      <c r="P47" s="1951"/>
      <c r="Q47" s="1951"/>
      <c r="R47" s="1950" t="s">
        <v>1193</v>
      </c>
    </row>
    <row r="48" spans="1:18" ht="13.75" customHeight="1">
      <c r="C48" s="1951"/>
      <c r="D48" s="1951"/>
      <c r="E48" s="1951"/>
      <c r="F48" s="1951"/>
      <c r="G48" s="1951"/>
      <c r="H48" s="1951"/>
      <c r="I48" s="1951"/>
      <c r="J48" s="1951"/>
      <c r="K48" s="1951"/>
      <c r="L48" s="1951"/>
      <c r="M48" s="1951"/>
      <c r="N48" s="1951"/>
      <c r="O48" s="1951"/>
      <c r="P48" s="1951"/>
      <c r="Q48" s="1951"/>
      <c r="R48" s="1950"/>
    </row>
    <row r="49" spans="1:18" ht="14">
      <c r="A49" s="1218" t="s">
        <v>1203</v>
      </c>
      <c r="B49" s="743"/>
      <c r="C49" s="743"/>
      <c r="D49" s="743"/>
      <c r="E49" s="743"/>
      <c r="F49" s="743"/>
      <c r="G49" s="743"/>
      <c r="H49" s="743"/>
      <c r="I49" s="743"/>
      <c r="J49" s="743"/>
      <c r="K49" s="743"/>
      <c r="L49" s="743"/>
      <c r="M49" s="743"/>
      <c r="N49" s="743"/>
      <c r="O49" s="743"/>
      <c r="P49" s="743"/>
      <c r="Q49" s="743"/>
      <c r="R49" s="743"/>
    </row>
    <row r="50" spans="1:18" ht="14">
      <c r="A50" s="799"/>
      <c r="B50" s="743"/>
      <c r="C50" s="743"/>
      <c r="D50" s="743"/>
      <c r="E50" s="743"/>
      <c r="F50" s="743"/>
      <c r="G50" s="743"/>
      <c r="H50" s="743"/>
      <c r="I50" s="743"/>
      <c r="J50" s="743"/>
      <c r="K50" s="743"/>
      <c r="L50" s="743"/>
      <c r="M50" s="743"/>
      <c r="N50" s="743"/>
      <c r="O50" s="743"/>
      <c r="P50" s="743"/>
      <c r="Q50" s="743"/>
      <c r="R50" s="743"/>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4" right="0.4" top="0.5" bottom="0.5" header="0.3" footer="0.3"/>
  <pageSetup paperSize="9" scale="5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tabColor rgb="FF00B0F0"/>
    <pageSetUpPr fitToPage="1"/>
  </sheetPr>
  <dimension ref="A1:AA50"/>
  <sheetViews>
    <sheetView zoomScale="90" zoomScaleNormal="90" zoomScaleSheetLayoutView="70" workbookViewId="0">
      <pane ySplit="13" topLeftCell="A44" activePane="bottomLeft" state="frozen"/>
      <selection activeCell="H46" sqref="H46"/>
      <selection pane="bottomLeft" activeCell="H46" sqref="H46"/>
    </sheetView>
  </sheetViews>
  <sheetFormatPr defaultColWidth="9.1796875" defaultRowHeight="12.5"/>
  <cols>
    <col min="1" max="2" width="9.7265625" style="744" customWidth="1"/>
    <col min="3" max="3" width="12.7265625" style="744" customWidth="1"/>
    <col min="4" max="4" width="12.453125" style="744" customWidth="1"/>
    <col min="5" max="9" width="12.81640625" style="744" customWidth="1"/>
    <col min="10" max="10" width="14" style="744" customWidth="1"/>
    <col min="11" max="11" width="12.26953125" style="744" bestFit="1" customWidth="1"/>
    <col min="12" max="12" width="12.81640625" style="744" customWidth="1"/>
    <col min="13" max="13" width="13.453125" style="744" customWidth="1"/>
    <col min="14" max="14" width="13.1796875" style="744" customWidth="1"/>
    <col min="15" max="15" width="13.81640625" style="744" customWidth="1"/>
    <col min="16" max="16" width="12.453125" style="744" customWidth="1"/>
    <col min="17" max="17" width="13.7265625" style="744" customWidth="1"/>
    <col min="18" max="18" width="12.81640625" style="744" customWidth="1"/>
    <col min="19" max="16384" width="9.1796875" style="744"/>
  </cols>
  <sheetData>
    <row r="1" spans="1:18" ht="18" customHeight="1">
      <c r="A1" s="1901" t="s">
        <v>1204</v>
      </c>
      <c r="B1" s="1901"/>
      <c r="C1" s="1901"/>
      <c r="D1" s="1901"/>
      <c r="E1" s="1901"/>
      <c r="F1" s="1901"/>
      <c r="G1" s="1901"/>
      <c r="H1" s="1901"/>
      <c r="I1" s="1901"/>
      <c r="J1" s="1901"/>
      <c r="K1" s="1901"/>
      <c r="L1" s="1901"/>
      <c r="M1" s="1901"/>
      <c r="N1" s="1901"/>
      <c r="O1" s="1901"/>
      <c r="P1" s="1901"/>
      <c r="Q1" s="1901"/>
      <c r="R1" s="1901"/>
    </row>
    <row r="2" spans="1:18" ht="18" customHeight="1">
      <c r="A2" s="1901" t="s">
        <v>1164</v>
      </c>
      <c r="B2" s="1901"/>
      <c r="C2" s="1901"/>
      <c r="D2" s="1901"/>
      <c r="E2" s="1901"/>
      <c r="F2" s="1901"/>
      <c r="G2" s="1901"/>
      <c r="H2" s="1901"/>
      <c r="I2" s="1901"/>
      <c r="J2" s="1901"/>
      <c r="K2" s="1901"/>
      <c r="L2" s="1901"/>
      <c r="M2" s="1901"/>
      <c r="N2" s="1901"/>
      <c r="O2" s="1901"/>
      <c r="P2" s="1901"/>
      <c r="Q2" s="1901"/>
      <c r="R2" s="1901"/>
    </row>
    <row r="3" spans="1:18" ht="16" customHeight="1">
      <c r="A3" s="1902" t="s">
        <v>68</v>
      </c>
      <c r="B3" s="768"/>
      <c r="C3" s="768"/>
      <c r="D3" s="768"/>
      <c r="E3" s="768"/>
      <c r="F3" s="768"/>
      <c r="G3" s="768"/>
      <c r="H3" s="768"/>
      <c r="I3" s="768"/>
      <c r="J3" s="768"/>
      <c r="K3" s="768"/>
      <c r="L3" s="768"/>
      <c r="M3" s="768"/>
      <c r="N3" s="768"/>
      <c r="O3" s="768"/>
      <c r="P3" s="768"/>
      <c r="Q3" s="768"/>
      <c r="R3" s="768"/>
    </row>
    <row r="4" spans="1:18" ht="18">
      <c r="A4" s="2663" t="s">
        <v>65</v>
      </c>
      <c r="B4" s="2663"/>
      <c r="C4" s="2663"/>
      <c r="D4" s="2663"/>
      <c r="E4" s="2663"/>
      <c r="F4" s="2663"/>
      <c r="G4" s="2663"/>
      <c r="H4" s="2663"/>
      <c r="I4" s="2663"/>
      <c r="J4" s="2663"/>
      <c r="K4" s="2663"/>
      <c r="L4" s="2663"/>
      <c r="M4" s="2663"/>
      <c r="N4" s="2663"/>
      <c r="O4" s="2663"/>
      <c r="P4" s="2663"/>
      <c r="Q4" s="2663"/>
      <c r="R4" s="2663"/>
    </row>
    <row r="5" spans="1:18" ht="16" customHeight="1">
      <c r="A5" s="2664" t="s">
        <v>64</v>
      </c>
      <c r="B5" s="2664"/>
      <c r="C5" s="2664"/>
      <c r="D5" s="2664"/>
      <c r="E5" s="2664"/>
      <c r="F5" s="2664"/>
      <c r="G5" s="2664"/>
      <c r="H5" s="2664"/>
      <c r="I5" s="2664"/>
      <c r="J5" s="2664"/>
      <c r="K5" s="2664"/>
      <c r="L5" s="2664"/>
      <c r="M5" s="2664"/>
      <c r="N5" s="2664"/>
      <c r="O5" s="2664"/>
      <c r="P5" s="2664"/>
      <c r="Q5" s="2664"/>
      <c r="R5" s="2664"/>
    </row>
    <row r="6" spans="1:18" ht="16" customHeight="1">
      <c r="A6" s="1902"/>
      <c r="B6" s="768"/>
      <c r="C6" s="768"/>
      <c r="D6" s="768"/>
      <c r="E6" s="768"/>
      <c r="F6" s="768"/>
      <c r="G6" s="768"/>
      <c r="H6" s="768"/>
      <c r="I6" s="768"/>
      <c r="J6" s="768"/>
      <c r="K6" s="768"/>
      <c r="L6" s="768"/>
      <c r="M6" s="768"/>
      <c r="N6" s="768"/>
      <c r="O6" s="768"/>
      <c r="P6" s="768"/>
      <c r="Q6" s="768"/>
      <c r="R6" s="768"/>
    </row>
    <row r="7" spans="1:18" s="747" customFormat="1" ht="14.9" customHeight="1">
      <c r="A7" s="2568" t="s">
        <v>1011</v>
      </c>
      <c r="B7" s="2566"/>
      <c r="C7" s="746"/>
      <c r="D7" s="746"/>
      <c r="E7" s="746"/>
      <c r="F7" s="746"/>
      <c r="G7" s="746"/>
      <c r="H7" s="746"/>
      <c r="I7" s="746"/>
      <c r="J7" s="746"/>
      <c r="K7" s="746"/>
      <c r="L7" s="746"/>
      <c r="M7" s="746"/>
      <c r="N7" s="746"/>
      <c r="O7" s="746"/>
      <c r="P7" s="746"/>
      <c r="Q7" s="746"/>
      <c r="R7" s="1904" t="s">
        <v>1012</v>
      </c>
    </row>
    <row r="8" spans="1:18" s="772" customFormat="1" ht="14.5" customHeight="1">
      <c r="A8" s="769"/>
      <c r="B8" s="770"/>
      <c r="C8" s="2569" t="s">
        <v>394</v>
      </c>
      <c r="D8" s="2665"/>
      <c r="E8" s="2665"/>
      <c r="F8" s="2570"/>
      <c r="G8" s="2569" t="s">
        <v>1167</v>
      </c>
      <c r="H8" s="2665"/>
      <c r="I8" s="2665"/>
      <c r="J8" s="2570"/>
      <c r="K8" s="2569" t="s">
        <v>1168</v>
      </c>
      <c r="L8" s="2665"/>
      <c r="M8" s="2665"/>
      <c r="N8" s="2570"/>
      <c r="O8" s="2569" t="s">
        <v>1169</v>
      </c>
      <c r="P8" s="2665"/>
      <c r="Q8" s="2665"/>
      <c r="R8" s="2570"/>
    </row>
    <row r="9" spans="1:18" s="772" customFormat="1" ht="14.25" customHeight="1">
      <c r="A9" s="1905"/>
      <c r="B9" s="1906"/>
      <c r="C9" s="2560" t="s">
        <v>1170</v>
      </c>
      <c r="D9" s="2666"/>
      <c r="E9" s="2666"/>
      <c r="F9" s="2561"/>
      <c r="G9" s="2560" t="s">
        <v>1171</v>
      </c>
      <c r="H9" s="2666"/>
      <c r="I9" s="2666"/>
      <c r="J9" s="2561"/>
      <c r="K9" s="2560" t="s">
        <v>1172</v>
      </c>
      <c r="L9" s="2666"/>
      <c r="M9" s="2666"/>
      <c r="N9" s="2561"/>
      <c r="O9" s="2560" t="s">
        <v>1173</v>
      </c>
      <c r="P9" s="2666" t="s">
        <v>1173</v>
      </c>
      <c r="Q9" s="2666"/>
      <c r="R9" s="2561"/>
    </row>
    <row r="10" spans="1:18" s="772" customFormat="1" ht="51" customHeight="1">
      <c r="A10" s="1905" t="s">
        <v>387</v>
      </c>
      <c r="B10" s="1906"/>
      <c r="C10" s="2667" t="s">
        <v>1174</v>
      </c>
      <c r="D10" s="2668"/>
      <c r="E10" s="2667" t="s">
        <v>1175</v>
      </c>
      <c r="F10" s="2668"/>
      <c r="G10" s="2667" t="s">
        <v>1176</v>
      </c>
      <c r="H10" s="2668"/>
      <c r="I10" s="2667" t="s">
        <v>1177</v>
      </c>
      <c r="J10" s="2668"/>
      <c r="K10" s="2667" t="s">
        <v>1198</v>
      </c>
      <c r="L10" s="2668"/>
      <c r="M10" s="2667" t="s">
        <v>1179</v>
      </c>
      <c r="N10" s="2668"/>
      <c r="O10" s="2667" t="s">
        <v>1180</v>
      </c>
      <c r="P10" s="2668"/>
      <c r="Q10" s="2667" t="s">
        <v>1181</v>
      </c>
      <c r="R10" s="2668"/>
    </row>
    <row r="11" spans="1:18" s="786" customFormat="1" ht="31.5" customHeight="1">
      <c r="A11" s="1907" t="s">
        <v>395</v>
      </c>
      <c r="B11" s="1908"/>
      <c r="C11" s="2669" t="s">
        <v>1182</v>
      </c>
      <c r="D11" s="2670"/>
      <c r="E11" s="2669" t="s">
        <v>1183</v>
      </c>
      <c r="F11" s="2670"/>
      <c r="G11" s="2669" t="s">
        <v>1184</v>
      </c>
      <c r="H11" s="2670"/>
      <c r="I11" s="2669" t="s">
        <v>1185</v>
      </c>
      <c r="J11" s="2670"/>
      <c r="K11" s="2669" t="s">
        <v>1186</v>
      </c>
      <c r="L11" s="2670"/>
      <c r="M11" s="2669" t="s">
        <v>1187</v>
      </c>
      <c r="N11" s="2670"/>
      <c r="O11" s="2671" t="s">
        <v>1188</v>
      </c>
      <c r="P11" s="2672"/>
      <c r="Q11" s="2671" t="s">
        <v>1189</v>
      </c>
      <c r="R11" s="2672"/>
    </row>
    <row r="12" spans="1:18" s="786" customFormat="1" ht="15.5">
      <c r="A12" s="1907"/>
      <c r="B12" s="1908"/>
      <c r="C12" s="777" t="s">
        <v>1199</v>
      </c>
      <c r="D12" s="778" t="s">
        <v>1200</v>
      </c>
      <c r="E12" s="777" t="s">
        <v>1199</v>
      </c>
      <c r="F12" s="778" t="s">
        <v>1200</v>
      </c>
      <c r="G12" s="777" t="s">
        <v>1199</v>
      </c>
      <c r="H12" s="778" t="s">
        <v>1200</v>
      </c>
      <c r="I12" s="777" t="s">
        <v>1199</v>
      </c>
      <c r="J12" s="778" t="s">
        <v>1200</v>
      </c>
      <c r="K12" s="777" t="s">
        <v>1199</v>
      </c>
      <c r="L12" s="778" t="s">
        <v>1200</v>
      </c>
      <c r="M12" s="777" t="s">
        <v>1199</v>
      </c>
      <c r="N12" s="778" t="s">
        <v>1200</v>
      </c>
      <c r="O12" s="777" t="s">
        <v>1199</v>
      </c>
      <c r="P12" s="778" t="s">
        <v>1200</v>
      </c>
      <c r="Q12" s="777" t="s">
        <v>1199</v>
      </c>
      <c r="R12" s="778" t="s">
        <v>1200</v>
      </c>
    </row>
    <row r="13" spans="1:18" s="786" customFormat="1" ht="14">
      <c r="A13" s="780"/>
      <c r="B13" s="781"/>
      <c r="C13" s="819" t="s">
        <v>513</v>
      </c>
      <c r="D13" s="820" t="s">
        <v>1201</v>
      </c>
      <c r="E13" s="819" t="s">
        <v>513</v>
      </c>
      <c r="F13" s="820" t="s">
        <v>1201</v>
      </c>
      <c r="G13" s="819" t="s">
        <v>513</v>
      </c>
      <c r="H13" s="820" t="s">
        <v>1201</v>
      </c>
      <c r="I13" s="819" t="s">
        <v>513</v>
      </c>
      <c r="J13" s="820" t="s">
        <v>1201</v>
      </c>
      <c r="K13" s="819" t="s">
        <v>513</v>
      </c>
      <c r="L13" s="820" t="s">
        <v>1201</v>
      </c>
      <c r="M13" s="819" t="s">
        <v>513</v>
      </c>
      <c r="N13" s="820" t="s">
        <v>1201</v>
      </c>
      <c r="O13" s="819" t="s">
        <v>513</v>
      </c>
      <c r="P13" s="820" t="s">
        <v>1201</v>
      </c>
      <c r="Q13" s="819" t="s">
        <v>513</v>
      </c>
      <c r="R13" s="820" t="s">
        <v>1201</v>
      </c>
    </row>
    <row r="14" spans="1:18" s="772" customFormat="1" ht="20.25" customHeight="1">
      <c r="A14" s="1910">
        <v>2015</v>
      </c>
      <c r="B14" s="799"/>
      <c r="C14" s="1911">
        <v>15.866674999204399</v>
      </c>
      <c r="D14" s="1911">
        <v>20.653148923608512</v>
      </c>
      <c r="E14" s="1911">
        <v>13.688763867893289</v>
      </c>
      <c r="F14" s="1911">
        <v>20.124081212441915</v>
      </c>
      <c r="G14" s="1911">
        <v>11.998646386462864</v>
      </c>
      <c r="H14" s="1911">
        <v>4.6153306132940806</v>
      </c>
      <c r="I14" s="1911">
        <v>39.571990435885354</v>
      </c>
      <c r="J14" s="1911">
        <v>81.197252147161763</v>
      </c>
      <c r="K14" s="1911">
        <v>0.18822912640583137</v>
      </c>
      <c r="L14" s="1911">
        <v>-0.50760509587381952</v>
      </c>
      <c r="M14" s="1911">
        <v>1.4393591464685849</v>
      </c>
      <c r="N14" s="1911">
        <v>-3.3881915176292567</v>
      </c>
      <c r="O14" s="1911">
        <v>9.9088814254713213</v>
      </c>
      <c r="P14" s="1911">
        <v>20.794402618314141</v>
      </c>
      <c r="Q14" s="1911">
        <v>77.996852868137296</v>
      </c>
      <c r="R14" s="1911">
        <v>61.764121864178712</v>
      </c>
    </row>
    <row r="15" spans="1:18" s="772" customFormat="1" ht="16" customHeight="1">
      <c r="A15" s="1910">
        <v>2016</v>
      </c>
      <c r="B15" s="799"/>
      <c r="C15" s="1911">
        <v>17.235010613901544</v>
      </c>
      <c r="D15" s="1911">
        <v>19.195597694432092</v>
      </c>
      <c r="E15" s="1911">
        <v>15.200791663737846</v>
      </c>
      <c r="F15" s="1911">
        <v>18.573701670315472</v>
      </c>
      <c r="G15" s="1911">
        <v>11.421567325948594</v>
      </c>
      <c r="H15" s="1911">
        <v>3.6854713826939078</v>
      </c>
      <c r="I15" s="1911">
        <v>40.088893374435472</v>
      </c>
      <c r="J15" s="1911">
        <v>81.42067251375633</v>
      </c>
      <c r="K15" s="1911">
        <v>0.39021737603055284</v>
      </c>
      <c r="L15" s="1911">
        <v>1.0753047579929509</v>
      </c>
      <c r="M15" s="1911">
        <v>3.2030190190818222</v>
      </c>
      <c r="N15" s="1911">
        <v>7.2424147601870752</v>
      </c>
      <c r="O15" s="1911">
        <v>13.63983692123395</v>
      </c>
      <c r="P15" s="1911">
        <v>17.702170846722652</v>
      </c>
      <c r="Q15" s="1911">
        <v>78.655391286876878</v>
      </c>
      <c r="R15" s="1911">
        <v>59.486552984480824</v>
      </c>
    </row>
    <row r="16" spans="1:18" s="772" customFormat="1" ht="16" customHeight="1">
      <c r="A16" s="1910">
        <v>2017</v>
      </c>
      <c r="B16" s="799"/>
      <c r="C16" s="1911">
        <v>18.597231289337422</v>
      </c>
      <c r="D16" s="1911">
        <v>18.256519584134733</v>
      </c>
      <c r="E16" s="1911">
        <v>15.489628314855583</v>
      </c>
      <c r="F16" s="1911">
        <v>17.665646107729323</v>
      </c>
      <c r="G16" s="1911">
        <v>10.001790659536855</v>
      </c>
      <c r="H16" s="1911">
        <v>2.5504962755369753</v>
      </c>
      <c r="I16" s="1911">
        <v>35.892064303069681</v>
      </c>
      <c r="J16" s="1911">
        <v>86.467674417408233</v>
      </c>
      <c r="K16" s="1911">
        <v>0.60140260754106067</v>
      </c>
      <c r="L16" s="1911">
        <v>0.9041736033411083</v>
      </c>
      <c r="M16" s="1911">
        <v>6.1433541797606832</v>
      </c>
      <c r="N16" s="1911">
        <v>6.2411490755842713</v>
      </c>
      <c r="O16" s="1911">
        <v>11.984584750580849</v>
      </c>
      <c r="P16" s="1911">
        <v>22.386654156278023</v>
      </c>
      <c r="Q16" s="1911">
        <v>89.757001255076247</v>
      </c>
      <c r="R16" s="1911">
        <v>60.439351421679909</v>
      </c>
    </row>
    <row r="17" spans="1:27" s="772" customFormat="1" ht="16.5" customHeight="1">
      <c r="A17" s="1910">
        <v>2018</v>
      </c>
      <c r="B17" s="1917"/>
      <c r="C17" s="1911">
        <v>17.820521748592487</v>
      </c>
      <c r="D17" s="1911">
        <v>17.912539877450765</v>
      </c>
      <c r="E17" s="1911">
        <v>14.894230734552643</v>
      </c>
      <c r="F17" s="1911">
        <v>16.875409007939091</v>
      </c>
      <c r="G17" s="1911">
        <v>9.4648173983528459</v>
      </c>
      <c r="H17" s="1911">
        <v>1.3227958000890094</v>
      </c>
      <c r="I17" s="1911">
        <v>39.393036203526087</v>
      </c>
      <c r="J17" s="1911">
        <v>79.569502273446403</v>
      </c>
      <c r="K17" s="1911">
        <v>0.58109528168399305</v>
      </c>
      <c r="L17" s="1911">
        <v>0.93238599218401996</v>
      </c>
      <c r="M17" s="1911">
        <v>6.6578710751986501</v>
      </c>
      <c r="N17" s="1911">
        <v>6.8950305444323128</v>
      </c>
      <c r="O17" s="1911">
        <v>14.056915885673401</v>
      </c>
      <c r="P17" s="1911">
        <v>12.639113874506464</v>
      </c>
      <c r="Q17" s="1911">
        <v>94.753776689689857</v>
      </c>
      <c r="R17" s="1911">
        <v>75.077777735309525</v>
      </c>
      <c r="S17" s="1915"/>
      <c r="T17" s="1916"/>
      <c r="U17" s="1916"/>
      <c r="V17" s="1916"/>
      <c r="W17" s="1916"/>
      <c r="X17" s="1916"/>
      <c r="Y17" s="1916"/>
      <c r="Z17" s="1916"/>
      <c r="AA17" s="1916"/>
    </row>
    <row r="18" spans="1:27" s="772" customFormat="1" ht="16.5" customHeight="1">
      <c r="A18" s="1910">
        <v>2019</v>
      </c>
      <c r="B18" s="1917"/>
      <c r="C18" s="1911">
        <v>18.340711061670319</v>
      </c>
      <c r="D18" s="1911">
        <v>18.241260544476891</v>
      </c>
      <c r="E18" s="1911">
        <v>15.697184529076132</v>
      </c>
      <c r="F18" s="1911">
        <v>17.057813825756334</v>
      </c>
      <c r="G18" s="1911">
        <v>10.370949634544392</v>
      </c>
      <c r="H18" s="1911">
        <v>1.088783107661631</v>
      </c>
      <c r="I18" s="1911">
        <v>36.707832703131707</v>
      </c>
      <c r="J18" s="1911">
        <v>93.816035393565073</v>
      </c>
      <c r="K18" s="1911">
        <v>0.40894190584099016</v>
      </c>
      <c r="L18" s="1911">
        <v>0.71816166462051856</v>
      </c>
      <c r="M18" s="1911">
        <v>4.727663523231489</v>
      </c>
      <c r="N18" s="1911">
        <v>6.3630287865944881</v>
      </c>
      <c r="O18" s="1911">
        <v>17.538120373357387</v>
      </c>
      <c r="P18" s="1911">
        <v>17.906429891400368</v>
      </c>
      <c r="Q18" s="1911">
        <v>68.583320088437233</v>
      </c>
      <c r="R18" s="1911">
        <v>66.508123690860927</v>
      </c>
      <c r="S18" s="1915"/>
      <c r="T18" s="1916"/>
      <c r="U18" s="1916"/>
      <c r="V18" s="1916"/>
      <c r="W18" s="1916"/>
      <c r="X18" s="1916"/>
      <c r="Y18" s="1916"/>
      <c r="Z18" s="1916"/>
      <c r="AA18" s="1916"/>
    </row>
    <row r="19" spans="1:27" s="772" customFormat="1" ht="16.5" customHeight="1">
      <c r="A19" s="1910">
        <v>2020</v>
      </c>
      <c r="B19" s="1917"/>
      <c r="C19" s="1911">
        <v>20.277029178404224</v>
      </c>
      <c r="D19" s="1911">
        <v>16.442431637949369</v>
      </c>
      <c r="E19" s="1911">
        <v>17.905600095545804</v>
      </c>
      <c r="F19" s="1911">
        <v>14.995063273494255</v>
      </c>
      <c r="G19" s="1911">
        <v>6.5237763766196473</v>
      </c>
      <c r="H19" s="1911">
        <v>1.5887339029211744</v>
      </c>
      <c r="I19" s="1911">
        <v>42.862850198424226</v>
      </c>
      <c r="J19" s="1911">
        <v>87.633001068496782</v>
      </c>
      <c r="K19" s="1911">
        <v>0.18761111530486138</v>
      </c>
      <c r="L19" s="1911">
        <v>0.29496733733199393</v>
      </c>
      <c r="M19" s="1911">
        <v>2.1365809718669677</v>
      </c>
      <c r="N19" s="1911">
        <v>3.1131464350149702</v>
      </c>
      <c r="O19" s="1911">
        <v>17.807608970237069</v>
      </c>
      <c r="P19" s="1911">
        <v>14.595868815949952</v>
      </c>
      <c r="Q19" s="1911">
        <v>67.041587948333444</v>
      </c>
      <c r="R19" s="1911">
        <v>59.299880688588068</v>
      </c>
      <c r="S19" s="1915"/>
      <c r="T19" s="1916"/>
      <c r="U19" s="1916"/>
      <c r="V19" s="1916"/>
      <c r="W19" s="1916"/>
      <c r="X19" s="1916"/>
      <c r="Y19" s="1916"/>
      <c r="Z19" s="1916"/>
      <c r="AA19" s="1916"/>
    </row>
    <row r="20" spans="1:27" s="772" customFormat="1" ht="16.5" customHeight="1">
      <c r="A20" s="1910">
        <v>2021</v>
      </c>
      <c r="B20" s="1917"/>
      <c r="C20" s="1911">
        <v>21.738638233407805</v>
      </c>
      <c r="D20" s="1911">
        <v>15.786312819327787</v>
      </c>
      <c r="E20" s="1911">
        <v>19.934081000208469</v>
      </c>
      <c r="F20" s="1911">
        <v>14.436404508225973</v>
      </c>
      <c r="G20" s="1911">
        <v>5.0492545987225697</v>
      </c>
      <c r="H20" s="1911">
        <v>0.70145334119164737</v>
      </c>
      <c r="I20" s="1911">
        <v>56.436486221906158</v>
      </c>
      <c r="J20" s="1911">
        <v>91.952521887944656</v>
      </c>
      <c r="K20" s="1911">
        <v>0.61178484989441873</v>
      </c>
      <c r="L20" s="1911">
        <v>0.82133737162927156</v>
      </c>
      <c r="M20" s="1911">
        <v>7.3183452808895382</v>
      </c>
      <c r="N20" s="1911">
        <v>9.9919341223515232</v>
      </c>
      <c r="O20" s="1911">
        <v>19.459308228380714</v>
      </c>
      <c r="P20" s="1911">
        <v>17.986290751259389</v>
      </c>
      <c r="Q20" s="1911">
        <v>64.270420008560237</v>
      </c>
      <c r="R20" s="1911">
        <v>59.370045630243375</v>
      </c>
      <c r="S20" s="1915"/>
      <c r="T20" s="1916"/>
      <c r="U20" s="1916"/>
      <c r="V20" s="1916"/>
      <c r="W20" s="1916"/>
      <c r="X20" s="1916"/>
      <c r="Y20" s="1916"/>
      <c r="Z20" s="1916"/>
      <c r="AA20" s="1916"/>
    </row>
    <row r="21" spans="1:27" s="772" customFormat="1" ht="16.5" customHeight="1">
      <c r="A21" s="1910">
        <v>2022</v>
      </c>
      <c r="B21" s="1917"/>
      <c r="C21" s="1911">
        <f t="shared" ref="C21:R21" si="0">C32</f>
        <v>21.204814675250162</v>
      </c>
      <c r="D21" s="1911">
        <f t="shared" si="0"/>
        <v>16.905150123165441</v>
      </c>
      <c r="E21" s="1911">
        <f t="shared" si="0"/>
        <v>19.70261638468326</v>
      </c>
      <c r="F21" s="1911">
        <f t="shared" si="0"/>
        <v>16.180489072230692</v>
      </c>
      <c r="G21" s="1911">
        <f t="shared" si="0"/>
        <v>4.8093161737589858</v>
      </c>
      <c r="H21" s="1911">
        <f t="shared" si="0"/>
        <v>4.7559375447699637</v>
      </c>
      <c r="I21" s="1911">
        <f t="shared" si="0"/>
        <v>54.768042702269028</v>
      </c>
      <c r="J21" s="1911">
        <f t="shared" si="0"/>
        <v>94.902974678441836</v>
      </c>
      <c r="K21" s="1911">
        <f t="shared" si="0"/>
        <v>0.87595227018522537</v>
      </c>
      <c r="L21" s="1911">
        <f t="shared" si="0"/>
        <v>1.100102681681584</v>
      </c>
      <c r="M21" s="1911">
        <f t="shared" si="0"/>
        <v>10.617069117244164</v>
      </c>
      <c r="N21" s="1911">
        <f t="shared" si="0"/>
        <v>10.270111723584328</v>
      </c>
      <c r="O21" s="1911">
        <f t="shared" si="0"/>
        <v>17.002769647396214</v>
      </c>
      <c r="P21" s="1911">
        <f t="shared" si="0"/>
        <v>13.787628081342373</v>
      </c>
      <c r="Q21" s="1911">
        <f t="shared" si="0"/>
        <v>62.14686370019303</v>
      </c>
      <c r="R21" s="1911">
        <f t="shared" si="0"/>
        <v>24.958679427474355</v>
      </c>
      <c r="S21" s="1915"/>
      <c r="T21" s="1916"/>
      <c r="U21" s="1916"/>
      <c r="V21" s="1916"/>
      <c r="W21" s="1916"/>
      <c r="X21" s="1916"/>
      <c r="Y21" s="1916"/>
      <c r="Z21" s="1916"/>
      <c r="AA21" s="1916"/>
    </row>
    <row r="22" spans="1:27" s="772" customFormat="1" ht="16.5" customHeight="1">
      <c r="A22" s="1910">
        <v>2023</v>
      </c>
      <c r="B22" s="1917"/>
      <c r="C22" s="1911">
        <f t="shared" ref="C22:R22" si="1">C36</f>
        <v>19.96305153756693</v>
      </c>
      <c r="D22" s="1911">
        <f t="shared" si="1"/>
        <v>17.378854683113332</v>
      </c>
      <c r="E22" s="1911">
        <f t="shared" si="1"/>
        <v>18.245928283180287</v>
      </c>
      <c r="F22" s="1911">
        <f t="shared" si="1"/>
        <v>16.531807790188662</v>
      </c>
      <c r="G22" s="1911">
        <f t="shared" si="1"/>
        <v>4.9295077007297978</v>
      </c>
      <c r="H22" s="1911">
        <f t="shared" si="1"/>
        <v>0.99112401615405099</v>
      </c>
      <c r="I22" s="1911">
        <f t="shared" si="1"/>
        <v>40.510930108623803</v>
      </c>
      <c r="J22" s="1911">
        <f t="shared" si="1"/>
        <v>87.51046908990962</v>
      </c>
      <c r="K22" s="1911">
        <f t="shared" si="1"/>
        <v>0.60608117266301587</v>
      </c>
      <c r="L22" s="1911">
        <f t="shared" si="1"/>
        <v>1.2840845161266219</v>
      </c>
      <c r="M22" s="1911">
        <f t="shared" si="1"/>
        <v>8.1738970833670184</v>
      </c>
      <c r="N22" s="1911">
        <f t="shared" si="1"/>
        <v>9.9930881596790204</v>
      </c>
      <c r="O22" s="1911">
        <f t="shared" si="1"/>
        <v>17.733423357233622</v>
      </c>
      <c r="P22" s="1911">
        <f t="shared" si="1"/>
        <v>19.927673120983716</v>
      </c>
      <c r="Q22" s="1911">
        <f t="shared" si="1"/>
        <v>61.43289413689056</v>
      </c>
      <c r="R22" s="1911">
        <f t="shared" si="1"/>
        <v>30.403678580265925</v>
      </c>
      <c r="S22" s="1915"/>
      <c r="T22" s="1916"/>
      <c r="U22" s="1916"/>
      <c r="V22" s="1916"/>
      <c r="W22" s="1916"/>
      <c r="X22" s="1916"/>
      <c r="Y22" s="1916"/>
      <c r="Z22" s="1916"/>
      <c r="AA22" s="1916"/>
    </row>
    <row r="23" spans="1:27" s="772" customFormat="1" ht="16.5" customHeight="1">
      <c r="A23" s="1910">
        <v>2024</v>
      </c>
      <c r="B23" s="1917"/>
      <c r="C23" s="1911">
        <f t="shared" ref="C23:R23" si="2">C40</f>
        <v>24.6</v>
      </c>
      <c r="D23" s="1911">
        <f t="shared" si="2"/>
        <v>19.600000000000001</v>
      </c>
      <c r="E23" s="1911">
        <f t="shared" si="2"/>
        <v>23</v>
      </c>
      <c r="F23" s="1911">
        <f t="shared" si="2"/>
        <v>18.899999999999999</v>
      </c>
      <c r="G23" s="1911">
        <f t="shared" si="2"/>
        <v>4.3</v>
      </c>
      <c r="H23" s="1911">
        <f t="shared" si="2"/>
        <v>1.1000000000000001</v>
      </c>
      <c r="I23" s="1911">
        <f t="shared" si="2"/>
        <v>42.8</v>
      </c>
      <c r="J23" s="1911">
        <f t="shared" si="2"/>
        <v>43.9</v>
      </c>
      <c r="K23" s="1911">
        <f t="shared" si="2"/>
        <v>1.5</v>
      </c>
      <c r="L23" s="1911">
        <f t="shared" si="2"/>
        <v>1.3</v>
      </c>
      <c r="M23" s="1911">
        <f t="shared" si="2"/>
        <v>16.5</v>
      </c>
      <c r="N23" s="1911">
        <f t="shared" si="2"/>
        <v>13.1</v>
      </c>
      <c r="O23" s="1911">
        <f t="shared" si="2"/>
        <v>24.8</v>
      </c>
      <c r="P23" s="1911">
        <f t="shared" si="2"/>
        <v>23.8</v>
      </c>
      <c r="Q23" s="1911">
        <f t="shared" si="2"/>
        <v>56.1</v>
      </c>
      <c r="R23" s="1911">
        <f t="shared" si="2"/>
        <v>29.3</v>
      </c>
      <c r="S23" s="1915"/>
      <c r="T23" s="1916"/>
      <c r="U23" s="1916"/>
      <c r="V23" s="1916"/>
      <c r="W23" s="1916"/>
      <c r="X23" s="1916"/>
      <c r="Y23" s="1916"/>
      <c r="Z23" s="1916"/>
      <c r="AA23" s="1916"/>
    </row>
    <row r="24" spans="1:27" s="772" customFormat="1" ht="16.5" customHeight="1">
      <c r="A24" s="1913">
        <v>2025</v>
      </c>
      <c r="B24" s="1914"/>
      <c r="C24" s="1921">
        <f t="shared" ref="C24:R24" si="3">C44</f>
        <v>27.7</v>
      </c>
      <c r="D24" s="1921">
        <f t="shared" si="3"/>
        <v>19.7</v>
      </c>
      <c r="E24" s="1921">
        <f t="shared" si="3"/>
        <v>25.9</v>
      </c>
      <c r="F24" s="1921">
        <f t="shared" si="3"/>
        <v>19</v>
      </c>
      <c r="G24" s="1921">
        <f t="shared" si="3"/>
        <v>4</v>
      </c>
      <c r="H24" s="1921">
        <f t="shared" si="3"/>
        <v>1</v>
      </c>
      <c r="I24" s="1921">
        <f t="shared" si="3"/>
        <v>50.7</v>
      </c>
      <c r="J24" s="1921">
        <f t="shared" si="3"/>
        <v>110.6</v>
      </c>
      <c r="K24" s="1921">
        <f t="shared" si="3"/>
        <v>1.5</v>
      </c>
      <c r="L24" s="1921">
        <f t="shared" si="3"/>
        <v>1.2</v>
      </c>
      <c r="M24" s="1921">
        <f t="shared" si="3"/>
        <v>13.2</v>
      </c>
      <c r="N24" s="1921">
        <f t="shared" si="3"/>
        <v>13.7</v>
      </c>
      <c r="O24" s="1921">
        <f t="shared" si="3"/>
        <v>23.6</v>
      </c>
      <c r="P24" s="1921">
        <f t="shared" si="3"/>
        <v>17.600000000000001</v>
      </c>
      <c r="Q24" s="1921">
        <f t="shared" si="3"/>
        <v>57.3</v>
      </c>
      <c r="R24" s="1921">
        <f t="shared" si="3"/>
        <v>30.5</v>
      </c>
      <c r="S24" s="1916"/>
      <c r="T24" s="1916"/>
      <c r="U24" s="1916"/>
      <c r="V24" s="1916"/>
      <c r="W24" s="1916"/>
      <c r="X24" s="1916"/>
      <c r="Y24" s="1916"/>
      <c r="Z24" s="1916"/>
      <c r="AA24" s="1916"/>
    </row>
    <row r="25" spans="1:27" s="1916" customFormat="1" ht="21.25" customHeight="1">
      <c r="A25" s="1918">
        <v>2021</v>
      </c>
      <c r="B25" s="1919" t="s">
        <v>242</v>
      </c>
      <c r="C25" s="1911">
        <v>19.986897178279239</v>
      </c>
      <c r="D25" s="1911">
        <v>16.175265895231014</v>
      </c>
      <c r="E25" s="1911">
        <v>17.934192047625601</v>
      </c>
      <c r="F25" s="1911">
        <v>14.89194292544834</v>
      </c>
      <c r="G25" s="1911">
        <v>5.9742815219412044</v>
      </c>
      <c r="H25" s="1911">
        <v>1.7717186340222193</v>
      </c>
      <c r="I25" s="1911">
        <v>48.767217557226203</v>
      </c>
      <c r="J25" s="1911">
        <v>78.637021471604768</v>
      </c>
      <c r="K25" s="1911">
        <v>0.18818556020999577</v>
      </c>
      <c r="L25" s="1911">
        <v>0.26090648699960972</v>
      </c>
      <c r="M25" s="1911">
        <v>2.2299612290608515</v>
      </c>
      <c r="N25" s="1911">
        <v>2.7464582915074129</v>
      </c>
      <c r="O25" s="1911">
        <v>16.193630792429907</v>
      </c>
      <c r="P25" s="1911">
        <v>19.256924911159494</v>
      </c>
      <c r="Q25" s="1911">
        <v>66.417764141933944</v>
      </c>
      <c r="R25" s="1911">
        <v>62.320103951104677</v>
      </c>
    </row>
    <row r="26" spans="1:27" s="1916" customFormat="1" ht="16.5" customHeight="1">
      <c r="A26" s="1918"/>
      <c r="B26" s="1919" t="s">
        <v>243</v>
      </c>
      <c r="C26" s="1911">
        <v>21.590405591043446</v>
      </c>
      <c r="D26" s="1911">
        <v>16.132151841233963</v>
      </c>
      <c r="E26" s="1911">
        <v>19.647145713692222</v>
      </c>
      <c r="F26" s="1911">
        <v>14.988832081023752</v>
      </c>
      <c r="G26" s="1911">
        <v>5.5434703161048295</v>
      </c>
      <c r="H26" s="1911">
        <v>1.7082217871144507</v>
      </c>
      <c r="I26" s="1911">
        <v>51.833086647995508</v>
      </c>
      <c r="J26" s="1911">
        <v>79.437412557436403</v>
      </c>
      <c r="K26" s="1911">
        <v>0.31051145367329264</v>
      </c>
      <c r="L26" s="1911">
        <v>0.3888958309128201</v>
      </c>
      <c r="M26" s="1911">
        <v>3.5597068978993645</v>
      </c>
      <c r="N26" s="1911">
        <v>4.2562403133519133</v>
      </c>
      <c r="O26" s="1911">
        <v>19.166447909043903</v>
      </c>
      <c r="P26" s="1911">
        <v>18.968409661223095</v>
      </c>
      <c r="Q26" s="1911">
        <v>65.132026488373143</v>
      </c>
      <c r="R26" s="1911">
        <v>60.085941971021583</v>
      </c>
    </row>
    <row r="27" spans="1:27" s="1916" customFormat="1" ht="16.5" customHeight="1">
      <c r="A27" s="1918"/>
      <c r="B27" s="1919" t="s">
        <v>240</v>
      </c>
      <c r="C27" s="1911">
        <v>21.44129993320043</v>
      </c>
      <c r="D27" s="1911">
        <v>15.506505838202466</v>
      </c>
      <c r="E27" s="1911">
        <v>19.574163076833546</v>
      </c>
      <c r="F27" s="1911">
        <v>14.211294408837421</v>
      </c>
      <c r="G27" s="1911">
        <v>5.375648521047367</v>
      </c>
      <c r="H27" s="1911">
        <v>0.67820106856615503</v>
      </c>
      <c r="I27" s="1911">
        <v>53.464868402047351</v>
      </c>
      <c r="J27" s="1911">
        <v>93.716866196112008</v>
      </c>
      <c r="K27" s="1911">
        <v>0.44714748740221233</v>
      </c>
      <c r="L27" s="1911">
        <v>0.6683692455998218</v>
      </c>
      <c r="M27" s="1911">
        <v>5.1398526083204761</v>
      </c>
      <c r="N27" s="1911">
        <v>8.3304100460945794</v>
      </c>
      <c r="O27" s="1911">
        <v>18.561938187768828</v>
      </c>
      <c r="P27" s="1911">
        <v>20.262299452955279</v>
      </c>
      <c r="Q27" s="1911">
        <v>65.480297193332561</v>
      </c>
      <c r="R27" s="1911">
        <v>57.919710401365599</v>
      </c>
    </row>
    <row r="28" spans="1:27" s="1916" customFormat="1" ht="16.5" customHeight="1">
      <c r="A28" s="1918"/>
      <c r="B28" s="1919" t="s">
        <v>241</v>
      </c>
      <c r="C28" s="1911">
        <v>21.738638233407805</v>
      </c>
      <c r="D28" s="1911">
        <v>15.786312819327787</v>
      </c>
      <c r="E28" s="1911">
        <v>19.934081000208469</v>
      </c>
      <c r="F28" s="1911">
        <v>14.436404508225973</v>
      </c>
      <c r="G28" s="1911">
        <v>5.0492545987225697</v>
      </c>
      <c r="H28" s="1911">
        <v>0.70145334119164737</v>
      </c>
      <c r="I28" s="1911">
        <v>56.436486221906158</v>
      </c>
      <c r="J28" s="1911">
        <v>91.952521887944656</v>
      </c>
      <c r="K28" s="1911">
        <v>0.61178484989441873</v>
      </c>
      <c r="L28" s="1911">
        <v>0.82133737162927156</v>
      </c>
      <c r="M28" s="1911">
        <v>7.3183452808895382</v>
      </c>
      <c r="N28" s="1911">
        <v>9.9919341223515232</v>
      </c>
      <c r="O28" s="1911">
        <v>19.459308228380714</v>
      </c>
      <c r="P28" s="1911">
        <v>17.986290751259389</v>
      </c>
      <c r="Q28" s="1911">
        <v>64.270420008560237</v>
      </c>
      <c r="R28" s="1911">
        <v>59.370045630243375</v>
      </c>
    </row>
    <row r="29" spans="1:27" s="1916" customFormat="1" ht="20.25" customHeight="1">
      <c r="A29" s="1918">
        <v>2022</v>
      </c>
      <c r="B29" s="1919" t="s">
        <v>242</v>
      </c>
      <c r="C29" s="1911">
        <v>21.35972303294864</v>
      </c>
      <c r="D29" s="1911">
        <v>15.830032889595458</v>
      </c>
      <c r="E29" s="1911">
        <v>19.6553891856272</v>
      </c>
      <c r="F29" s="1911">
        <v>15.171637689152664</v>
      </c>
      <c r="G29" s="1911">
        <v>4.8581114660203868</v>
      </c>
      <c r="H29" s="1911">
        <v>4.6063285345453879</v>
      </c>
      <c r="I29" s="1911">
        <v>57.018833138914907</v>
      </c>
      <c r="J29" s="1911">
        <v>99.883605280599554</v>
      </c>
      <c r="K29" s="1911">
        <v>0.22114106726012239</v>
      </c>
      <c r="L29" s="1911">
        <v>0.29802227667436149</v>
      </c>
      <c r="M29" s="1911">
        <v>2.7083940010920249</v>
      </c>
      <c r="N29" s="1911">
        <v>2.5129129075690559</v>
      </c>
      <c r="O29" s="1911">
        <v>18.997011470619547</v>
      </c>
      <c r="P29" s="1911">
        <v>22.674018328435363</v>
      </c>
      <c r="Q29" s="1911">
        <v>63.879310284471956</v>
      </c>
      <c r="R29" s="1911">
        <v>30.930311573809828</v>
      </c>
    </row>
    <row r="30" spans="1:27" s="1916" customFormat="1" ht="16.5" customHeight="1">
      <c r="A30" s="1918"/>
      <c r="B30" s="1919" t="s">
        <v>243</v>
      </c>
      <c r="C30" s="1911">
        <v>21.53118502355585</v>
      </c>
      <c r="D30" s="1911">
        <v>15.304776964724418</v>
      </c>
      <c r="E30" s="1911">
        <v>19.927797221200549</v>
      </c>
      <c r="F30" s="1911">
        <v>14.708188481809822</v>
      </c>
      <c r="G30" s="1911">
        <v>4.442580358863701</v>
      </c>
      <c r="H30" s="1911">
        <v>6.2702723280730357</v>
      </c>
      <c r="I30" s="1911">
        <v>58.964434761471566</v>
      </c>
      <c r="J30" s="1911">
        <v>86.705004582379615</v>
      </c>
      <c r="K30" s="1911">
        <v>0.43825304122199388</v>
      </c>
      <c r="L30" s="1911">
        <v>0.55636578125652192</v>
      </c>
      <c r="M30" s="1911">
        <v>5.4160283401158864</v>
      </c>
      <c r="N30" s="1911">
        <v>5.0004153461711418</v>
      </c>
      <c r="O30" s="1911">
        <v>18.939864481012222</v>
      </c>
      <c r="P30" s="1911">
        <v>17.375993928868333</v>
      </c>
      <c r="Q30" s="1911">
        <v>65.122665789298964</v>
      </c>
      <c r="R30" s="1911">
        <v>25.386432466975194</v>
      </c>
    </row>
    <row r="31" spans="1:27" s="1916" customFormat="1" ht="16.5" customHeight="1">
      <c r="A31" s="1918"/>
      <c r="B31" s="2292" t="s">
        <v>240</v>
      </c>
      <c r="C31" s="1911">
        <v>21.009492386619655</v>
      </c>
      <c r="D31" s="1911">
        <v>15.410065728393604</v>
      </c>
      <c r="E31" s="1911">
        <v>19.420792516885889</v>
      </c>
      <c r="F31" s="1911">
        <v>14.742945142382771</v>
      </c>
      <c r="G31" s="1911">
        <v>4.2397966936980644</v>
      </c>
      <c r="H31" s="1911">
        <v>4.8281035053288823</v>
      </c>
      <c r="I31" s="1911">
        <v>50.166413342213211</v>
      </c>
      <c r="J31" s="1911">
        <v>100.40058541954305</v>
      </c>
      <c r="K31" s="1911">
        <v>0.70938387032798378</v>
      </c>
      <c r="L31" s="1911">
        <v>0.8383711908964836</v>
      </c>
      <c r="M31" s="1911">
        <v>8.7827384618717161</v>
      </c>
      <c r="N31" s="1911">
        <v>7.6174285313884686</v>
      </c>
      <c r="O31" s="1911">
        <v>17.441710014928024</v>
      </c>
      <c r="P31" s="1911">
        <v>13.717221496191787</v>
      </c>
      <c r="Q31" s="1911">
        <v>63.637809242099699</v>
      </c>
      <c r="R31" s="1911">
        <v>27.07675907890648</v>
      </c>
    </row>
    <row r="32" spans="1:27" s="1916" customFormat="1" ht="16.5" customHeight="1">
      <c r="A32" s="1918"/>
      <c r="B32" s="2292" t="s">
        <v>241</v>
      </c>
      <c r="C32" s="1911">
        <v>21.204814675250162</v>
      </c>
      <c r="D32" s="1911">
        <v>16.905150123165441</v>
      </c>
      <c r="E32" s="1911">
        <v>19.70261638468326</v>
      </c>
      <c r="F32" s="1911">
        <v>16.180489072230692</v>
      </c>
      <c r="G32" s="1911">
        <v>4.8093161737589858</v>
      </c>
      <c r="H32" s="1911">
        <v>4.7559375447699637</v>
      </c>
      <c r="I32" s="1911">
        <v>54.768042702269028</v>
      </c>
      <c r="J32" s="1911">
        <v>94.902974678441836</v>
      </c>
      <c r="K32" s="1911">
        <v>0.87595227018522537</v>
      </c>
      <c r="L32" s="1911">
        <v>1.100102681681584</v>
      </c>
      <c r="M32" s="1911">
        <v>10.617069117244164</v>
      </c>
      <c r="N32" s="1911">
        <v>10.270111723584328</v>
      </c>
      <c r="O32" s="1911">
        <v>17.002769647396214</v>
      </c>
      <c r="P32" s="1911">
        <v>13.787628081342373</v>
      </c>
      <c r="Q32" s="1911">
        <v>62.14686370019303</v>
      </c>
      <c r="R32" s="1911">
        <v>24.958679427474355</v>
      </c>
    </row>
    <row r="33" spans="1:18" s="1916" customFormat="1" ht="20.25" customHeight="1">
      <c r="A33" s="1918">
        <v>2023</v>
      </c>
      <c r="B33" s="1919" t="s">
        <v>242</v>
      </c>
      <c r="C33" s="1911">
        <v>21.310277177302968</v>
      </c>
      <c r="D33" s="1911">
        <v>16.137585162337416</v>
      </c>
      <c r="E33" s="1911">
        <v>19.405064601018196</v>
      </c>
      <c r="F33" s="1911">
        <v>15.366514224111427</v>
      </c>
      <c r="G33" s="1911">
        <v>4.7019457333677783</v>
      </c>
      <c r="H33" s="1911">
        <v>4.5277793528069186</v>
      </c>
      <c r="I33" s="1911">
        <v>51.867748573746866</v>
      </c>
      <c r="J33" s="1911">
        <v>93.564836928692387</v>
      </c>
      <c r="K33" s="1911">
        <v>0.18921665918092345</v>
      </c>
      <c r="L33" s="1911">
        <v>0.34523020491805279</v>
      </c>
      <c r="M33" s="1911">
        <v>2.3793358162469214</v>
      </c>
      <c r="N33" s="1911">
        <v>3.5214767385287273</v>
      </c>
      <c r="O33" s="1911">
        <v>16.522011234148692</v>
      </c>
      <c r="P33" s="1911">
        <v>16.426682601443162</v>
      </c>
      <c r="Q33" s="1911">
        <v>62.361057455247895</v>
      </c>
      <c r="R33" s="1911">
        <v>27.297417783632927</v>
      </c>
    </row>
    <row r="34" spans="1:18" s="1916" customFormat="1" ht="16.5" customHeight="1">
      <c r="A34" s="1918"/>
      <c r="B34" s="2292" t="s">
        <v>243</v>
      </c>
      <c r="C34" s="1911">
        <v>21.371895802926492</v>
      </c>
      <c r="D34" s="1911">
        <v>17.163634694359768</v>
      </c>
      <c r="E34" s="1911">
        <v>19.490867427051558</v>
      </c>
      <c r="F34" s="1911">
        <v>16.312670743730912</v>
      </c>
      <c r="G34" s="1911">
        <v>4.9586754958028392</v>
      </c>
      <c r="H34" s="1911">
        <v>5.3081118481121781</v>
      </c>
      <c r="I34" s="1911">
        <v>49.581559491020187</v>
      </c>
      <c r="J34" s="1911">
        <v>81.535115913596215</v>
      </c>
      <c r="K34" s="1911">
        <v>0.36209209848454421</v>
      </c>
      <c r="L34" s="1911">
        <v>0.70782647951027633</v>
      </c>
      <c r="M34" s="1911">
        <v>4.9431350053528655</v>
      </c>
      <c r="N34" s="1911">
        <v>5.83705148779719</v>
      </c>
      <c r="O34" s="1911">
        <v>19.073280469309303</v>
      </c>
      <c r="P34" s="1911">
        <v>20.227435514951502</v>
      </c>
      <c r="Q34" s="1911">
        <v>63.009014731974908</v>
      </c>
      <c r="R34" s="1911">
        <v>24.836845625085001</v>
      </c>
    </row>
    <row r="35" spans="1:18" s="1916" customFormat="1" ht="16.5" customHeight="1">
      <c r="A35" s="1918"/>
      <c r="B35" s="2292" t="s">
        <v>240</v>
      </c>
      <c r="C35" s="1911">
        <v>20.499192622850895</v>
      </c>
      <c r="D35" s="1911">
        <v>17.98510033289449</v>
      </c>
      <c r="E35" s="1911">
        <v>18.725725953451544</v>
      </c>
      <c r="F35" s="1911">
        <v>17.094213646008647</v>
      </c>
      <c r="G35" s="1911">
        <v>5.7069549453640303</v>
      </c>
      <c r="H35" s="1911">
        <v>0.88835918208184894</v>
      </c>
      <c r="I35" s="1911">
        <v>40.429908653164425</v>
      </c>
      <c r="J35" s="1911">
        <v>88.663954505668556</v>
      </c>
      <c r="K35" s="1911">
        <v>0.52804110338470789</v>
      </c>
      <c r="L35" s="1911">
        <v>1.1601363144545458</v>
      </c>
      <c r="M35" s="1911">
        <v>7.0293605558842769</v>
      </c>
      <c r="N35" s="1911">
        <v>9.160220389996816</v>
      </c>
      <c r="O35" s="1911">
        <v>19.150510812278469</v>
      </c>
      <c r="P35" s="1911">
        <v>19.550030324183904</v>
      </c>
      <c r="Q35" s="1911">
        <v>61.327838803257741</v>
      </c>
      <c r="R35" s="1911">
        <v>30.69812144518178</v>
      </c>
    </row>
    <row r="36" spans="1:18" s="1916" customFormat="1" ht="16.5" customHeight="1">
      <c r="A36" s="1918"/>
      <c r="B36" s="2292" t="s">
        <v>241</v>
      </c>
      <c r="C36" s="1911">
        <v>19.96305153756693</v>
      </c>
      <c r="D36" s="1911">
        <v>17.378854683113332</v>
      </c>
      <c r="E36" s="1911">
        <v>18.245928283180287</v>
      </c>
      <c r="F36" s="1911">
        <v>16.531807790188662</v>
      </c>
      <c r="G36" s="1911">
        <v>4.9295077007297978</v>
      </c>
      <c r="H36" s="1911">
        <v>0.99112401615405099</v>
      </c>
      <c r="I36" s="1911">
        <v>40.510930108623803</v>
      </c>
      <c r="J36" s="1911">
        <v>87.51046908990962</v>
      </c>
      <c r="K36" s="1911">
        <v>0.60608117266301587</v>
      </c>
      <c r="L36" s="1911">
        <v>1.2840845161266219</v>
      </c>
      <c r="M36" s="1911">
        <v>8.1738970833670184</v>
      </c>
      <c r="N36" s="1911">
        <v>9.9930881596790204</v>
      </c>
      <c r="O36" s="1911">
        <v>17.733423357233622</v>
      </c>
      <c r="P36" s="1911">
        <v>19.927673120983716</v>
      </c>
      <c r="Q36" s="1911">
        <v>61.43289413689056</v>
      </c>
      <c r="R36" s="1911">
        <v>30.403678580265925</v>
      </c>
    </row>
    <row r="37" spans="1:18" s="1916" customFormat="1" ht="20.25" customHeight="1">
      <c r="A37" s="1918">
        <v>2024</v>
      </c>
      <c r="B37" s="1919" t="s">
        <v>242</v>
      </c>
      <c r="C37" s="1911">
        <v>25</v>
      </c>
      <c r="D37" s="1911">
        <v>22</v>
      </c>
      <c r="E37" s="1911">
        <v>23.1</v>
      </c>
      <c r="F37" s="1911">
        <v>20.8</v>
      </c>
      <c r="G37" s="1911">
        <v>3.9</v>
      </c>
      <c r="H37" s="1911">
        <v>1.2</v>
      </c>
      <c r="I37" s="1911">
        <v>48.6</v>
      </c>
      <c r="J37" s="1911">
        <v>80.400000000000006</v>
      </c>
      <c r="K37" s="1911">
        <v>0.5</v>
      </c>
      <c r="L37" s="1911">
        <v>0.4</v>
      </c>
      <c r="M37" s="1911">
        <v>5.2</v>
      </c>
      <c r="N37" s="1911">
        <v>3.3</v>
      </c>
      <c r="O37" s="1911">
        <v>24.3</v>
      </c>
      <c r="P37" s="1911">
        <v>17</v>
      </c>
      <c r="Q37" s="1911">
        <v>62</v>
      </c>
      <c r="R37" s="1911">
        <v>32.700000000000003</v>
      </c>
    </row>
    <row r="38" spans="1:18" s="1916" customFormat="1" ht="16.5" customHeight="1">
      <c r="A38" s="1918"/>
      <c r="B38" s="2292" t="s">
        <v>243</v>
      </c>
      <c r="C38" s="1911">
        <v>21.3</v>
      </c>
      <c r="D38" s="1911">
        <v>20.8</v>
      </c>
      <c r="E38" s="1911">
        <v>19.7</v>
      </c>
      <c r="F38" s="1911">
        <v>19.600000000000001</v>
      </c>
      <c r="G38" s="1911">
        <v>4.7</v>
      </c>
      <c r="H38" s="1911">
        <v>0.8</v>
      </c>
      <c r="I38" s="1911">
        <v>51.5</v>
      </c>
      <c r="J38" s="1911">
        <v>50.9</v>
      </c>
      <c r="K38" s="1911">
        <v>0.8</v>
      </c>
      <c r="L38" s="1911">
        <v>0.7</v>
      </c>
      <c r="M38" s="1911">
        <v>9.9</v>
      </c>
      <c r="N38" s="1911">
        <v>6.9</v>
      </c>
      <c r="O38" s="1911">
        <v>27.2</v>
      </c>
      <c r="P38" s="1911">
        <v>18.100000000000001</v>
      </c>
      <c r="Q38" s="1911">
        <v>48.8</v>
      </c>
      <c r="R38" s="1911">
        <v>27.1</v>
      </c>
    </row>
    <row r="39" spans="1:18" s="1916" customFormat="1" ht="16.5" customHeight="1">
      <c r="A39" s="1918"/>
      <c r="B39" s="2292" t="s">
        <v>240</v>
      </c>
      <c r="C39" s="1911">
        <v>23.5</v>
      </c>
      <c r="D39" s="1911">
        <v>19.8</v>
      </c>
      <c r="E39" s="1911">
        <v>21.9</v>
      </c>
      <c r="F39" s="1911">
        <v>18.8</v>
      </c>
      <c r="G39" s="1911">
        <v>4.7</v>
      </c>
      <c r="H39" s="1911">
        <v>1</v>
      </c>
      <c r="I39" s="1911">
        <v>46</v>
      </c>
      <c r="J39" s="1911">
        <v>47.6</v>
      </c>
      <c r="K39" s="1911">
        <v>1.2</v>
      </c>
      <c r="L39" s="1911">
        <v>1.4</v>
      </c>
      <c r="M39" s="1911">
        <v>14</v>
      </c>
      <c r="N39" s="1911">
        <v>10</v>
      </c>
      <c r="O39" s="1911">
        <v>26.9</v>
      </c>
      <c r="P39" s="1911">
        <v>20.2</v>
      </c>
      <c r="Q39" s="1911">
        <v>55</v>
      </c>
      <c r="R39" s="1911">
        <v>29.8</v>
      </c>
    </row>
    <row r="40" spans="1:18" s="1916" customFormat="1" ht="16.5" customHeight="1">
      <c r="A40" s="1918"/>
      <c r="B40" s="2292" t="s">
        <v>241</v>
      </c>
      <c r="C40" s="1911">
        <v>24.6</v>
      </c>
      <c r="D40" s="1911">
        <v>19.600000000000001</v>
      </c>
      <c r="E40" s="1911">
        <v>23</v>
      </c>
      <c r="F40" s="1911">
        <v>18.899999999999999</v>
      </c>
      <c r="G40" s="1911">
        <v>4.3</v>
      </c>
      <c r="H40" s="1911">
        <v>1.1000000000000001</v>
      </c>
      <c r="I40" s="1911">
        <v>42.8</v>
      </c>
      <c r="J40" s="1911">
        <v>43.9</v>
      </c>
      <c r="K40" s="1911">
        <v>1.5</v>
      </c>
      <c r="L40" s="1911">
        <v>1.3</v>
      </c>
      <c r="M40" s="1911">
        <v>16.5</v>
      </c>
      <c r="N40" s="1911">
        <v>13.1</v>
      </c>
      <c r="O40" s="1911">
        <v>24.8</v>
      </c>
      <c r="P40" s="1911">
        <v>23.8</v>
      </c>
      <c r="Q40" s="1911">
        <v>56.1</v>
      </c>
      <c r="R40" s="1911">
        <v>29.3</v>
      </c>
    </row>
    <row r="41" spans="1:18" s="1916" customFormat="1" ht="20.25" customHeight="1">
      <c r="A41" s="1918">
        <v>2025</v>
      </c>
      <c r="B41" s="2498" t="s">
        <v>242</v>
      </c>
      <c r="C41" s="1911">
        <v>23.8</v>
      </c>
      <c r="D41" s="1911">
        <v>21.1</v>
      </c>
      <c r="E41" s="1911">
        <v>22.1</v>
      </c>
      <c r="F41" s="1911">
        <v>20.399999999999999</v>
      </c>
      <c r="G41" s="1911">
        <v>4.5999999999999996</v>
      </c>
      <c r="H41" s="1911">
        <v>0.8</v>
      </c>
      <c r="I41" s="1911">
        <v>47</v>
      </c>
      <c r="J41" s="1911">
        <v>44.3</v>
      </c>
      <c r="K41" s="1911">
        <v>0.4</v>
      </c>
      <c r="L41" s="1911">
        <v>1</v>
      </c>
      <c r="M41" s="1911">
        <v>4</v>
      </c>
      <c r="N41" s="1911">
        <v>2.9</v>
      </c>
      <c r="O41" s="1911">
        <v>26.7</v>
      </c>
      <c r="P41" s="1911">
        <v>20.2</v>
      </c>
      <c r="Q41" s="1911">
        <v>57</v>
      </c>
      <c r="R41" s="1911">
        <v>35.1</v>
      </c>
    </row>
    <row r="42" spans="1:18" s="1916" customFormat="1" ht="16.5" customHeight="1">
      <c r="A42" s="1918"/>
      <c r="B42" s="2497" t="s">
        <v>243</v>
      </c>
      <c r="C42" s="1911">
        <v>23.6</v>
      </c>
      <c r="D42" s="1911">
        <v>20</v>
      </c>
      <c r="E42" s="1911">
        <v>21.7</v>
      </c>
      <c r="F42" s="1911">
        <v>19.399999999999999</v>
      </c>
      <c r="G42" s="1911">
        <v>4.5</v>
      </c>
      <c r="H42" s="1911">
        <v>0.9</v>
      </c>
      <c r="I42" s="1911">
        <v>45.8</v>
      </c>
      <c r="J42" s="1911">
        <v>45.4</v>
      </c>
      <c r="K42" s="1911">
        <v>0.7</v>
      </c>
      <c r="L42" s="1911">
        <v>0.7</v>
      </c>
      <c r="M42" s="1911">
        <v>8.3000000000000007</v>
      </c>
      <c r="N42" s="1911">
        <v>6.8</v>
      </c>
      <c r="O42" s="1911">
        <v>24.8</v>
      </c>
      <c r="P42" s="1911">
        <v>22.1</v>
      </c>
      <c r="Q42" s="1911">
        <v>55.9</v>
      </c>
      <c r="R42" s="1911">
        <v>31.7</v>
      </c>
    </row>
    <row r="43" spans="1:18" s="1916" customFormat="1" ht="16.5" customHeight="1">
      <c r="A43" s="1918"/>
      <c r="B43" s="2497" t="s">
        <v>240</v>
      </c>
      <c r="C43" s="1911">
        <v>25.2</v>
      </c>
      <c r="D43" s="1911">
        <v>20</v>
      </c>
      <c r="E43" s="1911">
        <v>23.3</v>
      </c>
      <c r="F43" s="1911">
        <v>19.399999999999999</v>
      </c>
      <c r="G43" s="1911">
        <v>4.4000000000000004</v>
      </c>
      <c r="H43" s="1911">
        <v>0.7</v>
      </c>
      <c r="I43" s="1911">
        <v>48.3</v>
      </c>
      <c r="J43" s="1911">
        <v>45.6</v>
      </c>
      <c r="K43" s="1911">
        <v>1.1000000000000001</v>
      </c>
      <c r="L43" s="1911">
        <v>0.8</v>
      </c>
      <c r="M43" s="1911">
        <v>11.9</v>
      </c>
      <c r="N43" s="1911">
        <v>10.199999999999999</v>
      </c>
      <c r="O43" s="1911">
        <v>26.1</v>
      </c>
      <c r="P43" s="1911">
        <v>16.2</v>
      </c>
      <c r="Q43" s="1911">
        <v>56.4</v>
      </c>
      <c r="R43" s="1911">
        <v>33.799999999999997</v>
      </c>
    </row>
    <row r="44" spans="1:18" s="1916" customFormat="1" ht="16.5" customHeight="1">
      <c r="A44" s="1918"/>
      <c r="B44" s="2497" t="s">
        <v>241</v>
      </c>
      <c r="C44" s="1911">
        <v>27.7</v>
      </c>
      <c r="D44" s="1911">
        <v>19.7</v>
      </c>
      <c r="E44" s="1911">
        <v>25.9</v>
      </c>
      <c r="F44" s="1911">
        <v>19</v>
      </c>
      <c r="G44" s="1911">
        <v>4</v>
      </c>
      <c r="H44" s="1911">
        <v>1</v>
      </c>
      <c r="I44" s="1911">
        <v>50.7</v>
      </c>
      <c r="J44" s="1911">
        <v>110.6</v>
      </c>
      <c r="K44" s="1911">
        <v>1.5</v>
      </c>
      <c r="L44" s="1911">
        <v>1.2</v>
      </c>
      <c r="M44" s="1911">
        <v>13.2</v>
      </c>
      <c r="N44" s="1911">
        <v>13.7</v>
      </c>
      <c r="O44" s="1911">
        <v>23.6</v>
      </c>
      <c r="P44" s="1911">
        <v>17.600000000000001</v>
      </c>
      <c r="Q44" s="1911">
        <v>57.3</v>
      </c>
      <c r="R44" s="1911">
        <v>30.5</v>
      </c>
    </row>
    <row r="45" spans="1:18" s="1916" customFormat="1" ht="20.149999999999999" customHeight="1">
      <c r="A45" s="1918">
        <v>2026</v>
      </c>
      <c r="B45" s="2498" t="s">
        <v>242</v>
      </c>
      <c r="C45" s="1921">
        <v>25.7</v>
      </c>
      <c r="D45" s="1921">
        <v>17.3</v>
      </c>
      <c r="E45" s="1921">
        <v>23.9</v>
      </c>
      <c r="F45" s="1921">
        <v>16.5</v>
      </c>
      <c r="G45" s="1921">
        <v>4.3</v>
      </c>
      <c r="H45" s="1921">
        <v>0.8</v>
      </c>
      <c r="I45" s="1921">
        <v>48</v>
      </c>
      <c r="J45" s="1921">
        <v>117.7</v>
      </c>
      <c r="K45" s="1921">
        <v>0.3</v>
      </c>
      <c r="L45" s="1921">
        <v>0.2</v>
      </c>
      <c r="M45" s="1921">
        <v>2.8</v>
      </c>
      <c r="N45" s="1921">
        <v>3.1</v>
      </c>
      <c r="O45" s="1921">
        <v>22.3</v>
      </c>
      <c r="P45" s="1921">
        <v>15.9</v>
      </c>
      <c r="Q45" s="1921">
        <v>56.7</v>
      </c>
      <c r="R45" s="1921">
        <v>32.1</v>
      </c>
    </row>
    <row r="46" spans="1:18" ht="21.25" customHeight="1">
      <c r="A46" s="761" t="s">
        <v>1190</v>
      </c>
      <c r="B46" s="761"/>
      <c r="C46" s="761"/>
      <c r="D46" s="761"/>
      <c r="E46" s="761"/>
      <c r="F46" s="761"/>
      <c r="G46" s="761"/>
      <c r="H46" s="761"/>
      <c r="I46" s="761"/>
      <c r="J46" s="761"/>
      <c r="K46" s="761"/>
      <c r="L46" s="761"/>
      <c r="M46" s="761"/>
      <c r="N46" s="761"/>
      <c r="O46" s="761"/>
      <c r="P46" s="761"/>
      <c r="Q46" s="1920"/>
      <c r="R46" s="1953" t="s">
        <v>1191</v>
      </c>
    </row>
    <row r="47" spans="1:18" ht="13.75" customHeight="1">
      <c r="A47" s="744" t="s">
        <v>1192</v>
      </c>
      <c r="C47" s="1951"/>
      <c r="D47" s="1951"/>
      <c r="E47" s="1951"/>
      <c r="F47" s="1951"/>
      <c r="G47" s="1951"/>
      <c r="H47" s="1951"/>
      <c r="I47" s="1951"/>
      <c r="J47" s="1951"/>
      <c r="K47" s="1951"/>
      <c r="L47" s="1951"/>
      <c r="M47" s="1951"/>
      <c r="N47" s="1951"/>
      <c r="O47" s="1951"/>
      <c r="P47" s="1951"/>
      <c r="Q47" s="1951"/>
      <c r="R47" s="1950" t="s">
        <v>1193</v>
      </c>
    </row>
    <row r="48" spans="1:18" ht="13.75" customHeight="1">
      <c r="C48" s="1951"/>
      <c r="D48" s="1951"/>
      <c r="E48" s="1951"/>
      <c r="F48" s="1951"/>
      <c r="G48" s="1951"/>
      <c r="H48" s="1951"/>
      <c r="I48" s="1951"/>
      <c r="J48" s="1951"/>
      <c r="K48" s="1951"/>
      <c r="L48" s="1951"/>
      <c r="M48" s="1951"/>
      <c r="N48" s="1951"/>
      <c r="O48" s="1951"/>
      <c r="P48" s="1951"/>
      <c r="Q48" s="1951"/>
      <c r="R48" s="1950"/>
    </row>
    <row r="49" spans="1:18" ht="14">
      <c r="A49" s="1218" t="s">
        <v>1205</v>
      </c>
      <c r="B49" s="743"/>
      <c r="C49" s="743"/>
      <c r="D49" s="743"/>
      <c r="E49" s="743"/>
      <c r="F49" s="743"/>
      <c r="G49" s="743"/>
      <c r="H49" s="743"/>
      <c r="I49" s="743"/>
      <c r="J49" s="743"/>
      <c r="K49" s="743"/>
      <c r="L49" s="743"/>
      <c r="M49" s="743"/>
      <c r="N49" s="743"/>
      <c r="O49" s="743"/>
      <c r="P49" s="743"/>
      <c r="Q49" s="743"/>
      <c r="R49" s="743"/>
    </row>
    <row r="50" spans="1:18" ht="14">
      <c r="A50" s="799"/>
      <c r="B50" s="743"/>
      <c r="C50" s="743"/>
      <c r="D50" s="743"/>
      <c r="E50" s="743"/>
      <c r="F50" s="743"/>
      <c r="G50" s="743"/>
      <c r="H50" s="743"/>
      <c r="I50" s="743"/>
      <c r="J50" s="743"/>
      <c r="K50" s="743"/>
      <c r="L50" s="743"/>
      <c r="M50" s="743"/>
      <c r="N50" s="743"/>
      <c r="O50" s="743"/>
      <c r="P50" s="743"/>
      <c r="Q50" s="743"/>
      <c r="R50" s="743"/>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4" right="0.4" top="0.5" bottom="0.5" header="0.3" footer="0.3"/>
  <pageSetup paperSize="9" scale="6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6">
    <tabColor rgb="FF00B050"/>
    <pageSetUpPr fitToPage="1"/>
  </sheetPr>
  <dimension ref="A1:W48"/>
  <sheetViews>
    <sheetView zoomScale="80" zoomScaleNormal="80" workbookViewId="0">
      <pane ySplit="10" topLeftCell="A45" activePane="bottomLeft" state="frozen"/>
      <selection activeCell="B9" sqref="B9"/>
      <selection pane="bottomLeft" activeCell="A46" sqref="A46"/>
    </sheetView>
  </sheetViews>
  <sheetFormatPr defaultColWidth="9.1796875" defaultRowHeight="15.5"/>
  <cols>
    <col min="1" max="2" width="9.7265625" style="1551" customWidth="1"/>
    <col min="3" max="3" width="10.26953125" style="1551" bestFit="1" customWidth="1"/>
    <col min="4" max="4" width="18" style="1551" customWidth="1"/>
    <col min="5" max="6" width="12" style="1551" bestFit="1" customWidth="1"/>
    <col min="7" max="7" width="11.1796875" style="1551" customWidth="1"/>
    <col min="8" max="9" width="14.7265625" style="1551" customWidth="1"/>
    <col min="10" max="11" width="12" style="1551" bestFit="1" customWidth="1"/>
    <col min="12" max="12" width="11.81640625" style="1551" customWidth="1"/>
    <col min="13" max="13" width="14.7265625" style="1551" customWidth="1"/>
    <col min="14" max="14" width="15.7265625" style="1551" customWidth="1"/>
    <col min="15" max="15" width="10.453125" style="1551" bestFit="1" customWidth="1"/>
    <col min="16" max="16" width="16.453125" style="1551" customWidth="1"/>
    <col min="17" max="17" width="12" style="1551" bestFit="1" customWidth="1"/>
    <col min="18" max="19" width="12.54296875" style="1551" customWidth="1"/>
    <col min="20" max="20" width="17" style="1551" customWidth="1"/>
    <col min="21" max="21" width="14.7265625" style="1551" customWidth="1"/>
    <col min="22" max="16384" width="9.1796875" style="1551"/>
  </cols>
  <sheetData>
    <row r="1" spans="1:23" s="1548" customFormat="1" ht="18" customHeight="1">
      <c r="A1" s="1546" t="s">
        <v>1206</v>
      </c>
      <c r="B1" s="1547"/>
      <c r="C1" s="1547"/>
      <c r="D1" s="1547"/>
      <c r="E1" s="1547"/>
      <c r="F1" s="1547"/>
      <c r="G1" s="1547"/>
      <c r="H1" s="1547"/>
      <c r="I1" s="1547"/>
      <c r="J1" s="1547"/>
      <c r="K1" s="1547"/>
      <c r="L1" s="1547"/>
      <c r="M1" s="1547"/>
      <c r="N1" s="1547"/>
      <c r="O1" s="1547"/>
      <c r="P1" s="1547"/>
      <c r="Q1" s="1547"/>
      <c r="R1" s="1547"/>
      <c r="S1" s="1547"/>
      <c r="T1" s="1547"/>
      <c r="U1" s="1547"/>
    </row>
    <row r="2" spans="1:23" s="1548" customFormat="1" ht="18" customHeight="1">
      <c r="A2" s="1549" t="s">
        <v>76</v>
      </c>
      <c r="B2" s="1549"/>
      <c r="C2" s="1549"/>
      <c r="D2" s="1549"/>
      <c r="E2" s="1549"/>
      <c r="F2" s="1549"/>
      <c r="G2" s="1549"/>
      <c r="H2" s="1549"/>
      <c r="I2" s="1549"/>
      <c r="J2" s="1549"/>
      <c r="K2" s="1549"/>
      <c r="L2" s="1549"/>
      <c r="M2" s="1549"/>
      <c r="N2" s="1549"/>
      <c r="O2" s="1549"/>
      <c r="P2" s="1549"/>
      <c r="Q2" s="1549"/>
      <c r="R2" s="1549"/>
      <c r="S2" s="1549"/>
      <c r="T2" s="1549"/>
      <c r="U2" s="1549"/>
    </row>
    <row r="3" spans="1:23" s="1548" customFormat="1" ht="18" customHeight="1">
      <c r="A3" s="1549" t="s">
        <v>75</v>
      </c>
      <c r="B3" s="1549"/>
      <c r="C3" s="1549"/>
      <c r="D3" s="1549"/>
      <c r="E3" s="1549"/>
      <c r="F3" s="1549"/>
      <c r="G3" s="1549"/>
      <c r="H3" s="1549"/>
      <c r="I3" s="1549"/>
      <c r="J3" s="1549"/>
      <c r="K3" s="1549"/>
      <c r="L3" s="1549"/>
      <c r="M3" s="1549"/>
      <c r="N3" s="1549"/>
      <c r="O3" s="1549"/>
      <c r="P3" s="1549"/>
      <c r="Q3" s="1549"/>
      <c r="R3" s="1549"/>
      <c r="S3" s="1549"/>
      <c r="T3" s="1549"/>
      <c r="U3" s="1549"/>
    </row>
    <row r="4" spans="1:23">
      <c r="A4" s="1550" t="s">
        <v>1207</v>
      </c>
      <c r="U4" s="1550" t="s">
        <v>1208</v>
      </c>
    </row>
    <row r="5" spans="1:23" s="1558" customFormat="1" ht="18.649999999999999" customHeight="1">
      <c r="A5" s="2692" t="s">
        <v>1209</v>
      </c>
      <c r="B5" s="2693"/>
      <c r="C5" s="1552" t="s">
        <v>1210</v>
      </c>
      <c r="D5" s="1553"/>
      <c r="E5" s="1553"/>
      <c r="F5" s="1553"/>
      <c r="G5" s="1553"/>
      <c r="H5" s="1554"/>
      <c r="I5" s="1552" t="s">
        <v>1211</v>
      </c>
      <c r="J5" s="1553"/>
      <c r="K5" s="1553"/>
      <c r="L5" s="1553"/>
      <c r="M5" s="1555"/>
      <c r="N5" s="1556" t="s">
        <v>1212</v>
      </c>
      <c r="O5" s="2680" t="s">
        <v>1748</v>
      </c>
      <c r="P5" s="2681"/>
      <c r="Q5" s="2681"/>
      <c r="R5" s="2681"/>
      <c r="S5" s="2681"/>
      <c r="T5" s="2682"/>
      <c r="U5" s="1557" t="s">
        <v>1213</v>
      </c>
    </row>
    <row r="6" spans="1:23" s="1558" customFormat="1" ht="16">
      <c r="A6" s="2694"/>
      <c r="B6" s="2695"/>
      <c r="C6" s="1559" t="s">
        <v>1214</v>
      </c>
      <c r="D6" s="1560"/>
      <c r="E6" s="1560"/>
      <c r="F6" s="1560"/>
      <c r="G6" s="1560"/>
      <c r="H6" s="1560"/>
      <c r="I6" s="1561" t="s">
        <v>1215</v>
      </c>
      <c r="J6" s="1560"/>
      <c r="K6" s="1560"/>
      <c r="L6" s="1560"/>
      <c r="M6" s="1562"/>
      <c r="N6" s="1563" t="s">
        <v>1216</v>
      </c>
      <c r="O6" s="2683" t="s">
        <v>1749</v>
      </c>
      <c r="P6" s="2684"/>
      <c r="Q6" s="2684"/>
      <c r="R6" s="2684"/>
      <c r="S6" s="2684"/>
      <c r="T6" s="2685"/>
      <c r="U6" s="1564" t="s">
        <v>1217</v>
      </c>
    </row>
    <row r="7" spans="1:23" s="1558" customFormat="1" ht="16">
      <c r="A7" s="2694"/>
      <c r="B7" s="2695"/>
      <c r="C7" s="1565" t="s">
        <v>1218</v>
      </c>
      <c r="D7" s="1566"/>
      <c r="E7" s="1567" t="s">
        <v>1219</v>
      </c>
      <c r="F7" s="1566"/>
      <c r="G7" s="1555"/>
      <c r="H7" s="2679" t="s">
        <v>1220</v>
      </c>
      <c r="I7" s="2679" t="s">
        <v>1218</v>
      </c>
      <c r="J7" s="1567" t="s">
        <v>1219</v>
      </c>
      <c r="K7" s="1566"/>
      <c r="L7" s="1555"/>
      <c r="M7" s="2679" t="s">
        <v>1220</v>
      </c>
      <c r="N7" s="2679" t="s">
        <v>1218</v>
      </c>
      <c r="O7" s="2686" t="s">
        <v>1218</v>
      </c>
      <c r="P7" s="2687"/>
      <c r="Q7" s="2680" t="s">
        <v>1219</v>
      </c>
      <c r="R7" s="2681"/>
      <c r="S7" s="2682"/>
      <c r="T7" s="2679" t="s">
        <v>1220</v>
      </c>
      <c r="U7" s="2679" t="s">
        <v>1120</v>
      </c>
    </row>
    <row r="8" spans="1:23" s="1558" customFormat="1" ht="32">
      <c r="A8" s="2694"/>
      <c r="B8" s="2695"/>
      <c r="C8" s="1568" t="s">
        <v>1221</v>
      </c>
      <c r="D8" s="1569"/>
      <c r="E8" s="1568" t="s">
        <v>1222</v>
      </c>
      <c r="F8" s="1569"/>
      <c r="G8" s="1570"/>
      <c r="H8" s="2676"/>
      <c r="I8" s="2676"/>
      <c r="J8" s="1568" t="s">
        <v>1222</v>
      </c>
      <c r="K8" s="1569"/>
      <c r="L8" s="1570"/>
      <c r="M8" s="2676"/>
      <c r="N8" s="2676"/>
      <c r="O8" s="2673" t="s">
        <v>1221</v>
      </c>
      <c r="P8" s="2675"/>
      <c r="Q8" s="2673" t="s">
        <v>1222</v>
      </c>
      <c r="R8" s="2674"/>
      <c r="S8" s="2675"/>
      <c r="T8" s="2676"/>
      <c r="U8" s="2676"/>
    </row>
    <row r="9" spans="1:23" s="1558" customFormat="1" ht="64">
      <c r="A9" s="2688" t="s">
        <v>395</v>
      </c>
      <c r="B9" s="2689"/>
      <c r="C9" s="1571" t="s">
        <v>390</v>
      </c>
      <c r="D9" s="1572" t="s">
        <v>1223</v>
      </c>
      <c r="E9" s="1573" t="s">
        <v>1125</v>
      </c>
      <c r="F9" s="1573" t="s">
        <v>1126</v>
      </c>
      <c r="G9" s="1573" t="s">
        <v>390</v>
      </c>
      <c r="H9" s="2676" t="s">
        <v>1224</v>
      </c>
      <c r="I9" s="2676" t="s">
        <v>1225</v>
      </c>
      <c r="J9" s="1573" t="s">
        <v>1125</v>
      </c>
      <c r="K9" s="1573" t="s">
        <v>1126</v>
      </c>
      <c r="L9" s="1573" t="s">
        <v>390</v>
      </c>
      <c r="M9" s="2676" t="s">
        <v>1226</v>
      </c>
      <c r="N9" s="2676" t="s">
        <v>1227</v>
      </c>
      <c r="O9" s="1571" t="s">
        <v>390</v>
      </c>
      <c r="P9" s="1572" t="s">
        <v>1223</v>
      </c>
      <c r="Q9" s="1573" t="s">
        <v>1125</v>
      </c>
      <c r="R9" s="1573" t="s">
        <v>1126</v>
      </c>
      <c r="S9" s="1573" t="s">
        <v>390</v>
      </c>
      <c r="T9" s="2676" t="s">
        <v>1750</v>
      </c>
      <c r="U9" s="2676" t="s">
        <v>1753</v>
      </c>
    </row>
    <row r="10" spans="1:23" s="1558" customFormat="1" ht="64">
      <c r="A10" s="2690"/>
      <c r="B10" s="2691"/>
      <c r="C10" s="1574" t="s">
        <v>1228</v>
      </c>
      <c r="D10" s="2007" t="s">
        <v>1229</v>
      </c>
      <c r="E10" s="1575" t="s">
        <v>1127</v>
      </c>
      <c r="F10" s="1576" t="s">
        <v>1128</v>
      </c>
      <c r="G10" s="1576" t="s">
        <v>1230</v>
      </c>
      <c r="H10" s="2678"/>
      <c r="I10" s="2678"/>
      <c r="J10" s="1575" t="s">
        <v>1127</v>
      </c>
      <c r="K10" s="1576" t="s">
        <v>1128</v>
      </c>
      <c r="L10" s="1576" t="s">
        <v>1231</v>
      </c>
      <c r="M10" s="2678"/>
      <c r="N10" s="2678"/>
      <c r="O10" s="1574" t="s">
        <v>1751</v>
      </c>
      <c r="P10" s="2007" t="s">
        <v>1229</v>
      </c>
      <c r="Q10" s="1575" t="s">
        <v>1127</v>
      </c>
      <c r="R10" s="1576" t="s">
        <v>1128</v>
      </c>
      <c r="S10" s="1576" t="s">
        <v>1752</v>
      </c>
      <c r="T10" s="2677"/>
      <c r="U10" s="2678"/>
      <c r="V10" s="1577"/>
      <c r="W10" s="1577"/>
    </row>
    <row r="11" spans="1:23" s="1593" customFormat="1" ht="14.25" customHeight="1">
      <c r="A11" s="1586">
        <v>2017</v>
      </c>
      <c r="B11" s="1587" t="s">
        <v>243</v>
      </c>
      <c r="C11" s="1588">
        <v>289.25799999999998</v>
      </c>
      <c r="D11" s="1588">
        <v>57.895000000000003</v>
      </c>
      <c r="E11" s="1588">
        <v>3781.3429999999998</v>
      </c>
      <c r="F11" s="1588">
        <v>959.23400000000004</v>
      </c>
      <c r="G11" s="1588">
        <v>4740.5780000000004</v>
      </c>
      <c r="H11" s="1589">
        <v>5029.8360000000002</v>
      </c>
      <c r="I11" s="1590">
        <v>35.08</v>
      </c>
      <c r="J11" s="1588">
        <v>1809.6420000000001</v>
      </c>
      <c r="K11" s="1588">
        <v>694.65800000000002</v>
      </c>
      <c r="L11" s="1588">
        <v>2504.3000000000002</v>
      </c>
      <c r="M11" s="1589">
        <v>2539.38</v>
      </c>
      <c r="N11" s="1591">
        <v>8.5869999999999997</v>
      </c>
      <c r="O11" s="2511"/>
      <c r="P11" s="2511"/>
      <c r="Q11" s="2511"/>
      <c r="R11" s="2511"/>
      <c r="S11" s="2511"/>
      <c r="T11" s="2511"/>
      <c r="U11" s="1592">
        <f>H11+M11+N11</f>
        <v>7577.8030000000008</v>
      </c>
      <c r="V11" s="1578"/>
      <c r="W11" s="1578"/>
    </row>
    <row r="12" spans="1:23" s="1593" customFormat="1" ht="14.25" customHeight="1">
      <c r="A12" s="1586"/>
      <c r="B12" s="1587" t="s">
        <v>240</v>
      </c>
      <c r="C12" s="1588">
        <v>291.5</v>
      </c>
      <c r="D12" s="1588">
        <v>58.6</v>
      </c>
      <c r="E12" s="1588">
        <v>3821.9</v>
      </c>
      <c r="F12" s="1588">
        <v>986.1</v>
      </c>
      <c r="G12" s="1588">
        <v>4808</v>
      </c>
      <c r="H12" s="1589">
        <v>5099.5</v>
      </c>
      <c r="I12" s="1590">
        <v>38.299999999999997</v>
      </c>
      <c r="J12" s="1588">
        <v>1797.2</v>
      </c>
      <c r="K12" s="1588">
        <v>742.9</v>
      </c>
      <c r="L12" s="1588">
        <v>2540</v>
      </c>
      <c r="M12" s="1589">
        <v>2578.3000000000002</v>
      </c>
      <c r="N12" s="1591">
        <v>8.3000000000000007</v>
      </c>
      <c r="O12" s="2511"/>
      <c r="P12" s="2511"/>
      <c r="Q12" s="2511"/>
      <c r="R12" s="2511"/>
      <c r="S12" s="2511"/>
      <c r="T12" s="2511"/>
      <c r="U12" s="1592">
        <v>7686.1</v>
      </c>
      <c r="V12" s="1578"/>
      <c r="W12" s="1578"/>
    </row>
    <row r="13" spans="1:23" s="1593" customFormat="1" ht="14.25" customHeight="1">
      <c r="A13" s="1586"/>
      <c r="B13" s="1587" t="s">
        <v>241</v>
      </c>
      <c r="C13" s="1588">
        <v>291.10000000000002</v>
      </c>
      <c r="D13" s="1588">
        <v>51.57</v>
      </c>
      <c r="E13" s="1588">
        <v>3854.95</v>
      </c>
      <c r="F13" s="1588">
        <v>942.2</v>
      </c>
      <c r="G13" s="1588">
        <v>4794.2</v>
      </c>
      <c r="H13" s="1589">
        <v>5085.3</v>
      </c>
      <c r="I13" s="1590">
        <v>36.69</v>
      </c>
      <c r="J13" s="1588">
        <v>1767.49</v>
      </c>
      <c r="K13" s="1588">
        <v>730.35</v>
      </c>
      <c r="L13" s="1588">
        <v>2497.8000000000002</v>
      </c>
      <c r="M13" s="1589">
        <v>2534.5</v>
      </c>
      <c r="N13" s="1591">
        <v>8.6999999999999993</v>
      </c>
      <c r="O13" s="2510"/>
      <c r="P13" s="2510"/>
      <c r="Q13" s="2510"/>
      <c r="R13" s="2510"/>
      <c r="S13" s="2510"/>
      <c r="T13" s="2510"/>
      <c r="U13" s="1592">
        <v>7628.5</v>
      </c>
      <c r="V13" s="1578"/>
      <c r="W13" s="1578"/>
    </row>
    <row r="14" spans="1:23" s="1595" customFormat="1" ht="20.25" customHeight="1">
      <c r="A14" s="1579">
        <v>2018</v>
      </c>
      <c r="B14" s="1580" t="s">
        <v>242</v>
      </c>
      <c r="C14" s="1581">
        <v>281.00400000000002</v>
      </c>
      <c r="D14" s="1581">
        <v>59.970999999999997</v>
      </c>
      <c r="E14" s="1581">
        <v>3894.6579999999999</v>
      </c>
      <c r="F14" s="1581">
        <v>902.78499999999997</v>
      </c>
      <c r="G14" s="1581">
        <f>+F14+E14</f>
        <v>4797.4430000000002</v>
      </c>
      <c r="H14" s="1582">
        <f>+C14+G14</f>
        <v>5078.4470000000001</v>
      </c>
      <c r="I14" s="1583">
        <v>39.543999999999997</v>
      </c>
      <c r="J14" s="1581">
        <v>1869.028</v>
      </c>
      <c r="K14" s="1581">
        <v>746.67100000000005</v>
      </c>
      <c r="L14" s="1581">
        <f>+J14+K14</f>
        <v>2615.6990000000001</v>
      </c>
      <c r="M14" s="1582">
        <f>+I14+L14</f>
        <v>2655.2429999999999</v>
      </c>
      <c r="N14" s="1584">
        <v>8.4260000000000002</v>
      </c>
      <c r="O14" s="2511"/>
      <c r="P14" s="2511"/>
      <c r="Q14" s="2511"/>
      <c r="R14" s="2511"/>
      <c r="S14" s="2511"/>
      <c r="T14" s="2511"/>
      <c r="U14" s="1585">
        <f>+H14+M14+N14</f>
        <v>7742.1160000000009</v>
      </c>
      <c r="V14" s="1594"/>
      <c r="W14" s="1594"/>
    </row>
    <row r="15" spans="1:23" s="1593" customFormat="1" ht="14.25" customHeight="1">
      <c r="A15" s="1586"/>
      <c r="B15" s="1587" t="s">
        <v>243</v>
      </c>
      <c r="C15" s="1588">
        <v>286.05</v>
      </c>
      <c r="D15" s="1588">
        <v>57.78</v>
      </c>
      <c r="E15" s="1588">
        <v>3877.75</v>
      </c>
      <c r="F15" s="1588">
        <v>928.89</v>
      </c>
      <c r="G15" s="1588">
        <v>4806.68</v>
      </c>
      <c r="H15" s="1582">
        <f>+C15+G15</f>
        <v>5092.7300000000005</v>
      </c>
      <c r="I15" s="1590">
        <v>37.6</v>
      </c>
      <c r="J15" s="1588">
        <v>1899.8</v>
      </c>
      <c r="K15" s="1588">
        <v>734.6</v>
      </c>
      <c r="L15" s="1588">
        <v>2634.48</v>
      </c>
      <c r="M15" s="1582">
        <f>+I15+L15</f>
        <v>2672.08</v>
      </c>
      <c r="N15" s="1591">
        <v>7.45</v>
      </c>
      <c r="O15" s="2511"/>
      <c r="P15" s="2511"/>
      <c r="Q15" s="2511"/>
      <c r="R15" s="2511"/>
      <c r="S15" s="2511"/>
      <c r="T15" s="2511"/>
      <c r="U15" s="1585">
        <f>+H15+M15+N15</f>
        <v>7772.26</v>
      </c>
      <c r="V15" s="1578"/>
      <c r="W15" s="1578"/>
    </row>
    <row r="16" spans="1:23" s="1593" customFormat="1" ht="14.25" customHeight="1">
      <c r="A16" s="1586"/>
      <c r="B16" s="1587" t="s">
        <v>240</v>
      </c>
      <c r="C16" s="1588">
        <v>291.85500000000002</v>
      </c>
      <c r="D16" s="1588">
        <v>67.680000000000007</v>
      </c>
      <c r="E16" s="1588">
        <v>3900.3670000000002</v>
      </c>
      <c r="F16" s="1588">
        <v>909.26099999999997</v>
      </c>
      <c r="G16" s="1588">
        <v>4809.6499999999996</v>
      </c>
      <c r="H16" s="1582">
        <v>5101.5049999999992</v>
      </c>
      <c r="I16" s="1590">
        <v>43.344000000000001</v>
      </c>
      <c r="J16" s="1588">
        <v>1967.3610000000001</v>
      </c>
      <c r="K16" s="1588">
        <v>739.7</v>
      </c>
      <c r="L16" s="1588">
        <v>2707.65</v>
      </c>
      <c r="M16" s="1582">
        <v>2750.9940000000001</v>
      </c>
      <c r="N16" s="1591">
        <v>7.4130000000000003</v>
      </c>
      <c r="O16" s="2511"/>
      <c r="P16" s="2511"/>
      <c r="Q16" s="2511"/>
      <c r="R16" s="2511"/>
      <c r="S16" s="2511"/>
      <c r="T16" s="2511"/>
      <c r="U16" s="1585">
        <v>7859.9119999999994</v>
      </c>
      <c r="V16" s="1578"/>
      <c r="W16" s="1578"/>
    </row>
    <row r="17" spans="1:23" s="1593" customFormat="1" ht="15.75" customHeight="1">
      <c r="A17" s="1586"/>
      <c r="B17" s="1587" t="s">
        <v>241</v>
      </c>
      <c r="C17" s="1588">
        <v>266.27</v>
      </c>
      <c r="D17" s="1588">
        <v>68.150000000000006</v>
      </c>
      <c r="E17" s="1588">
        <v>3841.6</v>
      </c>
      <c r="F17" s="1588">
        <v>900.24</v>
      </c>
      <c r="G17" s="1588">
        <v>4741.8</v>
      </c>
      <c r="H17" s="1582">
        <f>C17+G17</f>
        <v>5008.07</v>
      </c>
      <c r="I17" s="1590">
        <v>40.081000000000003</v>
      </c>
      <c r="J17" s="1588">
        <v>2058.65</v>
      </c>
      <c r="K17" s="1588">
        <v>624.41999999999996</v>
      </c>
      <c r="L17" s="1588">
        <v>2683.087</v>
      </c>
      <c r="M17" s="1582">
        <f>I17+L17</f>
        <v>2723.1680000000001</v>
      </c>
      <c r="N17" s="1591">
        <v>7.5819999999999999</v>
      </c>
      <c r="O17" s="2510"/>
      <c r="P17" s="2510"/>
      <c r="Q17" s="2510"/>
      <c r="R17" s="2510"/>
      <c r="S17" s="2510"/>
      <c r="T17" s="2510"/>
      <c r="U17" s="1585">
        <f>H17+M17+N17</f>
        <v>7738.82</v>
      </c>
      <c r="V17" s="1578"/>
      <c r="W17" s="1578"/>
    </row>
    <row r="18" spans="1:23" s="1595" customFormat="1" ht="20.25" customHeight="1">
      <c r="A18" s="1579">
        <v>2019</v>
      </c>
      <c r="B18" s="1580" t="s">
        <v>242</v>
      </c>
      <c r="C18" s="1581">
        <v>254.21600000000001</v>
      </c>
      <c r="D18" s="1581">
        <v>109.64400000000001</v>
      </c>
      <c r="E18" s="1581">
        <v>4029.7339999999999</v>
      </c>
      <c r="F18" s="1581">
        <v>874.36900000000003</v>
      </c>
      <c r="G18" s="1581">
        <f>+F18+E18</f>
        <v>4904.1030000000001</v>
      </c>
      <c r="H18" s="1582">
        <f>C18+G18</f>
        <v>5158.3190000000004</v>
      </c>
      <c r="I18" s="1583">
        <v>41.886000000000003</v>
      </c>
      <c r="J18" s="1581">
        <v>1917.7919999999999</v>
      </c>
      <c r="K18" s="1581">
        <v>1109.703</v>
      </c>
      <c r="L18" s="1581">
        <f>J18+K18</f>
        <v>3027.4949999999999</v>
      </c>
      <c r="M18" s="1582">
        <f>I18+L18</f>
        <v>3069.3809999999999</v>
      </c>
      <c r="N18" s="1584">
        <v>7.3789999999999996</v>
      </c>
      <c r="O18" s="2511"/>
      <c r="P18" s="2511"/>
      <c r="Q18" s="2511"/>
      <c r="R18" s="2511"/>
      <c r="S18" s="2511"/>
      <c r="T18" s="2511"/>
      <c r="U18" s="1585">
        <f>H18+M18+N18</f>
        <v>8235.0790000000015</v>
      </c>
      <c r="V18" s="1594"/>
      <c r="W18" s="1594"/>
    </row>
    <row r="19" spans="1:23" s="1593" customFormat="1" ht="14.25" customHeight="1">
      <c r="A19" s="1586"/>
      <c r="B19" s="1587" t="s">
        <v>243</v>
      </c>
      <c r="C19" s="1588">
        <v>289.3</v>
      </c>
      <c r="D19" s="1588">
        <v>121.3</v>
      </c>
      <c r="E19" s="1588">
        <v>3897.6</v>
      </c>
      <c r="F19" s="1588">
        <v>857.4</v>
      </c>
      <c r="G19" s="1588">
        <f>+F19+E19</f>
        <v>4755</v>
      </c>
      <c r="H19" s="1589">
        <f>C19+G19</f>
        <v>5044.3</v>
      </c>
      <c r="I19" s="1590">
        <v>40.299999999999997</v>
      </c>
      <c r="J19" s="1588">
        <v>1985.7</v>
      </c>
      <c r="K19" s="1588">
        <v>1266.2</v>
      </c>
      <c r="L19" s="1588">
        <f>J19+K19</f>
        <v>3251.9</v>
      </c>
      <c r="M19" s="1589">
        <f>L19+I19</f>
        <v>3292.2000000000003</v>
      </c>
      <c r="N19" s="1591">
        <v>7.4</v>
      </c>
      <c r="O19" s="2511"/>
      <c r="P19" s="2511"/>
      <c r="Q19" s="2511"/>
      <c r="R19" s="2511"/>
      <c r="S19" s="2511"/>
      <c r="T19" s="2511"/>
      <c r="U19" s="1592">
        <f>H19+M19+N19</f>
        <v>8343.9</v>
      </c>
      <c r="V19" s="1578"/>
      <c r="W19" s="1578"/>
    </row>
    <row r="20" spans="1:23" s="1593" customFormat="1" ht="14.25" customHeight="1">
      <c r="A20" s="1586"/>
      <c r="B20" s="1587" t="s">
        <v>240</v>
      </c>
      <c r="C20" s="1588">
        <v>386.3</v>
      </c>
      <c r="D20" s="1588">
        <v>111.5</v>
      </c>
      <c r="E20" s="1588">
        <v>3960.4</v>
      </c>
      <c r="F20" s="1588">
        <v>3316.2</v>
      </c>
      <c r="G20" s="1588">
        <f>+F20+E20</f>
        <v>7276.6</v>
      </c>
      <c r="H20" s="1582">
        <f>C20+G20</f>
        <v>7662.9000000000005</v>
      </c>
      <c r="I20" s="1590">
        <v>47.9</v>
      </c>
      <c r="J20" s="1588">
        <v>2037.8</v>
      </c>
      <c r="K20" s="1588">
        <v>1235.0999999999999</v>
      </c>
      <c r="L20" s="1588">
        <f>J20+K20</f>
        <v>3272.8999999999996</v>
      </c>
      <c r="M20" s="1582">
        <f>L20+I20</f>
        <v>3320.7999999999997</v>
      </c>
      <c r="N20" s="1591">
        <v>6</v>
      </c>
      <c r="O20" s="2511"/>
      <c r="P20" s="2511"/>
      <c r="Q20" s="2511"/>
      <c r="R20" s="2511"/>
      <c r="S20" s="2511"/>
      <c r="T20" s="2511"/>
      <c r="U20" s="1585">
        <f>H20+M20+N20</f>
        <v>10989.7</v>
      </c>
      <c r="V20" s="1578"/>
      <c r="W20" s="1578"/>
    </row>
    <row r="21" spans="1:23" s="1593" customFormat="1" ht="15.75" customHeight="1">
      <c r="A21" s="1586"/>
      <c r="B21" s="1587" t="s">
        <v>241</v>
      </c>
      <c r="C21" s="1588">
        <v>252.3</v>
      </c>
      <c r="D21" s="1588">
        <v>134.30000000000001</v>
      </c>
      <c r="E21" s="1588">
        <v>4087.9</v>
      </c>
      <c r="F21" s="1588">
        <v>886.9</v>
      </c>
      <c r="G21" s="1588">
        <v>4974.8</v>
      </c>
      <c r="H21" s="1582">
        <v>5227.1000000000004</v>
      </c>
      <c r="I21" s="1590">
        <v>39.799999999999997</v>
      </c>
      <c r="J21" s="1588">
        <v>2533.6</v>
      </c>
      <c r="K21" s="1588">
        <v>849.8</v>
      </c>
      <c r="L21" s="1588">
        <v>3383.3999999999996</v>
      </c>
      <c r="M21" s="1582">
        <v>3423.2</v>
      </c>
      <c r="N21" s="1591">
        <v>7.9</v>
      </c>
      <c r="O21" s="2510"/>
      <c r="P21" s="2510"/>
      <c r="Q21" s="2510"/>
      <c r="R21" s="2510"/>
      <c r="S21" s="2510"/>
      <c r="T21" s="2510"/>
      <c r="U21" s="1585">
        <v>8658.1999999999989</v>
      </c>
      <c r="V21" s="1578"/>
      <c r="W21" s="1578"/>
    </row>
    <row r="22" spans="1:23" s="1595" customFormat="1" ht="19.5" customHeight="1">
      <c r="A22" s="1579">
        <v>2020</v>
      </c>
      <c r="B22" s="1580" t="s">
        <v>242</v>
      </c>
      <c r="C22" s="1581">
        <v>368.2</v>
      </c>
      <c r="D22" s="1581">
        <v>175.3</v>
      </c>
      <c r="E22" s="1581">
        <v>3700.8</v>
      </c>
      <c r="F22" s="1581">
        <v>3130</v>
      </c>
      <c r="G22" s="1581">
        <v>6830.8</v>
      </c>
      <c r="H22" s="1582">
        <v>7199</v>
      </c>
      <c r="I22" s="1583">
        <v>43.4</v>
      </c>
      <c r="J22" s="1581">
        <v>2256.5</v>
      </c>
      <c r="K22" s="1581">
        <v>628.29999999999995</v>
      </c>
      <c r="L22" s="1581">
        <v>2884.8</v>
      </c>
      <c r="M22" s="1582">
        <v>2928.2000000000003</v>
      </c>
      <c r="N22" s="1584">
        <v>8.3000000000000007</v>
      </c>
      <c r="O22" s="2511"/>
      <c r="P22" s="2511"/>
      <c r="Q22" s="2511"/>
      <c r="R22" s="2511"/>
      <c r="S22" s="2511"/>
      <c r="T22" s="2511"/>
      <c r="U22" s="1585">
        <v>10135.5</v>
      </c>
      <c r="V22" s="1594"/>
      <c r="W22" s="1594"/>
    </row>
    <row r="23" spans="1:23" s="1593" customFormat="1" ht="14.25" customHeight="1">
      <c r="A23" s="1586"/>
      <c r="B23" s="1587" t="s">
        <v>243</v>
      </c>
      <c r="C23" s="1588">
        <v>364.4</v>
      </c>
      <c r="D23" s="1588">
        <v>162.595</v>
      </c>
      <c r="E23" s="1588">
        <v>3580.2</v>
      </c>
      <c r="F23" s="1588">
        <v>3129.69</v>
      </c>
      <c r="G23" s="1588">
        <v>6709.9441999999999</v>
      </c>
      <c r="H23" s="1589">
        <v>7074.3441999999995</v>
      </c>
      <c r="I23" s="1590">
        <v>35.700000000000003</v>
      </c>
      <c r="J23" s="1588">
        <v>1949.67</v>
      </c>
      <c r="K23" s="1588">
        <v>1189.7940000000001</v>
      </c>
      <c r="L23" s="1588">
        <v>3139.4639999999999</v>
      </c>
      <c r="M23" s="1589">
        <v>3175.1639999999998</v>
      </c>
      <c r="N23" s="1591">
        <v>10.08</v>
      </c>
      <c r="O23" s="2511"/>
      <c r="P23" s="2511"/>
      <c r="Q23" s="2511"/>
      <c r="R23" s="2511"/>
      <c r="S23" s="2511"/>
      <c r="T23" s="2511"/>
      <c r="U23" s="1592">
        <v>10259.5882</v>
      </c>
      <c r="V23" s="1578"/>
      <c r="W23" s="1578"/>
    </row>
    <row r="24" spans="1:23" s="1593" customFormat="1" ht="14.25" customHeight="1">
      <c r="A24" s="1586"/>
      <c r="B24" s="1587" t="s">
        <v>240</v>
      </c>
      <c r="C24" s="1588">
        <v>333</v>
      </c>
      <c r="D24" s="1588">
        <v>150.6</v>
      </c>
      <c r="E24" s="1588">
        <v>3674</v>
      </c>
      <c r="F24" s="1588">
        <v>3000.4</v>
      </c>
      <c r="G24" s="1588">
        <v>6671.4</v>
      </c>
      <c r="H24" s="1589">
        <v>7004.4</v>
      </c>
      <c r="I24" s="1590">
        <v>40</v>
      </c>
      <c r="J24" s="1588">
        <v>2502.4</v>
      </c>
      <c r="K24" s="1588">
        <v>899.6</v>
      </c>
      <c r="L24" s="1588">
        <v>3389.7</v>
      </c>
      <c r="M24" s="1589">
        <v>3429.7</v>
      </c>
      <c r="N24" s="1591">
        <v>8</v>
      </c>
      <c r="O24" s="2511"/>
      <c r="P24" s="2511"/>
      <c r="Q24" s="2511"/>
      <c r="R24" s="2511"/>
      <c r="S24" s="2511"/>
      <c r="T24" s="2511"/>
      <c r="U24" s="1592">
        <v>10442.099999999999</v>
      </c>
      <c r="V24" s="1578"/>
      <c r="W24" s="1578"/>
    </row>
    <row r="25" spans="1:23" s="1593" customFormat="1" ht="15.75" customHeight="1">
      <c r="A25" s="1586"/>
      <c r="B25" s="1587" t="s">
        <v>241</v>
      </c>
      <c r="C25" s="1588">
        <v>400.06</v>
      </c>
      <c r="D25" s="1588">
        <v>201.61</v>
      </c>
      <c r="E25" s="1588">
        <v>4136</v>
      </c>
      <c r="F25" s="1588">
        <v>3074</v>
      </c>
      <c r="G25" s="1588">
        <v>7210</v>
      </c>
      <c r="H25" s="1589">
        <f>+C25+G25</f>
        <v>7610.06</v>
      </c>
      <c r="I25" s="1590">
        <v>39.164999999999999</v>
      </c>
      <c r="J25" s="1588">
        <v>3030.8</v>
      </c>
      <c r="K25" s="1588">
        <v>592.11699999999996</v>
      </c>
      <c r="L25" s="1588">
        <f>+J25+K25</f>
        <v>3622.9170000000004</v>
      </c>
      <c r="M25" s="1589">
        <f>+I25+L25</f>
        <v>3662.0820000000003</v>
      </c>
      <c r="N25" s="1591">
        <v>8.1940000000000008</v>
      </c>
      <c r="O25" s="2510"/>
      <c r="P25" s="2510"/>
      <c r="Q25" s="2510"/>
      <c r="R25" s="2510"/>
      <c r="S25" s="2510"/>
      <c r="T25" s="2510"/>
      <c r="U25" s="1592">
        <f>+N25+M25+H25</f>
        <v>11280.336000000001</v>
      </c>
      <c r="V25" s="1578"/>
      <c r="W25" s="1578"/>
    </row>
    <row r="26" spans="1:23" s="1595" customFormat="1" ht="20.25" customHeight="1">
      <c r="A26" s="1579">
        <v>2021</v>
      </c>
      <c r="B26" s="1580" t="s">
        <v>242</v>
      </c>
      <c r="C26" s="1581">
        <v>395.1</v>
      </c>
      <c r="D26" s="1581">
        <v>193.18</v>
      </c>
      <c r="E26" s="1581">
        <v>4015.9</v>
      </c>
      <c r="F26" s="1581">
        <v>3095.9</v>
      </c>
      <c r="G26" s="1581">
        <v>7111.9</v>
      </c>
      <c r="H26" s="1582">
        <f>C26+G26</f>
        <v>7507</v>
      </c>
      <c r="I26" s="1583">
        <v>41.05</v>
      </c>
      <c r="J26" s="1581">
        <v>2202.9499999999998</v>
      </c>
      <c r="K26" s="1581">
        <v>1456.3</v>
      </c>
      <c r="L26" s="1581">
        <v>3659.3</v>
      </c>
      <c r="M26" s="1582">
        <f>I26+L26</f>
        <v>3700.3500000000004</v>
      </c>
      <c r="N26" s="1584">
        <v>8.3970000000000002</v>
      </c>
      <c r="O26" s="2510"/>
      <c r="P26" s="2510"/>
      <c r="Q26" s="2510"/>
      <c r="R26" s="2510"/>
      <c r="S26" s="2510"/>
      <c r="T26" s="2510"/>
      <c r="U26" s="1585">
        <f>H26+M26+N26</f>
        <v>11215.747000000001</v>
      </c>
      <c r="V26" s="1594"/>
      <c r="W26" s="1594"/>
    </row>
    <row r="27" spans="1:23" s="1595" customFormat="1" ht="14.25" customHeight="1">
      <c r="A27" s="1579"/>
      <c r="B27" s="1580" t="s">
        <v>243</v>
      </c>
      <c r="C27" s="1581">
        <v>404.18</v>
      </c>
      <c r="D27" s="1581">
        <v>190.95699999999999</v>
      </c>
      <c r="E27" s="1581">
        <v>4078.9</v>
      </c>
      <c r="F27" s="1581">
        <v>3259.9</v>
      </c>
      <c r="G27" s="1581">
        <v>7338.7</v>
      </c>
      <c r="H27" s="1582">
        <f>C27+G27</f>
        <v>7742.88</v>
      </c>
      <c r="I27" s="1583">
        <v>41.14</v>
      </c>
      <c r="J27" s="1581">
        <v>2328.6999999999998</v>
      </c>
      <c r="K27" s="1581">
        <v>1512.8</v>
      </c>
      <c r="L27" s="1581">
        <v>3841.5</v>
      </c>
      <c r="M27" s="1582">
        <f>I27+L27</f>
        <v>3882.64</v>
      </c>
      <c r="N27" s="1584">
        <v>7.17</v>
      </c>
      <c r="O27" s="2512"/>
      <c r="P27" s="2512"/>
      <c r="Q27" s="2512"/>
      <c r="R27" s="2512"/>
      <c r="S27" s="2512"/>
      <c r="T27" s="2512"/>
      <c r="U27" s="1585">
        <f>H27+M27+N27</f>
        <v>11632.69</v>
      </c>
      <c r="V27" s="1594"/>
      <c r="W27" s="1594"/>
    </row>
    <row r="28" spans="1:23" s="1595" customFormat="1" ht="14.25" customHeight="1">
      <c r="A28" s="1579"/>
      <c r="B28" s="1580" t="s">
        <v>240</v>
      </c>
      <c r="C28" s="2102">
        <v>414.9</v>
      </c>
      <c r="D28" s="2102">
        <v>141.1</v>
      </c>
      <c r="E28" s="2102">
        <v>4069.7</v>
      </c>
      <c r="F28" s="2102">
        <v>3425</v>
      </c>
      <c r="G28" s="2102">
        <f>+E28+F28</f>
        <v>7494.7</v>
      </c>
      <c r="H28" s="2103">
        <f>+C28+G28</f>
        <v>7909.5999999999995</v>
      </c>
      <c r="I28" s="2104">
        <v>44.1</v>
      </c>
      <c r="J28" s="2102">
        <v>2701.3</v>
      </c>
      <c r="K28" s="2102">
        <v>1087.2</v>
      </c>
      <c r="L28" s="2102">
        <f>+J28+K28</f>
        <v>3788.5</v>
      </c>
      <c r="M28" s="2103">
        <f>+L28+I28</f>
        <v>3832.6</v>
      </c>
      <c r="N28" s="2105">
        <v>9</v>
      </c>
      <c r="O28" s="2512"/>
      <c r="P28" s="2512"/>
      <c r="Q28" s="2512"/>
      <c r="R28" s="2512"/>
      <c r="S28" s="2512"/>
      <c r="T28" s="2512"/>
      <c r="U28" s="2106">
        <f>+N28+M28+H28</f>
        <v>11751.199999999999</v>
      </c>
      <c r="V28" s="1594"/>
      <c r="W28" s="1594"/>
    </row>
    <row r="29" spans="1:23" s="1595" customFormat="1" ht="14.25" customHeight="1">
      <c r="A29" s="1579"/>
      <c r="B29" s="1580" t="s">
        <v>241</v>
      </c>
      <c r="C29" s="2102">
        <v>367.12700000000001</v>
      </c>
      <c r="D29" s="2102">
        <v>139.88</v>
      </c>
      <c r="E29" s="2102">
        <v>4101.0249999999996</v>
      </c>
      <c r="F29" s="2146">
        <f>3314.626+0.03</f>
        <v>3314.6560000000004</v>
      </c>
      <c r="G29" s="2102">
        <f>+E29+F29</f>
        <v>7415.6810000000005</v>
      </c>
      <c r="H29" s="2103">
        <f>+C29+G29</f>
        <v>7782.8080000000009</v>
      </c>
      <c r="I29" s="2104">
        <v>45.77</v>
      </c>
      <c r="J29" s="2102">
        <v>2430.5459999999998</v>
      </c>
      <c r="K29" s="2102">
        <v>1473.9059999999999</v>
      </c>
      <c r="L29" s="2146">
        <f>+J29+K29-0.01</f>
        <v>3904.4419999999996</v>
      </c>
      <c r="M29" s="2103">
        <f>+L29+I29</f>
        <v>3950.2119999999995</v>
      </c>
      <c r="N29" s="2105">
        <v>8.7080000000000002</v>
      </c>
      <c r="O29" s="2510"/>
      <c r="P29" s="2510"/>
      <c r="Q29" s="2510"/>
      <c r="R29" s="2510"/>
      <c r="S29" s="2510"/>
      <c r="T29" s="2510"/>
      <c r="U29" s="2106">
        <f>+N29+M29+H29</f>
        <v>11741.728000000001</v>
      </c>
      <c r="V29" s="1594"/>
      <c r="W29" s="1594"/>
    </row>
    <row r="30" spans="1:23" s="1595" customFormat="1" ht="20.25" customHeight="1">
      <c r="A30" s="1579">
        <v>2022</v>
      </c>
      <c r="B30" s="1580" t="s">
        <v>242</v>
      </c>
      <c r="C30" s="1581">
        <v>755</v>
      </c>
      <c r="D30" s="1581">
        <v>276.89999999999998</v>
      </c>
      <c r="E30" s="1581">
        <v>4161.3</v>
      </c>
      <c r="F30" s="1581">
        <v>3265.6</v>
      </c>
      <c r="G30" s="2102">
        <f>+E30+F30</f>
        <v>7426.9</v>
      </c>
      <c r="H30" s="2103">
        <f>+C30+G30</f>
        <v>8181.9</v>
      </c>
      <c r="I30" s="1583">
        <v>47.2</v>
      </c>
      <c r="J30" s="1581">
        <v>2835.8</v>
      </c>
      <c r="K30" s="1581">
        <v>1102.5999999999999</v>
      </c>
      <c r="L30" s="2102">
        <f>+J30+K30</f>
        <v>3938.4</v>
      </c>
      <c r="M30" s="2103">
        <f>+L30+I30</f>
        <v>3985.6</v>
      </c>
      <c r="N30" s="1584">
        <v>7.5</v>
      </c>
      <c r="O30" s="2512"/>
      <c r="P30" s="2512"/>
      <c r="Q30" s="2512"/>
      <c r="R30" s="2512"/>
      <c r="S30" s="2512"/>
      <c r="T30" s="2512"/>
      <c r="U30" s="2106">
        <f>+N30+M30+H30</f>
        <v>12175</v>
      </c>
      <c r="V30" s="1594"/>
      <c r="W30" s="1594"/>
    </row>
    <row r="31" spans="1:23" s="1595" customFormat="1" ht="14.25" customHeight="1">
      <c r="A31" s="1579"/>
      <c r="B31" s="1580" t="s">
        <v>243</v>
      </c>
      <c r="C31" s="2102">
        <v>686.2</v>
      </c>
      <c r="D31" s="2102">
        <v>595.79999999999995</v>
      </c>
      <c r="E31" s="2102">
        <v>3808.9</v>
      </c>
      <c r="F31" s="2102">
        <v>3491.2</v>
      </c>
      <c r="G31" s="2102">
        <v>7300.1</v>
      </c>
      <c r="H31" s="2103">
        <v>7986.3</v>
      </c>
      <c r="I31" s="2104">
        <v>30.1</v>
      </c>
      <c r="J31" s="2102">
        <v>2489.4</v>
      </c>
      <c r="K31" s="2102">
        <v>960.2</v>
      </c>
      <c r="L31" s="2102">
        <v>3449.6000000000004</v>
      </c>
      <c r="M31" s="2103">
        <v>3479.7000000000003</v>
      </c>
      <c r="N31" s="2105">
        <v>7.3</v>
      </c>
      <c r="O31" s="2512"/>
      <c r="P31" s="2512"/>
      <c r="Q31" s="2512"/>
      <c r="R31" s="2512"/>
      <c r="S31" s="2512"/>
      <c r="T31" s="2512"/>
      <c r="U31" s="2106">
        <v>11473.300000000001</v>
      </c>
      <c r="V31" s="1594"/>
      <c r="W31" s="1594"/>
    </row>
    <row r="32" spans="1:23" s="1595" customFormat="1" ht="14.25" customHeight="1">
      <c r="A32" s="1579"/>
      <c r="B32" s="1580" t="s">
        <v>240</v>
      </c>
      <c r="C32" s="2102">
        <v>747.3</v>
      </c>
      <c r="D32" s="2102">
        <v>543.5</v>
      </c>
      <c r="E32" s="2102">
        <v>3552.3</v>
      </c>
      <c r="F32" s="2102">
        <v>3430.1</v>
      </c>
      <c r="G32" s="2102">
        <f t="shared" ref="G32:G37" si="0">SUM(E32:F32)</f>
        <v>6982.4</v>
      </c>
      <c r="H32" s="2103">
        <f t="shared" ref="H32:H43" si="1">C32+G32</f>
        <v>7729.7</v>
      </c>
      <c r="I32" s="2104">
        <v>47.4</v>
      </c>
      <c r="J32" s="2102">
        <v>2523.6</v>
      </c>
      <c r="K32" s="2102">
        <v>916.5</v>
      </c>
      <c r="L32" s="2102">
        <f t="shared" ref="L32:L37" si="2">SUM(J32:K32)</f>
        <v>3440.1</v>
      </c>
      <c r="M32" s="2103">
        <f t="shared" ref="M32:M43" si="3">I32+L32</f>
        <v>3487.5</v>
      </c>
      <c r="N32" s="2105">
        <v>7.1</v>
      </c>
      <c r="O32" s="2512"/>
      <c r="P32" s="2512"/>
      <c r="Q32" s="2512"/>
      <c r="R32" s="2512"/>
      <c r="S32" s="2512"/>
      <c r="T32" s="2512"/>
      <c r="U32" s="2106">
        <f t="shared" ref="U32:U43" si="4">H32+M32+N32</f>
        <v>11224.300000000001</v>
      </c>
      <c r="V32" s="1594"/>
      <c r="W32" s="1594"/>
    </row>
    <row r="33" spans="1:23" s="1595" customFormat="1" ht="15.75" customHeight="1">
      <c r="A33" s="1579"/>
      <c r="B33" s="1580" t="s">
        <v>241</v>
      </c>
      <c r="C33" s="2102">
        <v>713.5</v>
      </c>
      <c r="D33" s="2102">
        <v>538.70000000000005</v>
      </c>
      <c r="E33" s="2102">
        <v>3578.6</v>
      </c>
      <c r="F33" s="2102">
        <v>3371.6</v>
      </c>
      <c r="G33" s="2102">
        <f t="shared" si="0"/>
        <v>6950.2</v>
      </c>
      <c r="H33" s="2103">
        <f t="shared" si="1"/>
        <v>7663.7</v>
      </c>
      <c r="I33" s="2104">
        <v>46.4</v>
      </c>
      <c r="J33" s="2102">
        <v>2757</v>
      </c>
      <c r="K33" s="2102">
        <v>1171.3</v>
      </c>
      <c r="L33" s="2102">
        <f t="shared" si="2"/>
        <v>3928.3</v>
      </c>
      <c r="M33" s="2103">
        <f t="shared" si="3"/>
        <v>3974.7000000000003</v>
      </c>
      <c r="N33" s="2105">
        <v>7.2</v>
      </c>
      <c r="O33" s="2510"/>
      <c r="P33" s="2510"/>
      <c r="Q33" s="2510"/>
      <c r="R33" s="2510"/>
      <c r="S33" s="2510"/>
      <c r="T33" s="2510"/>
      <c r="U33" s="2106">
        <f t="shared" si="4"/>
        <v>11645.6</v>
      </c>
      <c r="V33" s="1594"/>
      <c r="W33" s="1594"/>
    </row>
    <row r="34" spans="1:23" s="1595" customFormat="1" ht="20.25" customHeight="1">
      <c r="A34" s="1579">
        <v>2023</v>
      </c>
      <c r="B34" s="1580" t="s">
        <v>242</v>
      </c>
      <c r="C34" s="1581">
        <v>711.9</v>
      </c>
      <c r="D34" s="1581">
        <v>545.6</v>
      </c>
      <c r="E34" s="1581">
        <v>3552.2</v>
      </c>
      <c r="F34" s="1581">
        <v>3730.1</v>
      </c>
      <c r="G34" s="2102">
        <f t="shared" si="0"/>
        <v>7282.2999999999993</v>
      </c>
      <c r="H34" s="2103">
        <f t="shared" si="1"/>
        <v>7994.1999999999989</v>
      </c>
      <c r="I34" s="1583">
        <v>47.1</v>
      </c>
      <c r="J34" s="1581">
        <v>2465.5</v>
      </c>
      <c r="K34" s="1581">
        <v>1226.4000000000001</v>
      </c>
      <c r="L34" s="2102">
        <f t="shared" si="2"/>
        <v>3691.9</v>
      </c>
      <c r="M34" s="2103">
        <f t="shared" si="3"/>
        <v>3739</v>
      </c>
      <c r="N34" s="1584">
        <v>7.4</v>
      </c>
      <c r="O34" s="2512"/>
      <c r="P34" s="2512"/>
      <c r="Q34" s="2512"/>
      <c r="R34" s="2512"/>
      <c r="S34" s="2512"/>
      <c r="T34" s="2512"/>
      <c r="U34" s="2106">
        <f t="shared" si="4"/>
        <v>11740.599999999999</v>
      </c>
      <c r="V34" s="1594"/>
      <c r="W34" s="1594"/>
    </row>
    <row r="35" spans="1:23" s="1595" customFormat="1" ht="14.25" customHeight="1">
      <c r="A35" s="1579"/>
      <c r="B35" s="1580" t="s">
        <v>243</v>
      </c>
      <c r="C35" s="2102">
        <v>732.2</v>
      </c>
      <c r="D35" s="2102">
        <v>553.9</v>
      </c>
      <c r="E35" s="2102">
        <v>3510.1</v>
      </c>
      <c r="F35" s="2102">
        <v>3790.5</v>
      </c>
      <c r="G35" s="2102">
        <f t="shared" si="0"/>
        <v>7300.6</v>
      </c>
      <c r="H35" s="2103">
        <f t="shared" si="1"/>
        <v>8032.8</v>
      </c>
      <c r="I35" s="2104">
        <v>46.9</v>
      </c>
      <c r="J35" s="2102">
        <v>2670.7</v>
      </c>
      <c r="K35" s="2102">
        <v>1384.8</v>
      </c>
      <c r="L35" s="2102">
        <f t="shared" si="2"/>
        <v>4055.5</v>
      </c>
      <c r="M35" s="2103">
        <f t="shared" si="3"/>
        <v>4102.3999999999996</v>
      </c>
      <c r="N35" s="2105">
        <v>5.5</v>
      </c>
      <c r="O35" s="2512"/>
      <c r="P35" s="2512"/>
      <c r="Q35" s="2512"/>
      <c r="R35" s="2512"/>
      <c r="S35" s="2512"/>
      <c r="T35" s="2512"/>
      <c r="U35" s="2106">
        <f t="shared" si="4"/>
        <v>12140.7</v>
      </c>
      <c r="V35" s="1594"/>
      <c r="W35" s="1594"/>
    </row>
    <row r="36" spans="1:23" s="1595" customFormat="1" ht="14.25" customHeight="1">
      <c r="A36" s="1579"/>
      <c r="B36" s="1580" t="s">
        <v>240</v>
      </c>
      <c r="C36" s="2102">
        <v>719.3</v>
      </c>
      <c r="D36" s="2102">
        <v>550.9</v>
      </c>
      <c r="E36" s="2102">
        <v>3402.4</v>
      </c>
      <c r="F36" s="2102">
        <v>3865.4</v>
      </c>
      <c r="G36" s="2102">
        <f t="shared" si="0"/>
        <v>7267.8</v>
      </c>
      <c r="H36" s="2103">
        <f t="shared" si="1"/>
        <v>7987.1</v>
      </c>
      <c r="I36" s="2104">
        <v>48.6</v>
      </c>
      <c r="J36" s="2102">
        <v>2649.5</v>
      </c>
      <c r="K36" s="2102">
        <v>1348.4</v>
      </c>
      <c r="L36" s="2102">
        <f t="shared" si="2"/>
        <v>3997.9</v>
      </c>
      <c r="M36" s="2103">
        <f t="shared" si="3"/>
        <v>4046.5</v>
      </c>
      <c r="N36" s="2105">
        <v>5.6</v>
      </c>
      <c r="O36" s="2512"/>
      <c r="P36" s="2512"/>
      <c r="Q36" s="2512"/>
      <c r="R36" s="2512"/>
      <c r="S36" s="2512"/>
      <c r="T36" s="2512"/>
      <c r="U36" s="2106">
        <f t="shared" si="4"/>
        <v>12039.2</v>
      </c>
      <c r="V36" s="1594"/>
      <c r="W36" s="1594"/>
    </row>
    <row r="37" spans="1:23" s="1595" customFormat="1" ht="15.75" customHeight="1">
      <c r="A37" s="1579"/>
      <c r="B37" s="1580" t="s">
        <v>241</v>
      </c>
      <c r="C37" s="2102">
        <v>716.8</v>
      </c>
      <c r="D37" s="2102">
        <v>543.1</v>
      </c>
      <c r="E37" s="2102">
        <v>3307.6</v>
      </c>
      <c r="F37" s="2102">
        <v>3867</v>
      </c>
      <c r="G37" s="2102">
        <f t="shared" si="0"/>
        <v>7174.6</v>
      </c>
      <c r="H37" s="2103">
        <f t="shared" si="1"/>
        <v>7891.4000000000005</v>
      </c>
      <c r="I37" s="2104">
        <v>48.9</v>
      </c>
      <c r="J37" s="2102">
        <v>2650.1</v>
      </c>
      <c r="K37" s="2102">
        <v>1333.8</v>
      </c>
      <c r="L37" s="2102">
        <f t="shared" si="2"/>
        <v>3983.8999999999996</v>
      </c>
      <c r="M37" s="2103">
        <f t="shared" si="3"/>
        <v>4032.7999999999997</v>
      </c>
      <c r="N37" s="2105">
        <v>5.5</v>
      </c>
      <c r="O37" s="2510"/>
      <c r="P37" s="2510"/>
      <c r="Q37" s="2510"/>
      <c r="R37" s="2510"/>
      <c r="S37" s="2510"/>
      <c r="T37" s="2510"/>
      <c r="U37" s="2106">
        <f t="shared" si="4"/>
        <v>11929.7</v>
      </c>
      <c r="V37" s="1594"/>
      <c r="W37" s="1594"/>
    </row>
    <row r="38" spans="1:23" s="1595" customFormat="1" ht="20.25" customHeight="1">
      <c r="A38" s="1579">
        <v>2024</v>
      </c>
      <c r="B38" s="1580" t="s">
        <v>242</v>
      </c>
      <c r="C38" s="1581">
        <v>704.9</v>
      </c>
      <c r="D38" s="1581">
        <v>530.5</v>
      </c>
      <c r="E38" s="1581">
        <v>3301.4</v>
      </c>
      <c r="F38" s="1581">
        <v>3866.8</v>
      </c>
      <c r="G38" s="2102">
        <f t="shared" ref="G38:G43" si="5">SUM(E38:F38)</f>
        <v>7168.2000000000007</v>
      </c>
      <c r="H38" s="2103">
        <f t="shared" si="1"/>
        <v>7873.1</v>
      </c>
      <c r="I38" s="1583">
        <v>49.2</v>
      </c>
      <c r="J38" s="1581">
        <v>2784.3</v>
      </c>
      <c r="K38" s="1581">
        <v>1408.2</v>
      </c>
      <c r="L38" s="2102">
        <f t="shared" ref="L38:L43" si="6">SUM(J38:K38)</f>
        <v>4192.5</v>
      </c>
      <c r="M38" s="2103">
        <f t="shared" si="3"/>
        <v>4241.7</v>
      </c>
      <c r="N38" s="1584">
        <v>5.6</v>
      </c>
      <c r="O38" s="2512"/>
      <c r="P38" s="2512"/>
      <c r="Q38" s="2512"/>
      <c r="R38" s="2512"/>
      <c r="S38" s="2512"/>
      <c r="T38" s="2512"/>
      <c r="U38" s="2106">
        <f t="shared" si="4"/>
        <v>12120.4</v>
      </c>
      <c r="V38" s="1594"/>
      <c r="W38" s="1594"/>
    </row>
    <row r="39" spans="1:23" s="1595" customFormat="1" ht="14.25" customHeight="1">
      <c r="A39" s="1579"/>
      <c r="B39" s="1580" t="s">
        <v>243</v>
      </c>
      <c r="C39" s="2102">
        <v>712.8</v>
      </c>
      <c r="D39" s="2102">
        <v>545</v>
      </c>
      <c r="E39" s="2102">
        <v>3243.9</v>
      </c>
      <c r="F39" s="2102">
        <v>3969.7</v>
      </c>
      <c r="G39" s="2102">
        <f t="shared" si="5"/>
        <v>7213.6</v>
      </c>
      <c r="H39" s="2103">
        <f t="shared" si="1"/>
        <v>7926.4000000000005</v>
      </c>
      <c r="I39" s="2104">
        <v>49.4</v>
      </c>
      <c r="J39" s="2102">
        <v>2794.6</v>
      </c>
      <c r="K39" s="2102">
        <v>2140.9</v>
      </c>
      <c r="L39" s="2102">
        <f t="shared" si="6"/>
        <v>4935.5</v>
      </c>
      <c r="M39" s="2103">
        <f t="shared" si="3"/>
        <v>4984.8999999999996</v>
      </c>
      <c r="N39" s="2105">
        <v>5.2</v>
      </c>
      <c r="O39" s="2512"/>
      <c r="P39" s="2512"/>
      <c r="Q39" s="2512"/>
      <c r="R39" s="2512"/>
      <c r="S39" s="2512"/>
      <c r="T39" s="2512"/>
      <c r="U39" s="2106">
        <f t="shared" si="4"/>
        <v>12916.5</v>
      </c>
      <c r="V39" s="1594"/>
      <c r="W39" s="1594"/>
    </row>
    <row r="40" spans="1:23" s="1595" customFormat="1" ht="14.25" customHeight="1">
      <c r="A40" s="1579"/>
      <c r="B40" s="1580" t="s">
        <v>240</v>
      </c>
      <c r="C40" s="2102">
        <v>709.5</v>
      </c>
      <c r="D40" s="2102">
        <v>555.29999999999995</v>
      </c>
      <c r="E40" s="2102">
        <v>3089.3</v>
      </c>
      <c r="F40" s="2102">
        <v>3993.7</v>
      </c>
      <c r="G40" s="2102">
        <f t="shared" si="5"/>
        <v>7083</v>
      </c>
      <c r="H40" s="2103">
        <f t="shared" si="1"/>
        <v>7792.5</v>
      </c>
      <c r="I40" s="2104">
        <v>50.8</v>
      </c>
      <c r="J40" s="2102">
        <v>2709.2</v>
      </c>
      <c r="K40" s="2102">
        <v>2124</v>
      </c>
      <c r="L40" s="2102">
        <f t="shared" si="6"/>
        <v>4833.2</v>
      </c>
      <c r="M40" s="2103">
        <f t="shared" si="3"/>
        <v>4884</v>
      </c>
      <c r="N40" s="2105">
        <v>5.0999999999999996</v>
      </c>
      <c r="O40" s="2512"/>
      <c r="P40" s="2512"/>
      <c r="Q40" s="2512"/>
      <c r="R40" s="2512"/>
      <c r="S40" s="2512"/>
      <c r="T40" s="2512"/>
      <c r="U40" s="2106">
        <f t="shared" si="4"/>
        <v>12681.6</v>
      </c>
      <c r="V40" s="1594"/>
      <c r="W40" s="1594"/>
    </row>
    <row r="41" spans="1:23" s="1595" customFormat="1" ht="15.75" customHeight="1">
      <c r="A41" s="1579"/>
      <c r="B41" s="1580" t="s">
        <v>241</v>
      </c>
      <c r="C41" s="2102">
        <v>704</v>
      </c>
      <c r="D41" s="2102">
        <v>548.70000000000005</v>
      </c>
      <c r="E41" s="2102">
        <v>3155.5</v>
      </c>
      <c r="F41" s="2102">
        <v>4521.2</v>
      </c>
      <c r="G41" s="2102">
        <f t="shared" si="5"/>
        <v>7676.7</v>
      </c>
      <c r="H41" s="2103">
        <f t="shared" si="1"/>
        <v>8380.7000000000007</v>
      </c>
      <c r="I41" s="2104">
        <v>43.5</v>
      </c>
      <c r="J41" s="2102">
        <v>588.9</v>
      </c>
      <c r="K41" s="2102">
        <v>1738.8</v>
      </c>
      <c r="L41" s="2102">
        <f t="shared" si="6"/>
        <v>2327.6999999999998</v>
      </c>
      <c r="M41" s="2103">
        <f t="shared" si="3"/>
        <v>2371.1999999999998</v>
      </c>
      <c r="N41" s="2105">
        <v>6.1</v>
      </c>
      <c r="O41" s="1584"/>
      <c r="P41" s="1584"/>
      <c r="Q41" s="1584"/>
      <c r="R41" s="1584"/>
      <c r="S41" s="1584"/>
      <c r="T41" s="1584"/>
      <c r="U41" s="2106">
        <f t="shared" si="4"/>
        <v>10758.000000000002</v>
      </c>
      <c r="V41" s="1594"/>
      <c r="W41" s="1594"/>
    </row>
    <row r="42" spans="1:23" s="1595" customFormat="1" ht="20.25" customHeight="1">
      <c r="A42" s="1579">
        <v>2025</v>
      </c>
      <c r="B42" s="1580" t="s">
        <v>242</v>
      </c>
      <c r="C42" s="1581">
        <v>715.9</v>
      </c>
      <c r="D42" s="1581">
        <v>552.9</v>
      </c>
      <c r="E42" s="1581">
        <v>3187.1</v>
      </c>
      <c r="F42" s="1581">
        <v>5154.3999999999996</v>
      </c>
      <c r="G42" s="2102">
        <f t="shared" si="5"/>
        <v>8341.5</v>
      </c>
      <c r="H42" s="2103">
        <f t="shared" si="1"/>
        <v>9057.4</v>
      </c>
      <c r="I42" s="1583">
        <v>34.4</v>
      </c>
      <c r="J42" s="1581">
        <v>585</v>
      </c>
      <c r="K42" s="1581">
        <v>1209.8</v>
      </c>
      <c r="L42" s="2102">
        <f t="shared" si="6"/>
        <v>1794.8</v>
      </c>
      <c r="M42" s="2103">
        <f t="shared" si="3"/>
        <v>1829.2</v>
      </c>
      <c r="N42" s="1584">
        <v>6.1</v>
      </c>
      <c r="O42" s="2105"/>
      <c r="P42" s="2105"/>
      <c r="Q42" s="2105"/>
      <c r="R42" s="2105"/>
      <c r="S42" s="2105"/>
      <c r="T42" s="2105"/>
      <c r="U42" s="2106">
        <f t="shared" si="4"/>
        <v>10892.7</v>
      </c>
      <c r="V42" s="1594"/>
      <c r="W42" s="1594"/>
    </row>
    <row r="43" spans="1:23" s="1595" customFormat="1" ht="14.25" customHeight="1">
      <c r="A43" s="1579"/>
      <c r="B43" s="1580" t="s">
        <v>243</v>
      </c>
      <c r="C43" s="2102">
        <v>731.1</v>
      </c>
      <c r="D43" s="2102">
        <v>568.9</v>
      </c>
      <c r="E43" s="2102">
        <v>3175.2</v>
      </c>
      <c r="F43" s="2102">
        <v>5299</v>
      </c>
      <c r="G43" s="2102">
        <f t="shared" si="5"/>
        <v>8474.2000000000007</v>
      </c>
      <c r="H43" s="2103">
        <f t="shared" si="1"/>
        <v>9205.3000000000011</v>
      </c>
      <c r="I43" s="2104">
        <v>35</v>
      </c>
      <c r="J43" s="2102">
        <v>492.6</v>
      </c>
      <c r="K43" s="2102">
        <v>1433.4</v>
      </c>
      <c r="L43" s="2102">
        <f t="shared" si="6"/>
        <v>1926</v>
      </c>
      <c r="M43" s="2103">
        <f t="shared" si="3"/>
        <v>1961</v>
      </c>
      <c r="N43" s="2105">
        <v>6.3</v>
      </c>
      <c r="O43" s="2105"/>
      <c r="P43" s="2105"/>
      <c r="Q43" s="2105"/>
      <c r="R43" s="2105"/>
      <c r="S43" s="2105"/>
      <c r="T43" s="2105"/>
      <c r="U43" s="2106">
        <f t="shared" si="4"/>
        <v>11172.6</v>
      </c>
      <c r="V43" s="1594"/>
      <c r="W43" s="1594"/>
    </row>
    <row r="44" spans="1:23" s="1595" customFormat="1" ht="14.25" customHeight="1">
      <c r="A44" s="1579"/>
      <c r="B44" s="1580" t="s">
        <v>240</v>
      </c>
      <c r="C44" s="2102">
        <v>735.8</v>
      </c>
      <c r="D44" s="2102">
        <v>570.1</v>
      </c>
      <c r="E44" s="2102">
        <v>3280.5</v>
      </c>
      <c r="F44" s="2102">
        <v>5318.1</v>
      </c>
      <c r="G44" s="2102">
        <f t="shared" ref="G44:G45" si="7">SUM(E44:F44)</f>
        <v>8598.6</v>
      </c>
      <c r="H44" s="2103">
        <f t="shared" ref="H44:H45" si="8">C44+G44</f>
        <v>9334.4</v>
      </c>
      <c r="I44" s="2104">
        <v>35</v>
      </c>
      <c r="J44" s="2102">
        <v>480.2</v>
      </c>
      <c r="K44" s="2102">
        <v>1390.2</v>
      </c>
      <c r="L44" s="2102">
        <f t="shared" ref="L44:L45" si="9">SUM(J44:K44)</f>
        <v>1870.4</v>
      </c>
      <c r="M44" s="2103">
        <f t="shared" ref="M44" si="10">I44+L44</f>
        <v>1905.4</v>
      </c>
      <c r="N44" s="2105">
        <v>6</v>
      </c>
      <c r="O44" s="2105"/>
      <c r="P44" s="2105"/>
      <c r="Q44" s="2105"/>
      <c r="R44" s="2105"/>
      <c r="S44" s="2105"/>
      <c r="T44" s="2105"/>
      <c r="U44" s="2106">
        <f t="shared" ref="U44" si="11">H44+M44+N44</f>
        <v>11245.8</v>
      </c>
      <c r="V44" s="1594"/>
      <c r="W44" s="1594"/>
    </row>
    <row r="45" spans="1:23" s="1595" customFormat="1" ht="14.25" customHeight="1">
      <c r="A45" s="1579"/>
      <c r="B45" s="1580" t="s">
        <v>241</v>
      </c>
      <c r="C45" s="2102">
        <v>724.3</v>
      </c>
      <c r="D45" s="2102">
        <v>559.5</v>
      </c>
      <c r="E45" s="2102">
        <v>3324.8</v>
      </c>
      <c r="F45" s="2102">
        <v>5376.1</v>
      </c>
      <c r="G45" s="2102">
        <f t="shared" si="7"/>
        <v>8700.9000000000015</v>
      </c>
      <c r="H45" s="2103">
        <f t="shared" si="8"/>
        <v>9425.2000000000007</v>
      </c>
      <c r="I45" s="2104">
        <v>21.1</v>
      </c>
      <c r="J45" s="2102">
        <v>467.7</v>
      </c>
      <c r="K45" s="2102">
        <v>961.7</v>
      </c>
      <c r="L45" s="2102">
        <f t="shared" si="9"/>
        <v>1429.4</v>
      </c>
      <c r="M45" s="2103">
        <f>I45+L45</f>
        <v>1450.5</v>
      </c>
      <c r="N45" s="2105">
        <v>6.2</v>
      </c>
      <c r="O45" s="2104">
        <v>8.52</v>
      </c>
      <c r="P45" s="2104">
        <v>0.48</v>
      </c>
      <c r="Q45" s="2104">
        <v>11.2</v>
      </c>
      <c r="R45" s="2104">
        <v>182.9</v>
      </c>
      <c r="S45" s="2105">
        <f>Q45+R45</f>
        <v>194.1</v>
      </c>
      <c r="T45" s="2105">
        <f>O45+S45</f>
        <v>202.62</v>
      </c>
      <c r="U45" s="2103">
        <f>H45+M45+N45+T45</f>
        <v>11084.520000000002</v>
      </c>
      <c r="V45" s="1594"/>
      <c r="W45" s="1594"/>
    </row>
    <row r="46" spans="1:23" s="1595" customFormat="1" ht="20.25" customHeight="1">
      <c r="A46" s="2557">
        <v>2026</v>
      </c>
      <c r="B46" s="2546" t="s">
        <v>242</v>
      </c>
      <c r="C46" s="2548">
        <v>738.7</v>
      </c>
      <c r="D46" s="2548">
        <v>573.29999999999995</v>
      </c>
      <c r="E46" s="2548">
        <v>3245.6</v>
      </c>
      <c r="F46" s="2548">
        <v>5223.3</v>
      </c>
      <c r="G46" s="2547">
        <f>SUM(E46:F46)</f>
        <v>8468.9</v>
      </c>
      <c r="H46" s="2549">
        <v>9207.6</v>
      </c>
      <c r="I46" s="2550">
        <v>20.3</v>
      </c>
      <c r="J46" s="2548">
        <v>446.9</v>
      </c>
      <c r="K46" s="2548">
        <v>954.7</v>
      </c>
      <c r="L46" s="2547">
        <f>SUM(J46:K46)</f>
        <v>1401.6</v>
      </c>
      <c r="M46" s="2549">
        <v>1421.8999999999999</v>
      </c>
      <c r="N46" s="2551">
        <v>6</v>
      </c>
      <c r="O46" s="2550">
        <v>9</v>
      </c>
      <c r="P46" s="2550">
        <v>6.4000000000000003E-3</v>
      </c>
      <c r="Q46" s="2550">
        <v>11.1</v>
      </c>
      <c r="R46" s="2550">
        <v>185.1</v>
      </c>
      <c r="S46" s="2551">
        <v>196.2</v>
      </c>
      <c r="T46" s="2552">
        <v>205.2</v>
      </c>
      <c r="U46" s="2553">
        <v>10840.7</v>
      </c>
      <c r="V46" s="1594"/>
      <c r="W46" s="1594"/>
    </row>
    <row r="47" spans="1:23">
      <c r="A47" s="1596"/>
      <c r="C47" s="1596"/>
      <c r="D47" s="1596"/>
      <c r="E47" s="1596"/>
      <c r="F47" s="1596"/>
      <c r="G47" s="1596"/>
      <c r="H47" s="1596"/>
      <c r="I47" s="1596"/>
      <c r="J47" s="1596"/>
      <c r="K47" s="1596"/>
      <c r="L47" s="1596"/>
      <c r="M47" s="1596"/>
      <c r="N47" s="1596"/>
      <c r="O47" s="1596"/>
      <c r="P47" s="1596"/>
      <c r="Q47" s="1596"/>
      <c r="R47" s="1596"/>
      <c r="S47" s="1596"/>
      <c r="T47" s="1596"/>
      <c r="U47" s="1596"/>
    </row>
    <row r="48" spans="1:23" customFormat="1" ht="12.5">
      <c r="A48" s="655" t="s">
        <v>1232</v>
      </c>
      <c r="B48" s="1"/>
      <c r="C48" s="1"/>
      <c r="D48" s="1"/>
      <c r="E48" s="1"/>
      <c r="F48" s="1"/>
      <c r="G48" s="1"/>
      <c r="H48" s="1"/>
      <c r="I48" s="1"/>
      <c r="J48" s="1"/>
      <c r="K48" s="1"/>
      <c r="L48" s="1"/>
      <c r="M48" s="1"/>
      <c r="N48" s="1"/>
      <c r="O48" s="1"/>
      <c r="P48" s="1"/>
      <c r="Q48" s="1"/>
      <c r="R48" s="1"/>
      <c r="S48" s="1"/>
      <c r="T48" s="1"/>
      <c r="U48" s="1"/>
      <c r="V48" s="1"/>
    </row>
  </sheetData>
  <mergeCells count="20">
    <mergeCell ref="A5:B8"/>
    <mergeCell ref="H7:H8"/>
    <mergeCell ref="I7:I8"/>
    <mergeCell ref="M7:M8"/>
    <mergeCell ref="N7:N8"/>
    <mergeCell ref="A9:B10"/>
    <mergeCell ref="H9:H10"/>
    <mergeCell ref="I9:I10"/>
    <mergeCell ref="M9:M10"/>
    <mergeCell ref="N9:N10"/>
    <mergeCell ref="Q8:S8"/>
    <mergeCell ref="T9:T10"/>
    <mergeCell ref="U9:U10"/>
    <mergeCell ref="U7:U8"/>
    <mergeCell ref="O5:T5"/>
    <mergeCell ref="O6:T6"/>
    <mergeCell ref="O7:P7"/>
    <mergeCell ref="Q7:S7"/>
    <mergeCell ref="T7:T8"/>
    <mergeCell ref="O8:P8"/>
  </mergeCells>
  <printOptions horizontalCentered="1" verticalCentered="1"/>
  <pageMargins left="0" right="0" top="0" bottom="0" header="0.3" footer="0.3"/>
  <pageSetup paperSize="9" scale="53"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tabColor rgb="FF00B050"/>
    <pageSetUpPr fitToPage="1"/>
  </sheetPr>
  <dimension ref="A1:P49"/>
  <sheetViews>
    <sheetView tabSelected="1" zoomScaleNormal="100" workbookViewId="0">
      <pane ySplit="10" topLeftCell="A44" activePane="bottomLeft" state="frozen"/>
      <selection activeCell="B9" sqref="B9"/>
      <selection pane="bottomLeft" activeCell="K55" sqref="K55"/>
    </sheetView>
  </sheetViews>
  <sheetFormatPr defaultColWidth="7.81640625" defaultRowHeight="15.5"/>
  <cols>
    <col min="1" max="2" width="9.81640625" style="236" customWidth="1"/>
    <col min="3" max="3" width="11.81640625" style="236" customWidth="1"/>
    <col min="4" max="4" width="14.26953125" style="236" bestFit="1" customWidth="1"/>
    <col min="5" max="5" width="11.26953125" style="236" bestFit="1" customWidth="1"/>
    <col min="6" max="6" width="11.26953125" style="236" customWidth="1"/>
    <col min="7" max="7" width="11.7265625" style="236" customWidth="1"/>
    <col min="8" max="8" width="12.7265625" style="236" customWidth="1"/>
    <col min="9" max="9" width="13" style="236" customWidth="1"/>
    <col min="10" max="10" width="14.26953125" style="236" customWidth="1"/>
    <col min="11" max="11" width="11.26953125" style="236" customWidth="1"/>
    <col min="12" max="12" width="12" style="236" customWidth="1"/>
    <col min="13" max="13" width="11.81640625" style="236" bestFit="1" customWidth="1"/>
    <col min="14" max="14" width="12.7265625" style="236" bestFit="1" customWidth="1"/>
    <col min="15" max="15" width="12.26953125" style="236" customWidth="1"/>
    <col min="16" max="16" width="11.453125" style="236" customWidth="1"/>
    <col min="17" max="16384" width="7.81640625" style="236"/>
  </cols>
  <sheetData>
    <row r="1" spans="1:16" s="1104" customFormat="1" ht="18" customHeight="1">
      <c r="A1" s="1073" t="s">
        <v>1233</v>
      </c>
      <c r="B1" s="1090"/>
      <c r="C1" s="1090"/>
      <c r="D1" s="1090"/>
      <c r="E1" s="1090"/>
      <c r="F1" s="1090"/>
      <c r="G1" s="1090"/>
      <c r="H1" s="1090"/>
      <c r="I1" s="1090"/>
      <c r="J1" s="1090"/>
      <c r="K1" s="1090"/>
      <c r="L1" s="1090"/>
      <c r="M1" s="1090"/>
      <c r="N1" s="1090"/>
      <c r="O1" s="1090"/>
    </row>
    <row r="2" spans="1:16" s="1104" customFormat="1" ht="18" customHeight="1">
      <c r="A2" s="1419" t="s">
        <v>78</v>
      </c>
      <c r="B2" s="1090"/>
      <c r="C2" s="1090"/>
      <c r="D2" s="1090"/>
      <c r="E2" s="1090"/>
      <c r="F2" s="1090"/>
      <c r="G2" s="1090"/>
      <c r="H2" s="1090"/>
      <c r="I2" s="1090"/>
      <c r="J2" s="1090"/>
      <c r="K2" s="1090"/>
      <c r="L2" s="1090"/>
      <c r="M2" s="1090"/>
      <c r="N2" s="1090"/>
      <c r="O2" s="1090"/>
    </row>
    <row r="3" spans="1:16" s="1104" customFormat="1" ht="18" customHeight="1">
      <c r="A3" s="1073" t="s">
        <v>77</v>
      </c>
      <c r="B3" s="1090"/>
      <c r="C3" s="1090"/>
      <c r="D3" s="1090"/>
      <c r="E3" s="1090"/>
      <c r="F3" s="1090"/>
      <c r="G3" s="1090"/>
      <c r="H3" s="1090"/>
      <c r="I3" s="1090"/>
      <c r="J3" s="1090"/>
      <c r="K3" s="1090"/>
      <c r="L3" s="1090"/>
      <c r="M3" s="1090"/>
      <c r="N3" s="1090"/>
      <c r="O3" s="1090"/>
    </row>
    <row r="4" spans="1:16" s="520" customFormat="1" ht="14.25" customHeight="1">
      <c r="A4" s="517" t="s">
        <v>1234</v>
      </c>
      <c r="B4" s="518"/>
      <c r="C4" s="519"/>
      <c r="D4" s="519"/>
      <c r="E4" s="519"/>
      <c r="F4" s="519"/>
      <c r="G4" s="519"/>
      <c r="H4" s="519"/>
      <c r="I4" s="519"/>
      <c r="J4" s="519"/>
      <c r="K4" s="519"/>
      <c r="L4" s="515"/>
      <c r="M4" s="515"/>
      <c r="N4" s="515"/>
      <c r="O4" s="516" t="s">
        <v>1235</v>
      </c>
    </row>
    <row r="5" spans="1:16" s="520" customFormat="1" ht="18" customHeight="1">
      <c r="A5" s="2623" t="s">
        <v>387</v>
      </c>
      <c r="B5" s="2624"/>
      <c r="C5" s="1420" t="s">
        <v>379</v>
      </c>
      <c r="D5" s="1424"/>
      <c r="E5" s="521"/>
      <c r="F5" s="519"/>
      <c r="G5" s="522"/>
      <c r="H5" s="1421" t="s">
        <v>380</v>
      </c>
      <c r="I5" s="1446"/>
      <c r="J5" s="1437" t="s">
        <v>381</v>
      </c>
      <c r="K5" s="522"/>
      <c r="L5" s="1438"/>
      <c r="M5" s="1439"/>
      <c r="N5" s="522"/>
      <c r="O5" s="1426" t="s">
        <v>382</v>
      </c>
    </row>
    <row r="6" spans="1:16" s="525" customFormat="1" ht="18" customHeight="1">
      <c r="A6" s="2625"/>
      <c r="B6" s="2626"/>
      <c r="C6" s="1422" t="s">
        <v>786</v>
      </c>
      <c r="D6" s="1425"/>
      <c r="E6" s="526"/>
      <c r="F6" s="527"/>
      <c r="G6" s="1423" t="s">
        <v>385</v>
      </c>
      <c r="H6" s="1997"/>
      <c r="I6" s="528"/>
      <c r="J6" s="1437" t="s">
        <v>786</v>
      </c>
      <c r="K6" s="1440"/>
      <c r="L6" s="1441"/>
      <c r="M6" s="1441"/>
      <c r="N6" s="1442" t="s">
        <v>385</v>
      </c>
      <c r="O6" s="529"/>
    </row>
    <row r="7" spans="1:16" s="525" customFormat="1" ht="18" customHeight="1">
      <c r="A7" s="2625"/>
      <c r="B7" s="2626"/>
      <c r="C7" s="1443"/>
      <c r="D7" s="540" t="s">
        <v>1236</v>
      </c>
      <c r="E7" s="532" t="s">
        <v>1237</v>
      </c>
      <c r="F7" s="540" t="s">
        <v>1238</v>
      </c>
      <c r="G7" s="535"/>
      <c r="H7" s="542" t="s">
        <v>1239</v>
      </c>
      <c r="I7" s="528" t="s">
        <v>390</v>
      </c>
      <c r="J7" s="540" t="s">
        <v>1240</v>
      </c>
      <c r="K7" s="532" t="s">
        <v>1241</v>
      </c>
      <c r="L7" s="533" t="s">
        <v>391</v>
      </c>
      <c r="M7" s="97" t="s">
        <v>394</v>
      </c>
      <c r="N7" s="535"/>
      <c r="O7" s="538" t="s">
        <v>391</v>
      </c>
    </row>
    <row r="8" spans="1:16" s="525" customFormat="1" ht="18" customHeight="1">
      <c r="A8" s="2619" t="s">
        <v>395</v>
      </c>
      <c r="B8" s="2620"/>
      <c r="C8" s="539" t="s">
        <v>9</v>
      </c>
      <c r="D8" s="540" t="s">
        <v>441</v>
      </c>
      <c r="E8" s="539" t="s">
        <v>1242</v>
      </c>
      <c r="F8" s="542" t="s">
        <v>788</v>
      </c>
      <c r="G8" s="1444" t="s">
        <v>390</v>
      </c>
      <c r="H8" s="542" t="s">
        <v>1243</v>
      </c>
      <c r="I8" s="543" t="s">
        <v>400</v>
      </c>
      <c r="J8" s="540" t="s">
        <v>441</v>
      </c>
      <c r="K8" s="544" t="s">
        <v>1242</v>
      </c>
      <c r="L8" s="533" t="s">
        <v>788</v>
      </c>
      <c r="M8" s="97" t="s">
        <v>837</v>
      </c>
      <c r="N8" s="534" t="s">
        <v>390</v>
      </c>
      <c r="O8" s="538" t="s">
        <v>1243</v>
      </c>
    </row>
    <row r="9" spans="1:16" s="525" customFormat="1" ht="18" customHeight="1">
      <c r="A9" s="2619"/>
      <c r="B9" s="2620"/>
      <c r="C9" s="549" t="s">
        <v>812</v>
      </c>
      <c r="D9" s="540" t="s">
        <v>1244</v>
      </c>
      <c r="E9" s="540" t="s">
        <v>1245</v>
      </c>
      <c r="F9" s="545" t="s">
        <v>407</v>
      </c>
      <c r="G9" s="549" t="s">
        <v>400</v>
      </c>
      <c r="H9" s="1445" t="s">
        <v>388</v>
      </c>
      <c r="I9" s="543"/>
      <c r="J9" s="540" t="s">
        <v>1246</v>
      </c>
      <c r="K9" s="540" t="s">
        <v>1247</v>
      </c>
      <c r="L9" s="549" t="s">
        <v>407</v>
      </c>
      <c r="M9" s="239" t="s">
        <v>1248</v>
      </c>
      <c r="N9" s="549" t="s">
        <v>400</v>
      </c>
      <c r="O9" s="550" t="s">
        <v>388</v>
      </c>
      <c r="P9" s="2696" t="s">
        <v>1249</v>
      </c>
    </row>
    <row r="10" spans="1:16" s="552" customFormat="1" ht="18" customHeight="1">
      <c r="A10" s="2621"/>
      <c r="B10" s="2622"/>
      <c r="C10" s="1448"/>
      <c r="D10" s="1839" t="s">
        <v>413</v>
      </c>
      <c r="E10" s="554" t="s">
        <v>1250</v>
      </c>
      <c r="F10" s="553" t="s">
        <v>379</v>
      </c>
      <c r="G10" s="1840"/>
      <c r="H10" s="1995" t="s">
        <v>379</v>
      </c>
      <c r="I10" s="1841"/>
      <c r="J10" s="1839" t="s">
        <v>413</v>
      </c>
      <c r="K10" s="554" t="s">
        <v>1250</v>
      </c>
      <c r="L10" s="1842" t="s">
        <v>381</v>
      </c>
      <c r="M10" s="1842" t="s">
        <v>418</v>
      </c>
      <c r="N10" s="1448"/>
      <c r="O10" s="1843" t="s">
        <v>381</v>
      </c>
      <c r="P10" s="2696"/>
    </row>
    <row r="11" spans="1:16" s="889" customFormat="1" ht="20.25" customHeight="1">
      <c r="A11" s="884">
        <v>2017</v>
      </c>
      <c r="B11" s="916" t="s">
        <v>242</v>
      </c>
      <c r="C11" s="384">
        <v>48566.319000000003</v>
      </c>
      <c r="D11" s="384">
        <v>4923.9269999999997</v>
      </c>
      <c r="E11" s="384">
        <v>1338.7750000000001</v>
      </c>
      <c r="F11" s="384">
        <v>27137.902999999998</v>
      </c>
      <c r="G11" s="384">
        <f t="shared" ref="G11" si="0">SUM(C11:F11)</f>
        <v>81966.923999999999</v>
      </c>
      <c r="H11" s="1235">
        <v>38733.561000000002</v>
      </c>
      <c r="I11" s="1447">
        <f t="shared" ref="I11" si="1">SUM(G11:H11)</f>
        <v>120700.485</v>
      </c>
      <c r="J11" s="1538">
        <v>30327.949000000001</v>
      </c>
      <c r="K11" s="384">
        <v>175.63399999999999</v>
      </c>
      <c r="L11" s="384">
        <v>11563.821</v>
      </c>
      <c r="M11" s="384">
        <v>65158.478999999999</v>
      </c>
      <c r="N11" s="384">
        <f t="shared" ref="N11" si="2">SUM(J11:M11)</f>
        <v>107225.883</v>
      </c>
      <c r="O11" s="384">
        <v>13474.602000000001</v>
      </c>
      <c r="P11" s="1539">
        <f t="shared" ref="P11" si="3">I11-SUM(N11:O11)</f>
        <v>0</v>
      </c>
    </row>
    <row r="12" spans="1:16" s="889" customFormat="1" ht="14.25" customHeight="1">
      <c r="A12" s="265"/>
      <c r="B12" s="916" t="s">
        <v>243</v>
      </c>
      <c r="C12" s="384">
        <v>57826.665999999997</v>
      </c>
      <c r="D12" s="384">
        <v>4823.0469999999996</v>
      </c>
      <c r="E12" s="384">
        <v>1755.8720000000001</v>
      </c>
      <c r="F12" s="384">
        <v>27842.030999999999</v>
      </c>
      <c r="G12" s="384">
        <f t="shared" ref="G12:G18" si="4">SUM(C12:F12)</f>
        <v>92247.615999999995</v>
      </c>
      <c r="H12" s="1235">
        <v>40646.851000000002</v>
      </c>
      <c r="I12" s="1447">
        <f t="shared" ref="I12:I18" si="5">SUM(G12:H12)</f>
        <v>132894.467</v>
      </c>
      <c r="J12" s="1538">
        <v>38837.875</v>
      </c>
      <c r="K12" s="384">
        <v>76.688999999999993</v>
      </c>
      <c r="L12" s="384">
        <v>12300.843999999999</v>
      </c>
      <c r="M12" s="384">
        <v>68781.760999999999</v>
      </c>
      <c r="N12" s="384">
        <f t="shared" ref="N12:N18" si="6">SUM(J12:M12)</f>
        <v>119997.16899999999</v>
      </c>
      <c r="O12" s="384">
        <v>12897.298000000001</v>
      </c>
      <c r="P12" s="1539">
        <f>I12-SUM(N12:O12)</f>
        <v>0</v>
      </c>
    </row>
    <row r="13" spans="1:16" s="889" customFormat="1" ht="14.25" customHeight="1">
      <c r="A13" s="265"/>
      <c r="B13" s="916" t="s">
        <v>240</v>
      </c>
      <c r="C13" s="384">
        <v>76983.077999999994</v>
      </c>
      <c r="D13" s="384">
        <v>4830.2389999999996</v>
      </c>
      <c r="E13" s="384">
        <v>6438.692</v>
      </c>
      <c r="F13" s="384">
        <v>28938.654999999999</v>
      </c>
      <c r="G13" s="384">
        <f t="shared" si="4"/>
        <v>117190.66399999999</v>
      </c>
      <c r="H13" s="1235">
        <v>28773.835999999999</v>
      </c>
      <c r="I13" s="1447">
        <f t="shared" si="5"/>
        <v>145964.5</v>
      </c>
      <c r="J13" s="1538">
        <v>34033.040999999997</v>
      </c>
      <c r="K13" s="384">
        <v>72.972999999999999</v>
      </c>
      <c r="L13" s="384">
        <v>12888.214</v>
      </c>
      <c r="M13" s="384">
        <v>70575.596000000005</v>
      </c>
      <c r="N13" s="384">
        <f t="shared" si="6"/>
        <v>117569.82399999999</v>
      </c>
      <c r="O13" s="384">
        <v>28394.674999999999</v>
      </c>
      <c r="P13" s="1539">
        <f t="shared" ref="P13:P36" si="7">I13-SUM(N13:O13)</f>
        <v>1.0000000183936208E-3</v>
      </c>
    </row>
    <row r="14" spans="1:16" s="889" customFormat="1" ht="14.25" customHeight="1">
      <c r="A14" s="265"/>
      <c r="B14" s="916" t="s">
        <v>241</v>
      </c>
      <c r="C14" s="384">
        <v>53188.843999999997</v>
      </c>
      <c r="D14" s="384">
        <v>4831.29</v>
      </c>
      <c r="E14" s="384">
        <v>1000.2670000000001</v>
      </c>
      <c r="F14" s="384">
        <v>17667.021000000001</v>
      </c>
      <c r="G14" s="384">
        <f t="shared" si="4"/>
        <v>76687.421999999991</v>
      </c>
      <c r="H14" s="1235">
        <v>42744.773000000001</v>
      </c>
      <c r="I14" s="1447">
        <f t="shared" si="5"/>
        <v>119432.19499999999</v>
      </c>
      <c r="J14" s="1538">
        <v>31255.962</v>
      </c>
      <c r="K14" s="384">
        <v>128.38800000000001</v>
      </c>
      <c r="L14" s="384">
        <v>9825.7450000000008</v>
      </c>
      <c r="M14" s="384">
        <v>60881.508000000002</v>
      </c>
      <c r="N14" s="384">
        <f t="shared" si="6"/>
        <v>102091.603</v>
      </c>
      <c r="O14" s="384">
        <v>17340.592000000001</v>
      </c>
      <c r="P14" s="1539">
        <f t="shared" si="7"/>
        <v>0</v>
      </c>
    </row>
    <row r="15" spans="1:16" s="889" customFormat="1" ht="20.25" customHeight="1">
      <c r="A15" s="884">
        <v>2018</v>
      </c>
      <c r="B15" s="916" t="s">
        <v>242</v>
      </c>
      <c r="C15" s="384">
        <v>80019.054999999993</v>
      </c>
      <c r="D15" s="384">
        <v>4987.3919999999998</v>
      </c>
      <c r="E15" s="384">
        <v>1170.886</v>
      </c>
      <c r="F15" s="384">
        <v>37002.160000000003</v>
      </c>
      <c r="G15" s="384">
        <f t="shared" si="4"/>
        <v>123179.49299999999</v>
      </c>
      <c r="H15" s="1235">
        <v>34930.497000000003</v>
      </c>
      <c r="I15" s="1447">
        <f t="shared" si="5"/>
        <v>158109.99</v>
      </c>
      <c r="J15" s="1538">
        <v>27599.472000000002</v>
      </c>
      <c r="K15" s="384">
        <v>228.495</v>
      </c>
      <c r="L15" s="384">
        <v>31583.097000000002</v>
      </c>
      <c r="M15" s="384">
        <v>61994.51</v>
      </c>
      <c r="N15" s="384">
        <f t="shared" si="6"/>
        <v>121405.57399999999</v>
      </c>
      <c r="O15" s="384">
        <v>36704.415999999997</v>
      </c>
      <c r="P15" s="1539">
        <f t="shared" si="7"/>
        <v>0</v>
      </c>
    </row>
    <row r="16" spans="1:16" s="889" customFormat="1" ht="14.25" customHeight="1">
      <c r="A16" s="265"/>
      <c r="B16" s="916" t="s">
        <v>243</v>
      </c>
      <c r="C16" s="384">
        <v>128775.82</v>
      </c>
      <c r="D16" s="384">
        <v>6487.5050000000001</v>
      </c>
      <c r="E16" s="384">
        <v>1563.655</v>
      </c>
      <c r="F16" s="384">
        <v>24741.257000000001</v>
      </c>
      <c r="G16" s="384">
        <f t="shared" si="4"/>
        <v>161568.23700000002</v>
      </c>
      <c r="H16" s="1235">
        <v>13749.763000000001</v>
      </c>
      <c r="I16" s="1447">
        <f t="shared" si="5"/>
        <v>175318.00000000003</v>
      </c>
      <c r="J16" s="1538">
        <v>36712.949000000001</v>
      </c>
      <c r="K16" s="384">
        <v>313.05900000000003</v>
      </c>
      <c r="L16" s="384">
        <v>14747.786</v>
      </c>
      <c r="M16" s="384">
        <v>62915.529000000002</v>
      </c>
      <c r="N16" s="384">
        <f t="shared" si="6"/>
        <v>114689.323</v>
      </c>
      <c r="O16" s="384">
        <v>60628.677000000003</v>
      </c>
      <c r="P16" s="1539">
        <f t="shared" si="7"/>
        <v>0</v>
      </c>
    </row>
    <row r="17" spans="1:16" s="889" customFormat="1" ht="14.25" customHeight="1">
      <c r="A17" s="265"/>
      <c r="B17" s="916" t="s">
        <v>240</v>
      </c>
      <c r="C17" s="384">
        <v>78879.805999999997</v>
      </c>
      <c r="D17" s="384">
        <v>6629.4560000000001</v>
      </c>
      <c r="E17" s="384">
        <v>926.66600000000005</v>
      </c>
      <c r="F17" s="384">
        <v>20621.845000000001</v>
      </c>
      <c r="G17" s="384">
        <f t="shared" si="4"/>
        <v>107057.773</v>
      </c>
      <c r="H17" s="1235">
        <v>50565.328999999998</v>
      </c>
      <c r="I17" s="1447">
        <f t="shared" si="5"/>
        <v>157623.10200000001</v>
      </c>
      <c r="J17" s="1538">
        <v>29280.859</v>
      </c>
      <c r="K17" s="384">
        <v>98.713999999999999</v>
      </c>
      <c r="L17" s="384">
        <v>13715.091</v>
      </c>
      <c r="M17" s="384">
        <v>63494.849000000002</v>
      </c>
      <c r="N17" s="384">
        <f t="shared" si="6"/>
        <v>106589.51300000001</v>
      </c>
      <c r="O17" s="384">
        <v>51033.589</v>
      </c>
      <c r="P17" s="1539">
        <f t="shared" si="7"/>
        <v>0</v>
      </c>
    </row>
    <row r="18" spans="1:16" s="889" customFormat="1" ht="14.25" customHeight="1">
      <c r="A18" s="265"/>
      <c r="B18" s="916" t="s">
        <v>241</v>
      </c>
      <c r="C18" s="384">
        <v>37233.963000000003</v>
      </c>
      <c r="D18" s="384">
        <v>5298.0129999999999</v>
      </c>
      <c r="E18" s="384">
        <v>175.71</v>
      </c>
      <c r="F18" s="384">
        <v>20049.621999999999</v>
      </c>
      <c r="G18" s="384">
        <f t="shared" si="4"/>
        <v>62757.308000000005</v>
      </c>
      <c r="H18" s="1235">
        <v>46658.277999999998</v>
      </c>
      <c r="I18" s="1447">
        <f t="shared" si="5"/>
        <v>109415.58600000001</v>
      </c>
      <c r="J18" s="1538">
        <v>26595.329000000002</v>
      </c>
      <c r="K18" s="384">
        <v>37.421999999999997</v>
      </c>
      <c r="L18" s="1465">
        <f>11424.849+0.01</f>
        <v>11424.859</v>
      </c>
      <c r="M18" s="384">
        <v>61724.652000000002</v>
      </c>
      <c r="N18" s="384">
        <f t="shared" si="6"/>
        <v>99782.262000000002</v>
      </c>
      <c r="O18" s="384">
        <v>9633.3340000000007</v>
      </c>
      <c r="P18" s="1539">
        <f t="shared" si="7"/>
        <v>-9.9999999947613105E-3</v>
      </c>
    </row>
    <row r="19" spans="1:16" s="889" customFormat="1" ht="20.25" customHeight="1">
      <c r="A19" s="884">
        <v>2019</v>
      </c>
      <c r="B19" s="916" t="s">
        <v>242</v>
      </c>
      <c r="C19" s="384">
        <v>67398.918000000005</v>
      </c>
      <c r="D19" s="384">
        <v>5699.7550000000001</v>
      </c>
      <c r="E19" s="384">
        <v>45.393999999999998</v>
      </c>
      <c r="F19" s="384">
        <v>19399.987000000001</v>
      </c>
      <c r="G19" s="384">
        <f t="shared" ref="G19:G28" si="8">SUM(C19:F19)</f>
        <v>92544.054000000004</v>
      </c>
      <c r="H19" s="1235">
        <v>62112.968999999997</v>
      </c>
      <c r="I19" s="1447">
        <f t="shared" ref="I19:I28" si="9">SUM(G19:H19)</f>
        <v>154657.02299999999</v>
      </c>
      <c r="J19" s="1538">
        <v>19312.689999999999</v>
      </c>
      <c r="K19" s="384">
        <v>107.473</v>
      </c>
      <c r="L19" s="384">
        <v>15787.002</v>
      </c>
      <c r="M19" s="384">
        <v>62900.487999999998</v>
      </c>
      <c r="N19" s="384">
        <f t="shared" ref="N19:N28" si="10">SUM(J19:M19)</f>
        <v>98107.652999999991</v>
      </c>
      <c r="O19" s="384">
        <v>56549.37</v>
      </c>
      <c r="P19" s="1539">
        <f t="shared" si="7"/>
        <v>0</v>
      </c>
    </row>
    <row r="20" spans="1:16" s="889" customFormat="1" ht="14.25" customHeight="1">
      <c r="A20" s="265"/>
      <c r="B20" s="916" t="s">
        <v>243</v>
      </c>
      <c r="C20" s="384">
        <v>79993.680999999997</v>
      </c>
      <c r="D20" s="384">
        <v>4638.3090000000002</v>
      </c>
      <c r="E20" s="384">
        <v>125.16800000000001</v>
      </c>
      <c r="F20" s="384">
        <v>21813.635999999999</v>
      </c>
      <c r="G20" s="384">
        <f t="shared" si="8"/>
        <v>106570.79399999999</v>
      </c>
      <c r="H20" s="1235">
        <v>28523.738000000001</v>
      </c>
      <c r="I20" s="1447">
        <f t="shared" si="9"/>
        <v>135094.53200000001</v>
      </c>
      <c r="J20" s="1538">
        <v>22733.848999999998</v>
      </c>
      <c r="K20" s="384">
        <v>76.067999999999998</v>
      </c>
      <c r="L20" s="384">
        <v>15172.288</v>
      </c>
      <c r="M20" s="384">
        <v>59526.487000000001</v>
      </c>
      <c r="N20" s="384">
        <f t="shared" si="10"/>
        <v>97508.69200000001</v>
      </c>
      <c r="O20" s="384">
        <v>37585.839999999997</v>
      </c>
      <c r="P20" s="1539">
        <f t="shared" si="7"/>
        <v>0</v>
      </c>
    </row>
    <row r="21" spans="1:16" s="889" customFormat="1" ht="15" customHeight="1">
      <c r="A21" s="265"/>
      <c r="B21" s="916" t="s">
        <v>240</v>
      </c>
      <c r="C21" s="384">
        <v>50552.430999999997</v>
      </c>
      <c r="D21" s="384">
        <v>4629.2929999999997</v>
      </c>
      <c r="E21" s="384">
        <v>18.102</v>
      </c>
      <c r="F21" s="384">
        <v>20682.09</v>
      </c>
      <c r="G21" s="384">
        <f t="shared" si="8"/>
        <v>75881.915999999997</v>
      </c>
      <c r="H21" s="1235">
        <v>38591.319000000003</v>
      </c>
      <c r="I21" s="1447">
        <f t="shared" si="9"/>
        <v>114473.235</v>
      </c>
      <c r="J21" s="1538">
        <v>23146.138999999999</v>
      </c>
      <c r="K21" s="384">
        <v>387.94099999999997</v>
      </c>
      <c r="L21" s="384">
        <v>12666.93</v>
      </c>
      <c r="M21" s="384">
        <v>57861.866000000002</v>
      </c>
      <c r="N21" s="384">
        <f t="shared" si="10"/>
        <v>94062.875999999989</v>
      </c>
      <c r="O21" s="384">
        <v>20410.359</v>
      </c>
      <c r="P21" s="1539">
        <f t="shared" si="7"/>
        <v>0</v>
      </c>
    </row>
    <row r="22" spans="1:16" s="889" customFormat="1" ht="14.25" customHeight="1">
      <c r="A22" s="265"/>
      <c r="B22" s="916" t="s">
        <v>241</v>
      </c>
      <c r="C22" s="384">
        <v>51415.019</v>
      </c>
      <c r="D22" s="384">
        <v>4519.7269999999999</v>
      </c>
      <c r="E22" s="384">
        <v>303.71800000000002</v>
      </c>
      <c r="F22" s="384">
        <v>18653.644</v>
      </c>
      <c r="G22" s="384">
        <f t="shared" si="8"/>
        <v>74892.108000000007</v>
      </c>
      <c r="H22" s="1235">
        <v>26850.564999999999</v>
      </c>
      <c r="I22" s="1447">
        <f t="shared" si="9"/>
        <v>101742.67300000001</v>
      </c>
      <c r="J22" s="1538">
        <v>21199.171999999999</v>
      </c>
      <c r="K22" s="384">
        <v>197.86799999999999</v>
      </c>
      <c r="L22" s="384">
        <v>7749.799</v>
      </c>
      <c r="M22" s="384">
        <v>56869.620999999999</v>
      </c>
      <c r="N22" s="384">
        <f t="shared" si="10"/>
        <v>86016.459999999992</v>
      </c>
      <c r="O22" s="384">
        <v>15726.213</v>
      </c>
      <c r="P22" s="1539">
        <f t="shared" si="7"/>
        <v>0</v>
      </c>
    </row>
    <row r="23" spans="1:16" s="889" customFormat="1" ht="20.25" customHeight="1">
      <c r="A23" s="884">
        <v>2020</v>
      </c>
      <c r="B23" s="916" t="s">
        <v>242</v>
      </c>
      <c r="C23" s="384">
        <v>60043.68</v>
      </c>
      <c r="D23" s="384">
        <v>6276.223</v>
      </c>
      <c r="E23" s="384">
        <v>38.531999999999996</v>
      </c>
      <c r="F23" s="384">
        <v>23805.592000000001</v>
      </c>
      <c r="G23" s="384">
        <f t="shared" si="8"/>
        <v>90164.027000000016</v>
      </c>
      <c r="H23" s="1235">
        <v>17132.455000000002</v>
      </c>
      <c r="I23" s="1447">
        <f t="shared" si="9"/>
        <v>107296.48200000002</v>
      </c>
      <c r="J23" s="1538">
        <v>21634.888999999999</v>
      </c>
      <c r="K23" s="384">
        <v>110.36799999999999</v>
      </c>
      <c r="L23" s="384">
        <v>13958.964</v>
      </c>
      <c r="M23" s="384">
        <v>63492.949000000001</v>
      </c>
      <c r="N23" s="384">
        <f t="shared" si="10"/>
        <v>99197.17</v>
      </c>
      <c r="O23" s="384">
        <v>8099.3119999999999</v>
      </c>
      <c r="P23" s="1539">
        <f t="shared" si="7"/>
        <v>0</v>
      </c>
    </row>
    <row r="24" spans="1:16" s="889" customFormat="1" ht="15" customHeight="1">
      <c r="A24" s="884"/>
      <c r="B24" s="916" t="s">
        <v>243</v>
      </c>
      <c r="C24" s="384">
        <v>65015.8</v>
      </c>
      <c r="D24" s="384">
        <v>8352.1119999999992</v>
      </c>
      <c r="E24" s="384">
        <v>85.296000000000006</v>
      </c>
      <c r="F24" s="384">
        <v>19793.214</v>
      </c>
      <c r="G24" s="384">
        <f t="shared" si="8"/>
        <v>93246.421999999991</v>
      </c>
      <c r="H24" s="1235">
        <v>11835.844999999999</v>
      </c>
      <c r="I24" s="2087">
        <f t="shared" si="9"/>
        <v>105082.26699999999</v>
      </c>
      <c r="J24" s="1538">
        <v>17132.221000000001</v>
      </c>
      <c r="K24" s="384">
        <v>102.15</v>
      </c>
      <c r="L24" s="384">
        <v>16433.536</v>
      </c>
      <c r="M24" s="384">
        <v>54939.928999999996</v>
      </c>
      <c r="N24" s="384">
        <f t="shared" si="10"/>
        <v>88607.83600000001</v>
      </c>
      <c r="O24" s="384">
        <v>16474.436000000002</v>
      </c>
      <c r="P24" s="1539">
        <f t="shared" si="7"/>
        <v>-5.0000000192085281E-3</v>
      </c>
    </row>
    <row r="25" spans="1:16" s="889" customFormat="1" ht="15" customHeight="1">
      <c r="A25" s="884"/>
      <c r="B25" s="916" t="s">
        <v>240</v>
      </c>
      <c r="C25" s="384">
        <v>62703.959000000003</v>
      </c>
      <c r="D25" s="384">
        <v>10006.599</v>
      </c>
      <c r="E25" s="384">
        <v>598.05999999999995</v>
      </c>
      <c r="F25" s="384">
        <v>21265.112000000001</v>
      </c>
      <c r="G25" s="384">
        <f t="shared" si="8"/>
        <v>94573.73000000001</v>
      </c>
      <c r="H25" s="1235">
        <v>15385.348</v>
      </c>
      <c r="I25" s="2087">
        <f t="shared" si="9"/>
        <v>109959.07800000001</v>
      </c>
      <c r="J25" s="1538">
        <v>16693.758000000002</v>
      </c>
      <c r="K25" s="384">
        <v>125.236</v>
      </c>
      <c r="L25" s="384">
        <v>16153.611000000001</v>
      </c>
      <c r="M25" s="384">
        <v>59388.436000000002</v>
      </c>
      <c r="N25" s="384">
        <f t="shared" si="10"/>
        <v>92361.040999999997</v>
      </c>
      <c r="O25" s="384">
        <v>17598.037</v>
      </c>
      <c r="P25" s="1539">
        <f t="shared" si="7"/>
        <v>0</v>
      </c>
    </row>
    <row r="26" spans="1:16" s="889" customFormat="1" ht="14.25" customHeight="1">
      <c r="A26" s="884"/>
      <c r="B26" s="916" t="s">
        <v>241</v>
      </c>
      <c r="C26" s="384">
        <v>40913.815000000002</v>
      </c>
      <c r="D26" s="384">
        <v>13467</v>
      </c>
      <c r="E26" s="384">
        <v>268.34699999999998</v>
      </c>
      <c r="F26" s="384">
        <v>18949.780999999999</v>
      </c>
      <c r="G26" s="384">
        <f t="shared" si="8"/>
        <v>73598.942999999999</v>
      </c>
      <c r="H26" s="1235">
        <v>19767.734</v>
      </c>
      <c r="I26" s="2087">
        <f t="shared" si="9"/>
        <v>93366.676999999996</v>
      </c>
      <c r="J26" s="1538">
        <v>15360.942999999999</v>
      </c>
      <c r="K26" s="384">
        <v>25</v>
      </c>
      <c r="L26" s="384">
        <v>12091.141</v>
      </c>
      <c r="M26" s="384">
        <v>58771.767999999996</v>
      </c>
      <c r="N26" s="384">
        <f t="shared" si="10"/>
        <v>86248.851999999999</v>
      </c>
      <c r="O26" s="384">
        <v>7117.8249999999998</v>
      </c>
      <c r="P26" s="1539">
        <f t="shared" si="7"/>
        <v>0</v>
      </c>
    </row>
    <row r="27" spans="1:16" s="889" customFormat="1" ht="20.25" customHeight="1">
      <c r="A27" s="884">
        <v>2021</v>
      </c>
      <c r="B27" s="916" t="s">
        <v>242</v>
      </c>
      <c r="C27" s="384">
        <v>51431.955000000002</v>
      </c>
      <c r="D27" s="384">
        <v>12164.862999999999</v>
      </c>
      <c r="E27" s="384">
        <v>174.941</v>
      </c>
      <c r="F27" s="384">
        <v>21330.556</v>
      </c>
      <c r="G27" s="384">
        <f t="shared" si="8"/>
        <v>85102.315000000002</v>
      </c>
      <c r="H27" s="1235">
        <v>16453.017</v>
      </c>
      <c r="I27" s="1447">
        <f t="shared" si="9"/>
        <v>101555.33199999999</v>
      </c>
      <c r="J27" s="1538">
        <v>15293.151</v>
      </c>
      <c r="K27" s="384">
        <v>207.51599999999999</v>
      </c>
      <c r="L27" s="384">
        <v>15751.993</v>
      </c>
      <c r="M27" s="384">
        <v>59720.438999999998</v>
      </c>
      <c r="N27" s="384">
        <f t="shared" si="10"/>
        <v>90973.099000000002</v>
      </c>
      <c r="O27" s="384">
        <v>10582.233</v>
      </c>
      <c r="P27" s="1539">
        <f t="shared" si="7"/>
        <v>0</v>
      </c>
    </row>
    <row r="28" spans="1:16" s="889" customFormat="1" ht="15" customHeight="1">
      <c r="A28" s="884"/>
      <c r="B28" s="916" t="s">
        <v>243</v>
      </c>
      <c r="C28" s="384">
        <v>81209.459080000001</v>
      </c>
      <c r="D28" s="384">
        <v>12316.686</v>
      </c>
      <c r="E28" s="384">
        <v>65.284999999999997</v>
      </c>
      <c r="F28" s="384">
        <v>20780.416519999999</v>
      </c>
      <c r="G28" s="384">
        <f t="shared" si="8"/>
        <v>114371.8466</v>
      </c>
      <c r="H28" s="1235">
        <v>11847.885</v>
      </c>
      <c r="I28" s="1447">
        <f t="shared" si="9"/>
        <v>126219.7316</v>
      </c>
      <c r="J28" s="1538">
        <v>12684.343999999999</v>
      </c>
      <c r="K28" s="384">
        <v>60.725999999999999</v>
      </c>
      <c r="L28" s="384">
        <v>20515.491999999998</v>
      </c>
      <c r="M28" s="384">
        <v>61676.389600000002</v>
      </c>
      <c r="N28" s="384">
        <f t="shared" si="10"/>
        <v>94936.9516</v>
      </c>
      <c r="O28" s="384">
        <v>31282.78</v>
      </c>
      <c r="P28" s="1539">
        <f t="shared" si="7"/>
        <v>0</v>
      </c>
    </row>
    <row r="29" spans="1:16" s="889" customFormat="1" ht="15" customHeight="1">
      <c r="A29" s="884"/>
      <c r="B29" s="916" t="s">
        <v>240</v>
      </c>
      <c r="C29" s="384">
        <v>62901.071000000004</v>
      </c>
      <c r="D29" s="384">
        <v>12370.880999999999</v>
      </c>
      <c r="E29" s="384">
        <v>250.505</v>
      </c>
      <c r="F29" s="384">
        <v>20157.629000000001</v>
      </c>
      <c r="G29" s="384">
        <f t="shared" ref="G29:G41" si="11">SUM(C29:F29)</f>
        <v>95680.08600000001</v>
      </c>
      <c r="H29" s="1235">
        <v>23510.807000000001</v>
      </c>
      <c r="I29" s="1447">
        <f t="shared" ref="I29:I41" si="12">SUM(G29:H29)</f>
        <v>119190.89300000001</v>
      </c>
      <c r="J29" s="1538">
        <v>12911.478999999999</v>
      </c>
      <c r="K29" s="384">
        <v>40.582000000000001</v>
      </c>
      <c r="L29" s="384">
        <v>19396.543000000001</v>
      </c>
      <c r="M29" s="384">
        <v>63606.887999999999</v>
      </c>
      <c r="N29" s="384">
        <f t="shared" ref="N29:N41" si="13">SUM(J29:M29)</f>
        <v>95955.491999999998</v>
      </c>
      <c r="O29" s="384">
        <v>23235.402999999998</v>
      </c>
      <c r="P29" s="1539">
        <f t="shared" si="7"/>
        <v>-1.9999999785795808E-3</v>
      </c>
    </row>
    <row r="30" spans="1:16" s="889" customFormat="1" ht="14.25" customHeight="1">
      <c r="A30" s="884"/>
      <c r="B30" s="916" t="s">
        <v>241</v>
      </c>
      <c r="C30" s="384">
        <v>55767</v>
      </c>
      <c r="D30" s="384">
        <v>12365.621999999999</v>
      </c>
      <c r="E30" s="384">
        <v>76.736000000000004</v>
      </c>
      <c r="F30" s="384">
        <v>20782.249</v>
      </c>
      <c r="G30" s="384">
        <f t="shared" si="11"/>
        <v>88991.607000000004</v>
      </c>
      <c r="H30" s="1235">
        <v>19386.87</v>
      </c>
      <c r="I30" s="1447">
        <f t="shared" si="12"/>
        <v>108378.477</v>
      </c>
      <c r="J30" s="1538">
        <v>12702.965</v>
      </c>
      <c r="K30" s="384">
        <v>47.323999999999998</v>
      </c>
      <c r="L30" s="384">
        <v>16962.78</v>
      </c>
      <c r="M30" s="384">
        <v>65851.505999999994</v>
      </c>
      <c r="N30" s="384">
        <f t="shared" si="13"/>
        <v>95564.574999999997</v>
      </c>
      <c r="O30" s="384">
        <v>12813.906999999999</v>
      </c>
      <c r="P30" s="1539">
        <f t="shared" si="7"/>
        <v>-4.9999999901046976E-3</v>
      </c>
    </row>
    <row r="31" spans="1:16" s="889" customFormat="1" ht="20.25" customHeight="1">
      <c r="A31" s="884">
        <v>2022</v>
      </c>
      <c r="B31" s="916" t="s">
        <v>242</v>
      </c>
      <c r="C31" s="384">
        <v>66484.941999999995</v>
      </c>
      <c r="D31" s="384">
        <v>10451.495999999999</v>
      </c>
      <c r="E31" s="384">
        <v>58.698</v>
      </c>
      <c r="F31" s="384">
        <v>11908.805</v>
      </c>
      <c r="G31" s="384">
        <f t="shared" si="11"/>
        <v>88903.940999999992</v>
      </c>
      <c r="H31" s="1235">
        <v>22256.692999999999</v>
      </c>
      <c r="I31" s="1447">
        <f t="shared" si="12"/>
        <v>111160.63399999999</v>
      </c>
      <c r="J31" s="1538">
        <v>16148.838</v>
      </c>
      <c r="K31" s="384">
        <v>51.819000000000003</v>
      </c>
      <c r="L31" s="384">
        <v>18201.705000000002</v>
      </c>
      <c r="M31" s="384">
        <v>67809.448000000004</v>
      </c>
      <c r="N31" s="384">
        <f t="shared" si="13"/>
        <v>102211.81</v>
      </c>
      <c r="O31" s="384">
        <v>8948.8250000000007</v>
      </c>
      <c r="P31" s="1539">
        <f t="shared" si="7"/>
        <v>-1.0000000038417056E-3</v>
      </c>
    </row>
    <row r="32" spans="1:16" s="889" customFormat="1" ht="15" customHeight="1">
      <c r="A32" s="884"/>
      <c r="B32" s="916" t="s">
        <v>243</v>
      </c>
      <c r="C32" s="384">
        <v>60005.460740000002</v>
      </c>
      <c r="D32" s="384">
        <v>6475.3230000000003</v>
      </c>
      <c r="E32" s="384">
        <v>276.971</v>
      </c>
      <c r="F32" s="384">
        <v>11518.5</v>
      </c>
      <c r="G32" s="384">
        <f t="shared" si="11"/>
        <v>78276.254740000004</v>
      </c>
      <c r="H32" s="1235">
        <v>27419.29752</v>
      </c>
      <c r="I32" s="1447">
        <f t="shared" si="12"/>
        <v>105695.55226</v>
      </c>
      <c r="J32" s="1538">
        <v>9491.5669999999991</v>
      </c>
      <c r="K32" s="384">
        <v>50.65</v>
      </c>
      <c r="L32" s="384">
        <v>17721.626479999999</v>
      </c>
      <c r="M32" s="384">
        <v>70461.273350000003</v>
      </c>
      <c r="N32" s="384">
        <f t="shared" si="13"/>
        <v>97725.116829999999</v>
      </c>
      <c r="O32" s="384">
        <v>7970.4403899999998</v>
      </c>
      <c r="P32" s="1539">
        <f t="shared" si="7"/>
        <v>-4.9600000056670979E-3</v>
      </c>
    </row>
    <row r="33" spans="1:16" s="889" customFormat="1" ht="15" customHeight="1">
      <c r="A33" s="884"/>
      <c r="B33" s="916" t="s">
        <v>240</v>
      </c>
      <c r="C33" s="384">
        <v>79753.982919999995</v>
      </c>
      <c r="D33" s="384">
        <v>8332.884</v>
      </c>
      <c r="E33" s="384">
        <v>197.495</v>
      </c>
      <c r="F33" s="384">
        <v>14650.517260000001</v>
      </c>
      <c r="G33" s="384">
        <f t="shared" si="11"/>
        <v>102934.87917999999</v>
      </c>
      <c r="H33" s="1235">
        <v>17569.30615</v>
      </c>
      <c r="I33" s="1447">
        <f t="shared" si="12"/>
        <v>120504.18532999999</v>
      </c>
      <c r="J33" s="1538">
        <v>9691.7620000000006</v>
      </c>
      <c r="K33" s="384">
        <v>62.9</v>
      </c>
      <c r="L33" s="384">
        <v>18655.982530000001</v>
      </c>
      <c r="M33" s="384">
        <v>73978.947</v>
      </c>
      <c r="N33" s="384">
        <f t="shared" si="13"/>
        <v>102389.59153000001</v>
      </c>
      <c r="O33" s="384">
        <v>18114.63553</v>
      </c>
      <c r="P33" s="1539">
        <f t="shared" si="7"/>
        <v>-4.1730000011739321E-2</v>
      </c>
    </row>
    <row r="34" spans="1:16" s="889" customFormat="1" ht="14.25" customHeight="1">
      <c r="A34" s="884"/>
      <c r="B34" s="916" t="s">
        <v>241</v>
      </c>
      <c r="C34" s="384">
        <v>71569.377110000001</v>
      </c>
      <c r="D34" s="384">
        <v>6497.97786</v>
      </c>
      <c r="E34" s="384">
        <v>338.43599999999998</v>
      </c>
      <c r="F34" s="384">
        <v>12809.913920000001</v>
      </c>
      <c r="G34" s="384">
        <f t="shared" si="11"/>
        <v>91215.704890000008</v>
      </c>
      <c r="H34" s="1235">
        <v>22401.89935</v>
      </c>
      <c r="I34" s="1447">
        <f t="shared" si="12"/>
        <v>113617.60424000002</v>
      </c>
      <c r="J34" s="1538">
        <v>7843.0720000000001</v>
      </c>
      <c r="K34" s="384">
        <v>79.393000000000001</v>
      </c>
      <c r="L34" s="384">
        <v>17245.588100000001</v>
      </c>
      <c r="M34" s="384">
        <v>74687.144369999995</v>
      </c>
      <c r="N34" s="384">
        <f t="shared" si="13"/>
        <v>99855.197469999999</v>
      </c>
      <c r="O34" s="384">
        <v>13762.406789999999</v>
      </c>
      <c r="P34" s="1539">
        <f t="shared" si="7"/>
        <v>-1.9999977666884661E-5</v>
      </c>
    </row>
    <row r="35" spans="1:16" s="889" customFormat="1" ht="20.25" customHeight="1">
      <c r="A35" s="884">
        <v>2023</v>
      </c>
      <c r="B35" s="916" t="s">
        <v>242</v>
      </c>
      <c r="C35" s="384">
        <v>78660.297340000005</v>
      </c>
      <c r="D35" s="384">
        <v>6578.3487999999998</v>
      </c>
      <c r="E35" s="384">
        <v>460.262</v>
      </c>
      <c r="F35" s="384">
        <v>12732.08589</v>
      </c>
      <c r="G35" s="384">
        <f t="shared" si="11"/>
        <v>98430.994030000002</v>
      </c>
      <c r="H35" s="1235">
        <v>17854.050429999999</v>
      </c>
      <c r="I35" s="1447">
        <f t="shared" si="12"/>
        <v>116285.04446</v>
      </c>
      <c r="J35" s="1538">
        <v>7896.19</v>
      </c>
      <c r="K35" s="384">
        <v>42.386000000000003</v>
      </c>
      <c r="L35" s="384">
        <v>17850.374609999999</v>
      </c>
      <c r="M35" s="384">
        <v>77516.208549999996</v>
      </c>
      <c r="N35" s="384">
        <f t="shared" si="13"/>
        <v>103305.15916</v>
      </c>
      <c r="O35" s="384">
        <v>12979.8853</v>
      </c>
      <c r="P35" s="1539">
        <f t="shared" si="7"/>
        <v>0</v>
      </c>
    </row>
    <row r="36" spans="1:16" s="889" customFormat="1" ht="15" customHeight="1">
      <c r="A36" s="884"/>
      <c r="B36" s="916" t="s">
        <v>243</v>
      </c>
      <c r="C36" s="384">
        <v>74152.303</v>
      </c>
      <c r="D36" s="384">
        <v>18082.069</v>
      </c>
      <c r="E36" s="384">
        <v>570.19899999999996</v>
      </c>
      <c r="F36" s="384">
        <v>15163.634</v>
      </c>
      <c r="G36" s="384">
        <f t="shared" si="11"/>
        <v>107968.205</v>
      </c>
      <c r="H36" s="1235">
        <v>17903.008999999998</v>
      </c>
      <c r="I36" s="1447">
        <f t="shared" si="12"/>
        <v>125871.21400000001</v>
      </c>
      <c r="J36" s="1538">
        <v>11796.826999999999</v>
      </c>
      <c r="K36" s="384">
        <v>22.283999999999999</v>
      </c>
      <c r="L36" s="384">
        <v>23618.039000000001</v>
      </c>
      <c r="M36" s="384">
        <v>76140.197</v>
      </c>
      <c r="N36" s="384">
        <f t="shared" si="13"/>
        <v>111577.34700000001</v>
      </c>
      <c r="O36" s="384">
        <v>14293.867</v>
      </c>
      <c r="P36" s="1539">
        <f t="shared" si="7"/>
        <v>0</v>
      </c>
    </row>
    <row r="37" spans="1:16" s="889" customFormat="1" ht="15" customHeight="1">
      <c r="A37" s="884"/>
      <c r="B37" s="916" t="s">
        <v>240</v>
      </c>
      <c r="C37" s="384">
        <v>69127.63</v>
      </c>
      <c r="D37" s="384">
        <v>20152.25</v>
      </c>
      <c r="E37" s="384">
        <v>396.55</v>
      </c>
      <c r="F37" s="384">
        <v>16900.900000000001</v>
      </c>
      <c r="G37" s="384">
        <f t="shared" si="11"/>
        <v>106577.33000000002</v>
      </c>
      <c r="H37" s="1235">
        <v>22363.599999999999</v>
      </c>
      <c r="I37" s="1447">
        <f t="shared" si="12"/>
        <v>128940.93000000002</v>
      </c>
      <c r="J37" s="1538">
        <v>9523.89</v>
      </c>
      <c r="K37" s="384">
        <v>43.64</v>
      </c>
      <c r="L37" s="384">
        <v>20994.560000000001</v>
      </c>
      <c r="M37" s="384">
        <v>78851.47</v>
      </c>
      <c r="N37" s="384">
        <f t="shared" si="13"/>
        <v>109413.56</v>
      </c>
      <c r="O37" s="1465">
        <v>19527.3</v>
      </c>
      <c r="P37" s="1539">
        <f>ROUND(I37,1)-ROUND(N37,1)-ROUND(O37,1)</f>
        <v>0</v>
      </c>
    </row>
    <row r="38" spans="1:16" s="889" customFormat="1" ht="14.25" customHeight="1">
      <c r="A38" s="884"/>
      <c r="B38" s="916" t="s">
        <v>241</v>
      </c>
      <c r="C38" s="384">
        <v>73754.145382000002</v>
      </c>
      <c r="D38" s="384">
        <v>4667.38</v>
      </c>
      <c r="E38" s="384">
        <v>514.15800000000002</v>
      </c>
      <c r="F38" s="384">
        <v>12955.255192000001</v>
      </c>
      <c r="G38" s="384">
        <f t="shared" si="11"/>
        <v>91890.938574</v>
      </c>
      <c r="H38" s="1235">
        <v>39385.100839999999</v>
      </c>
      <c r="I38" s="1447">
        <f t="shared" si="12"/>
        <v>131276.039414</v>
      </c>
      <c r="J38" s="1538">
        <v>7541.1319999999996</v>
      </c>
      <c r="K38" s="384">
        <v>37.231000000000002</v>
      </c>
      <c r="L38" s="384">
        <v>17077.053714000001</v>
      </c>
      <c r="M38" s="384">
        <v>81438.633000000002</v>
      </c>
      <c r="N38" s="384">
        <f t="shared" si="13"/>
        <v>106094.04971399999</v>
      </c>
      <c r="O38" s="1492">
        <v>25181.989399999999</v>
      </c>
      <c r="P38" s="1539">
        <f t="shared" ref="P38:P45" si="14">ROUND(I38,1)-ROUND(N38,1)-ROUND(O38,1)</f>
        <v>0</v>
      </c>
    </row>
    <row r="39" spans="1:16" s="889" customFormat="1" ht="20.25" customHeight="1">
      <c r="A39" s="884">
        <v>2024</v>
      </c>
      <c r="B39" s="916" t="s">
        <v>242</v>
      </c>
      <c r="C39" s="384">
        <v>88276.874190000002</v>
      </c>
      <c r="D39" s="384">
        <v>20688.892980000001</v>
      </c>
      <c r="E39" s="384">
        <v>485.81299999999999</v>
      </c>
      <c r="F39" s="384">
        <v>13077.274636</v>
      </c>
      <c r="G39" s="384">
        <f t="shared" si="11"/>
        <v>122528.854806</v>
      </c>
      <c r="H39" s="1235">
        <v>35991.420010000002</v>
      </c>
      <c r="I39" s="1447">
        <f t="shared" si="12"/>
        <v>158520.27481600002</v>
      </c>
      <c r="J39" s="1538">
        <v>18438.43795</v>
      </c>
      <c r="K39" s="384">
        <v>48.152000000000001</v>
      </c>
      <c r="L39" s="384">
        <v>19994.17438</v>
      </c>
      <c r="M39" s="384">
        <v>84769.472999999998</v>
      </c>
      <c r="N39" s="1465">
        <f>SUM(J39:M39)+0.02</f>
        <v>123250.25733000001</v>
      </c>
      <c r="O39" s="384">
        <v>35270.039720000001</v>
      </c>
      <c r="P39" s="1539">
        <f t="shared" si="14"/>
        <v>0</v>
      </c>
    </row>
    <row r="40" spans="1:16" s="889" customFormat="1" ht="15" customHeight="1">
      <c r="A40" s="884"/>
      <c r="B40" s="916" t="s">
        <v>243</v>
      </c>
      <c r="C40" s="384">
        <v>79874.399999999994</v>
      </c>
      <c r="D40" s="384">
        <v>20927.5</v>
      </c>
      <c r="E40" s="384">
        <v>725</v>
      </c>
      <c r="F40" s="384">
        <v>13086.8</v>
      </c>
      <c r="G40" s="384">
        <f t="shared" si="11"/>
        <v>114613.7</v>
      </c>
      <c r="H40" s="1235">
        <v>74777.100000000006</v>
      </c>
      <c r="I40" s="1447">
        <f t="shared" si="12"/>
        <v>189390.8</v>
      </c>
      <c r="J40" s="1538">
        <v>21193.4</v>
      </c>
      <c r="K40" s="384">
        <v>35.9</v>
      </c>
      <c r="L40" s="384">
        <v>22230.799999999999</v>
      </c>
      <c r="M40" s="384">
        <v>88276.6</v>
      </c>
      <c r="N40" s="384">
        <f t="shared" si="13"/>
        <v>131736.70000000001</v>
      </c>
      <c r="O40" s="1492">
        <v>57654.1</v>
      </c>
      <c r="P40" s="1539">
        <f t="shared" si="14"/>
        <v>0</v>
      </c>
    </row>
    <row r="41" spans="1:16" s="889" customFormat="1" ht="15" customHeight="1">
      <c r="A41" s="884"/>
      <c r="B41" s="916" t="s">
        <v>240</v>
      </c>
      <c r="C41" s="384">
        <v>63881.4</v>
      </c>
      <c r="D41" s="384">
        <v>21573.5</v>
      </c>
      <c r="E41" s="384">
        <v>406.8</v>
      </c>
      <c r="F41" s="384">
        <v>13813.9</v>
      </c>
      <c r="G41" s="384">
        <f t="shared" si="11"/>
        <v>99675.599999999991</v>
      </c>
      <c r="H41" s="1235">
        <v>35869.9</v>
      </c>
      <c r="I41" s="1447">
        <f t="shared" si="12"/>
        <v>135545.5</v>
      </c>
      <c r="J41" s="1538">
        <v>14560.3</v>
      </c>
      <c r="K41" s="384">
        <v>236.9</v>
      </c>
      <c r="L41" s="384">
        <v>34932.1</v>
      </c>
      <c r="M41" s="384">
        <v>70643.8</v>
      </c>
      <c r="N41" s="384">
        <f t="shared" si="13"/>
        <v>120373.1</v>
      </c>
      <c r="O41" s="1492">
        <v>15172.4</v>
      </c>
      <c r="P41" s="1539">
        <f t="shared" si="14"/>
        <v>0</v>
      </c>
    </row>
    <row r="42" spans="1:16" s="889" customFormat="1" ht="14.25" customHeight="1">
      <c r="A42" s="884"/>
      <c r="B42" s="916" t="s">
        <v>241</v>
      </c>
      <c r="C42" s="384">
        <v>63435.7</v>
      </c>
      <c r="D42" s="384">
        <v>5236.6000000000004</v>
      </c>
      <c r="E42" s="384">
        <v>581.5</v>
      </c>
      <c r="F42" s="384">
        <v>14306.4</v>
      </c>
      <c r="G42" s="384">
        <f t="shared" ref="G42:G45" si="15">SUM(C42:F42)</f>
        <v>83560.2</v>
      </c>
      <c r="H42" s="1235">
        <v>35005.300000000003</v>
      </c>
      <c r="I42" s="1447">
        <f t="shared" ref="I42:I45" si="16">SUM(G42:H42)</f>
        <v>118565.5</v>
      </c>
      <c r="J42" s="1538">
        <v>7833.2</v>
      </c>
      <c r="K42" s="384">
        <v>38</v>
      </c>
      <c r="L42" s="384">
        <v>33761.1</v>
      </c>
      <c r="M42" s="384">
        <v>72815.3</v>
      </c>
      <c r="N42" s="384">
        <f t="shared" ref="N42:N45" si="17">SUM(J42:M42)</f>
        <v>114447.6</v>
      </c>
      <c r="O42" s="1492">
        <v>4117.8999999999996</v>
      </c>
      <c r="P42" s="1539">
        <f t="shared" si="14"/>
        <v>0</v>
      </c>
    </row>
    <row r="43" spans="1:16" s="889" customFormat="1" ht="20.25" customHeight="1">
      <c r="A43" s="884">
        <v>2025</v>
      </c>
      <c r="B43" s="916" t="s">
        <v>242</v>
      </c>
      <c r="C43" s="384">
        <v>88319.2</v>
      </c>
      <c r="D43" s="384">
        <v>23354.9</v>
      </c>
      <c r="E43" s="384">
        <v>950.4</v>
      </c>
      <c r="F43" s="384">
        <v>23257.1</v>
      </c>
      <c r="G43" s="384">
        <f t="shared" si="15"/>
        <v>135881.60000000001</v>
      </c>
      <c r="H43" s="1235">
        <v>31887.4</v>
      </c>
      <c r="I43" s="1447">
        <f t="shared" si="16"/>
        <v>167769</v>
      </c>
      <c r="J43" s="1538">
        <v>8050.7</v>
      </c>
      <c r="K43" s="384">
        <v>28</v>
      </c>
      <c r="L43" s="384">
        <v>41258.199999999997</v>
      </c>
      <c r="M43" s="384">
        <v>76267.3</v>
      </c>
      <c r="N43" s="384">
        <f t="shared" si="17"/>
        <v>125604.2</v>
      </c>
      <c r="O43" s="384">
        <v>42164.800000000003</v>
      </c>
      <c r="P43" s="1539">
        <f t="shared" si="14"/>
        <v>0</v>
      </c>
    </row>
    <row r="44" spans="1:16" s="889" customFormat="1" ht="15" customHeight="1">
      <c r="A44" s="884"/>
      <c r="B44" s="916" t="s">
        <v>243</v>
      </c>
      <c r="C44" s="384">
        <v>60142.04</v>
      </c>
      <c r="D44" s="384">
        <v>23780.799999999999</v>
      </c>
      <c r="E44" s="384">
        <v>392.8</v>
      </c>
      <c r="F44" s="384">
        <v>15986.2</v>
      </c>
      <c r="G44" s="384">
        <f t="shared" si="15"/>
        <v>100301.84</v>
      </c>
      <c r="H44" s="1235">
        <v>39514.949999999997</v>
      </c>
      <c r="I44" s="1447">
        <f t="shared" si="16"/>
        <v>139816.78999999998</v>
      </c>
      <c r="J44" s="1538">
        <v>14707.9</v>
      </c>
      <c r="K44" s="384">
        <v>41.5</v>
      </c>
      <c r="L44" s="384">
        <v>36441.599999999999</v>
      </c>
      <c r="M44" s="384">
        <v>79300.7</v>
      </c>
      <c r="N44" s="384">
        <f t="shared" si="17"/>
        <v>130491.7</v>
      </c>
      <c r="O44" s="1492">
        <v>9325.1</v>
      </c>
      <c r="P44" s="1539">
        <f t="shared" si="14"/>
        <v>0</v>
      </c>
    </row>
    <row r="45" spans="1:16" s="889" customFormat="1" ht="15" customHeight="1">
      <c r="A45" s="884"/>
      <c r="B45" s="916" t="s">
        <v>240</v>
      </c>
      <c r="C45" s="384">
        <v>56769.9</v>
      </c>
      <c r="D45" s="384">
        <v>25145.75</v>
      </c>
      <c r="E45" s="384">
        <v>659.1</v>
      </c>
      <c r="F45" s="384">
        <v>15897.1</v>
      </c>
      <c r="G45" s="384">
        <f t="shared" si="15"/>
        <v>98471.85</v>
      </c>
      <c r="H45" s="1235">
        <v>56048.7</v>
      </c>
      <c r="I45" s="1447">
        <f t="shared" si="16"/>
        <v>154520.54999999999</v>
      </c>
      <c r="J45" s="1538">
        <v>9158.5</v>
      </c>
      <c r="K45" s="384">
        <v>35.700000000000003</v>
      </c>
      <c r="L45" s="384">
        <v>36209.300000000003</v>
      </c>
      <c r="M45" s="384">
        <v>82127.8</v>
      </c>
      <c r="N45" s="384">
        <f t="shared" si="17"/>
        <v>127531.3</v>
      </c>
      <c r="O45" s="1492">
        <v>26989.3</v>
      </c>
      <c r="P45" s="1539">
        <f t="shared" si="14"/>
        <v>0</v>
      </c>
    </row>
    <row r="46" spans="1:16" s="889" customFormat="1" ht="14.25" customHeight="1">
      <c r="A46" s="884"/>
      <c r="B46" s="916" t="s">
        <v>241</v>
      </c>
      <c r="C46" s="384">
        <v>78452.747000000003</v>
      </c>
      <c r="D46" s="384">
        <v>7749.7</v>
      </c>
      <c r="E46" s="384">
        <v>436.68</v>
      </c>
      <c r="F46" s="384">
        <v>13992.55</v>
      </c>
      <c r="G46" s="384">
        <f t="shared" ref="G46" si="18">SUM(C46:F46)</f>
        <v>100631.677</v>
      </c>
      <c r="H46" s="1235">
        <v>18003.599999999999</v>
      </c>
      <c r="I46" s="1447">
        <f t="shared" ref="I46" si="19">SUM(G46:H46)</f>
        <v>118635.277</v>
      </c>
      <c r="J46" s="1538">
        <v>8038.86</v>
      </c>
      <c r="K46" s="384">
        <v>24</v>
      </c>
      <c r="L46" s="384">
        <v>34416.28</v>
      </c>
      <c r="M46" s="384">
        <v>72147.055999999997</v>
      </c>
      <c r="N46" s="384">
        <f t="shared" ref="N46" si="20">SUM(J46:M46)</f>
        <v>114626.196</v>
      </c>
      <c r="O46" s="1492">
        <v>4009.1</v>
      </c>
      <c r="P46" s="1539">
        <f t="shared" ref="P46" si="21">ROUND(I46,1)-ROUND(N46,1)-ROUND(O46,1)</f>
        <v>5.9117155615240335E-12</v>
      </c>
    </row>
    <row r="47" spans="1:16" s="564" customFormat="1" ht="20.25" customHeight="1">
      <c r="A47" s="1456" t="s">
        <v>1251</v>
      </c>
      <c r="B47" s="1459"/>
      <c r="C47" s="1460"/>
      <c r="D47" s="1460"/>
      <c r="E47" s="1460"/>
      <c r="F47" s="1460"/>
      <c r="G47" s="561"/>
      <c r="H47" s="561"/>
      <c r="I47" s="562"/>
      <c r="J47" s="562"/>
      <c r="K47" s="562"/>
      <c r="L47" s="559"/>
      <c r="M47" s="559"/>
      <c r="N47" s="559"/>
      <c r="O47" s="563" t="s">
        <v>1252</v>
      </c>
    </row>
    <row r="48" spans="1:16" s="564" customFormat="1" ht="9" customHeight="1">
      <c r="A48" s="235"/>
      <c r="B48" s="565"/>
      <c r="H48" s="235"/>
      <c r="I48" s="235"/>
      <c r="J48" s="235"/>
      <c r="O48" s="566"/>
    </row>
    <row r="49" spans="1:15" customFormat="1" ht="12.5">
      <c r="A49" s="655" t="s">
        <v>1253</v>
      </c>
      <c r="B49" s="1"/>
      <c r="C49" s="1"/>
      <c r="D49" s="1"/>
      <c r="E49" s="1"/>
      <c r="F49" s="1"/>
      <c r="G49" s="1"/>
      <c r="H49" s="1"/>
      <c r="I49" s="1"/>
      <c r="J49" s="1"/>
      <c r="K49" s="1"/>
      <c r="L49" s="1"/>
      <c r="M49" s="1"/>
      <c r="N49" s="1"/>
      <c r="O49" s="1"/>
    </row>
  </sheetData>
  <mergeCells count="3">
    <mergeCell ref="A5:B7"/>
    <mergeCell ref="A8:B10"/>
    <mergeCell ref="P9:P10"/>
  </mergeCells>
  <printOptions horizontalCentered="1" verticalCentered="1"/>
  <pageMargins left="0" right="0" top="0" bottom="0" header="0.3" footer="0.3"/>
  <pageSetup paperSize="9" scale="74"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6">
    <tabColor rgb="FFFF0000"/>
    <pageSetUpPr fitToPage="1"/>
  </sheetPr>
  <dimension ref="A1:T54"/>
  <sheetViews>
    <sheetView zoomScale="70" zoomScaleNormal="70" workbookViewId="0">
      <pane ySplit="12" topLeftCell="A36" activePane="bottomLeft" state="frozen"/>
      <selection activeCell="A43" sqref="A43:XFD43"/>
      <selection pane="bottomLeft" activeCell="G43" sqref="G43:N43"/>
    </sheetView>
  </sheetViews>
  <sheetFormatPr defaultColWidth="18.26953125" defaultRowHeight="15.5"/>
  <cols>
    <col min="1" max="1" width="10.81640625" style="1620" customWidth="1"/>
    <col min="2" max="2" width="10.7265625" style="1619" customWidth="1"/>
    <col min="3" max="6" width="18.1796875" style="1619" customWidth="1"/>
    <col min="7" max="7" width="18.26953125" style="1619" customWidth="1"/>
    <col min="8" max="8" width="18.1796875" style="1619" customWidth="1"/>
    <col min="9" max="9" width="18.26953125" style="1619" customWidth="1"/>
    <col min="10" max="10" width="17.7265625" style="1619" customWidth="1"/>
    <col min="11" max="11" width="18.26953125" style="1619" customWidth="1"/>
    <col min="12" max="12" width="17.7265625" style="1619" customWidth="1"/>
    <col min="13" max="13" width="18.26953125" style="1619"/>
    <col min="14" max="14" width="17.7265625" style="1619" customWidth="1"/>
    <col min="15" max="16384" width="18.26953125" style="1619"/>
  </cols>
  <sheetData>
    <row r="1" spans="1:14" ht="18">
      <c r="A1" s="1640" t="s">
        <v>1254</v>
      </c>
      <c r="B1" s="1639"/>
      <c r="C1" s="1639"/>
      <c r="D1" s="1639"/>
      <c r="E1" s="1639"/>
      <c r="F1" s="1639"/>
      <c r="G1" s="1640"/>
      <c r="H1" s="1640"/>
      <c r="I1" s="1639"/>
      <c r="J1" s="1639"/>
      <c r="K1" s="1639"/>
      <c r="L1" s="1639"/>
      <c r="M1" s="1639"/>
      <c r="N1" s="1639"/>
    </row>
    <row r="2" spans="1:14" ht="18">
      <c r="A2" s="1638" t="s">
        <v>1255</v>
      </c>
      <c r="B2" s="1637"/>
      <c r="C2" s="1637"/>
      <c r="D2" s="1637"/>
      <c r="E2" s="1637"/>
      <c r="F2" s="1637"/>
      <c r="G2" s="1637"/>
      <c r="H2" s="1637"/>
      <c r="I2" s="1637"/>
      <c r="J2" s="1637"/>
      <c r="K2" s="1637"/>
      <c r="L2" s="1637"/>
      <c r="M2" s="1637"/>
      <c r="N2" s="1637"/>
    </row>
    <row r="3" spans="1:14">
      <c r="A3" s="1635" t="s">
        <v>1256</v>
      </c>
      <c r="B3" s="1635"/>
      <c r="C3" s="1635"/>
      <c r="D3" s="1635"/>
      <c r="E3" s="1635"/>
      <c r="F3" s="1635"/>
      <c r="G3" s="1636"/>
      <c r="H3" s="1636"/>
      <c r="I3" s="1635"/>
      <c r="J3" s="1635"/>
      <c r="K3" s="1635"/>
      <c r="L3" s="1635"/>
      <c r="M3" s="1635"/>
      <c r="N3" s="1635"/>
    </row>
    <row r="4" spans="1:14" ht="12" customHeight="1">
      <c r="A4" s="1635"/>
      <c r="B4" s="1635"/>
      <c r="C4" s="1635"/>
      <c r="D4" s="1635"/>
      <c r="E4" s="1635"/>
      <c r="F4" s="1635"/>
      <c r="G4" s="1636"/>
      <c r="H4" s="1636"/>
      <c r="I4" s="1635"/>
      <c r="J4" s="1635"/>
      <c r="K4" s="1635"/>
      <c r="L4" s="1635"/>
      <c r="M4" s="1635"/>
      <c r="N4" s="1635"/>
    </row>
    <row r="5" spans="1:14" ht="9" customHeight="1">
      <c r="A5" s="1635"/>
      <c r="B5" s="1635"/>
      <c r="C5" s="1635"/>
      <c r="D5" s="1635"/>
      <c r="E5" s="1635"/>
      <c r="F5" s="1635"/>
      <c r="G5" s="1636"/>
      <c r="H5" s="1636"/>
      <c r="I5" s="1635"/>
      <c r="J5" s="1635"/>
      <c r="K5" s="1635"/>
      <c r="L5" s="1635"/>
      <c r="M5" s="1635"/>
      <c r="N5" s="1635"/>
    </row>
    <row r="6" spans="1:14">
      <c r="A6" s="1634" t="s">
        <v>377</v>
      </c>
      <c r="M6" s="1633"/>
      <c r="N6" s="1633" t="s">
        <v>378</v>
      </c>
    </row>
    <row r="7" spans="1:14" s="1632" customFormat="1" ht="27" customHeight="1">
      <c r="A7" s="2699" t="s">
        <v>1257</v>
      </c>
      <c r="B7" s="2700"/>
      <c r="C7" s="2703" t="s">
        <v>1258</v>
      </c>
      <c r="D7" s="2703"/>
      <c r="E7" s="2703"/>
      <c r="F7" s="2703"/>
      <c r="G7" s="2699" t="s">
        <v>1259</v>
      </c>
      <c r="H7" s="2708"/>
      <c r="I7" s="2708"/>
      <c r="J7" s="2708"/>
      <c r="K7" s="2708"/>
      <c r="L7" s="2700"/>
      <c r="M7" s="2699" t="s">
        <v>1260</v>
      </c>
      <c r="N7" s="2700"/>
    </row>
    <row r="8" spans="1:14" s="1632" customFormat="1" ht="27" customHeight="1">
      <c r="A8" s="2706"/>
      <c r="B8" s="2707"/>
      <c r="C8" s="2712" t="s">
        <v>1261</v>
      </c>
      <c r="D8" s="2712"/>
      <c r="E8" s="2712"/>
      <c r="F8" s="2712"/>
      <c r="G8" s="2709" t="s">
        <v>1262</v>
      </c>
      <c r="H8" s="2710"/>
      <c r="I8" s="2710"/>
      <c r="J8" s="2710"/>
      <c r="K8" s="2710"/>
      <c r="L8" s="2711"/>
      <c r="M8" s="2706"/>
      <c r="N8" s="2707"/>
    </row>
    <row r="9" spans="1:14" s="1632" customFormat="1" ht="15.75" customHeight="1">
      <c r="A9" s="2706"/>
      <c r="B9" s="2707"/>
      <c r="C9" s="2699" t="s">
        <v>1263</v>
      </c>
      <c r="D9" s="2700"/>
      <c r="E9" s="2699" t="s">
        <v>1264</v>
      </c>
      <c r="F9" s="2700"/>
      <c r="G9" s="2699" t="s">
        <v>1265</v>
      </c>
      <c r="H9" s="2700"/>
      <c r="I9" s="2699" t="s">
        <v>1266</v>
      </c>
      <c r="J9" s="2700"/>
      <c r="K9" s="2699" t="s">
        <v>1267</v>
      </c>
      <c r="L9" s="2700"/>
      <c r="M9" s="2706" t="s">
        <v>1268</v>
      </c>
      <c r="N9" s="2707"/>
    </row>
    <row r="10" spans="1:14" s="1631" customFormat="1">
      <c r="A10" s="2706"/>
      <c r="B10" s="2707"/>
      <c r="C10" s="2701" t="s">
        <v>1269</v>
      </c>
      <c r="D10" s="2702"/>
      <c r="E10" s="2701" t="s">
        <v>1270</v>
      </c>
      <c r="F10" s="2702"/>
      <c r="G10" s="2704" t="s">
        <v>1271</v>
      </c>
      <c r="H10" s="2705"/>
      <c r="I10" s="2704" t="s">
        <v>1272</v>
      </c>
      <c r="J10" s="2705"/>
      <c r="K10" s="2704" t="s">
        <v>1273</v>
      </c>
      <c r="L10" s="2705"/>
      <c r="M10" s="2701"/>
      <c r="N10" s="2702"/>
    </row>
    <row r="11" spans="1:14" s="1631" customFormat="1" ht="15.75" customHeight="1">
      <c r="A11" s="2706"/>
      <c r="B11" s="2707"/>
      <c r="C11" s="2076" t="s">
        <v>1274</v>
      </c>
      <c r="D11" s="2075" t="s">
        <v>1275</v>
      </c>
      <c r="E11" s="2076" t="s">
        <v>1274</v>
      </c>
      <c r="F11" s="2075" t="s">
        <v>1275</v>
      </c>
      <c r="G11" s="2076" t="s">
        <v>1274</v>
      </c>
      <c r="H11" s="2075" t="s">
        <v>1275</v>
      </c>
      <c r="I11" s="2076" t="s">
        <v>1274</v>
      </c>
      <c r="J11" s="2075" t="s">
        <v>1275</v>
      </c>
      <c r="K11" s="2076" t="s">
        <v>1274</v>
      </c>
      <c r="L11" s="2075" t="s">
        <v>1275</v>
      </c>
      <c r="M11" s="2076" t="s">
        <v>1274</v>
      </c>
      <c r="N11" s="2075" t="s">
        <v>1275</v>
      </c>
    </row>
    <row r="12" spans="1:14" s="1631" customFormat="1">
      <c r="A12" s="2701"/>
      <c r="B12" s="2702"/>
      <c r="C12" s="1785" t="s">
        <v>1276</v>
      </c>
      <c r="D12" s="2077" t="s">
        <v>1277</v>
      </c>
      <c r="E12" s="1785" t="s">
        <v>1276</v>
      </c>
      <c r="F12" s="2077" t="s">
        <v>1277</v>
      </c>
      <c r="G12" s="1785" t="s">
        <v>1276</v>
      </c>
      <c r="H12" s="2077" t="s">
        <v>1277</v>
      </c>
      <c r="I12" s="1785" t="s">
        <v>1276</v>
      </c>
      <c r="J12" s="2077" t="s">
        <v>1277</v>
      </c>
      <c r="K12" s="1785" t="s">
        <v>1276</v>
      </c>
      <c r="L12" s="2077" t="s">
        <v>1277</v>
      </c>
      <c r="M12" s="1785" t="s">
        <v>1276</v>
      </c>
      <c r="N12" s="2077" t="s">
        <v>1277</v>
      </c>
    </row>
    <row r="13" spans="1:14" ht="21" customHeight="1">
      <c r="A13" s="2697">
        <v>2016</v>
      </c>
      <c r="B13" s="2698"/>
      <c r="C13" s="2302">
        <v>232807</v>
      </c>
      <c r="D13" s="2069">
        <v>11144.820344103</v>
      </c>
      <c r="E13" s="2302">
        <v>64065</v>
      </c>
      <c r="F13" s="2069">
        <v>64772.22199427701</v>
      </c>
      <c r="G13" s="2069">
        <v>131548</v>
      </c>
      <c r="H13" s="2069">
        <v>35.700000000000003</v>
      </c>
      <c r="I13" s="2069">
        <v>2589591</v>
      </c>
      <c r="J13" s="2069">
        <v>7286.6</v>
      </c>
      <c r="K13" s="2069">
        <v>102758</v>
      </c>
      <c r="L13" s="2069">
        <v>12.5</v>
      </c>
      <c r="M13" s="2073">
        <v>11524588</v>
      </c>
      <c r="N13" s="2069">
        <v>1105.8463750000001</v>
      </c>
    </row>
    <row r="14" spans="1:14" ht="16" customHeight="1">
      <c r="A14" s="2697">
        <v>2017</v>
      </c>
      <c r="B14" s="2698"/>
      <c r="C14" s="2302">
        <v>204622</v>
      </c>
      <c r="D14" s="2069">
        <v>9134.1</v>
      </c>
      <c r="E14" s="2302">
        <v>45075</v>
      </c>
      <c r="F14" s="2069">
        <v>78021.100000000006</v>
      </c>
      <c r="G14" s="2073">
        <v>371841</v>
      </c>
      <c r="H14" s="2069">
        <v>87.6</v>
      </c>
      <c r="I14" s="2073">
        <v>4981026</v>
      </c>
      <c r="J14" s="2069">
        <v>9630.7999999999993</v>
      </c>
      <c r="K14" s="2073">
        <v>1244287</v>
      </c>
      <c r="L14" s="2069">
        <v>79</v>
      </c>
      <c r="M14" s="2073">
        <v>15158643</v>
      </c>
      <c r="N14" s="2069">
        <v>1429.6595</v>
      </c>
    </row>
    <row r="15" spans="1:14" ht="16" customHeight="1">
      <c r="A15" s="1630">
        <v>2018</v>
      </c>
      <c r="B15" s="2011"/>
      <c r="C15" s="2302">
        <v>209671</v>
      </c>
      <c r="D15" s="2069">
        <v>9232.9</v>
      </c>
      <c r="E15" s="2302">
        <v>44592</v>
      </c>
      <c r="F15" s="2069">
        <v>81718.899999999994</v>
      </c>
      <c r="G15" s="2073">
        <v>962740</v>
      </c>
      <c r="H15" s="2069">
        <v>174.7</v>
      </c>
      <c r="I15" s="2073">
        <v>5831526</v>
      </c>
      <c r="J15" s="2069">
        <v>11159.1</v>
      </c>
      <c r="K15" s="2073">
        <v>1665110</v>
      </c>
      <c r="L15" s="2069">
        <v>133.1</v>
      </c>
      <c r="M15" s="2073">
        <v>17811102</v>
      </c>
      <c r="N15" s="2069">
        <v>1651.9018000000001</v>
      </c>
    </row>
    <row r="16" spans="1:14" ht="16" customHeight="1">
      <c r="A16" s="1630">
        <v>2019</v>
      </c>
      <c r="B16" s="2011"/>
      <c r="C16" s="2302">
        <v>217703</v>
      </c>
      <c r="D16" s="2069">
        <v>9372.9</v>
      </c>
      <c r="E16" s="2302">
        <v>42223</v>
      </c>
      <c r="F16" s="2069">
        <v>85142.399999999994</v>
      </c>
      <c r="G16" s="2073">
        <v>6322911</v>
      </c>
      <c r="H16" s="2069">
        <v>542.86</v>
      </c>
      <c r="I16" s="2073">
        <v>7110816</v>
      </c>
      <c r="J16" s="2069">
        <v>12671.900000000001</v>
      </c>
      <c r="K16" s="2073">
        <v>1995920</v>
      </c>
      <c r="L16" s="2069">
        <v>291.5</v>
      </c>
      <c r="M16" s="2073">
        <v>19731651</v>
      </c>
      <c r="N16" s="2069">
        <v>1746.62482</v>
      </c>
    </row>
    <row r="17" spans="1:15" ht="16" customHeight="1">
      <c r="A17" s="1630">
        <v>2020</v>
      </c>
      <c r="B17" s="2011"/>
      <c r="C17" s="2302">
        <v>243892</v>
      </c>
      <c r="D17" s="2069">
        <v>10593.5</v>
      </c>
      <c r="E17" s="2302">
        <v>36292</v>
      </c>
      <c r="F17" s="2069">
        <v>68026.247781167011</v>
      </c>
      <c r="G17" s="2073">
        <v>47247358</v>
      </c>
      <c r="H17" s="2069">
        <v>2237.8397709999999</v>
      </c>
      <c r="I17" s="2073">
        <v>8702806</v>
      </c>
      <c r="J17" s="2069">
        <v>13458.651462000002</v>
      </c>
      <c r="K17" s="2073">
        <v>4199985</v>
      </c>
      <c r="L17" s="2069">
        <v>465.04345800000004</v>
      </c>
      <c r="M17" s="2073">
        <v>18741958</v>
      </c>
      <c r="N17" s="2069">
        <v>1555.7394109999998</v>
      </c>
    </row>
    <row r="18" spans="1:15" ht="16" customHeight="1">
      <c r="A18" s="1630">
        <v>2021</v>
      </c>
      <c r="B18" s="2011"/>
      <c r="C18" s="2302">
        <v>259105</v>
      </c>
      <c r="D18" s="2069">
        <v>9673.9172564569999</v>
      </c>
      <c r="E18" s="2302">
        <v>42705</v>
      </c>
      <c r="F18" s="2069">
        <v>83922.596094576002</v>
      </c>
      <c r="G18" s="2073">
        <v>141835256</v>
      </c>
      <c r="H18" s="2069">
        <v>4462.4831600739999</v>
      </c>
      <c r="I18" s="2073">
        <v>9681631</v>
      </c>
      <c r="J18" s="2069">
        <v>15378.309771431999</v>
      </c>
      <c r="K18" s="2073">
        <v>9140103</v>
      </c>
      <c r="L18" s="2069">
        <v>685.41474115000005</v>
      </c>
      <c r="M18" s="2073">
        <v>15758177</v>
      </c>
      <c r="N18" s="2069">
        <v>1419.5800263400001</v>
      </c>
    </row>
    <row r="19" spans="1:15" s="1979" customFormat="1" ht="16" customHeight="1">
      <c r="A19" s="2361">
        <v>2022</v>
      </c>
      <c r="B19" s="1980"/>
      <c r="C19" s="2362">
        <v>266647</v>
      </c>
      <c r="D19" s="2363">
        <v>9706.1287400000001</v>
      </c>
      <c r="E19" s="2362">
        <v>43726</v>
      </c>
      <c r="F19" s="2363">
        <v>86241.370043746007</v>
      </c>
      <c r="G19" s="2362">
        <v>244925166</v>
      </c>
      <c r="H19" s="2363">
        <v>6149.5304039879993</v>
      </c>
      <c r="I19" s="2362">
        <v>10997227</v>
      </c>
      <c r="J19" s="2363">
        <v>18351.528233444998</v>
      </c>
      <c r="K19" s="2362">
        <v>11830039</v>
      </c>
      <c r="L19" s="2363">
        <v>913.24598615999992</v>
      </c>
      <c r="M19" s="2362">
        <v>14116744</v>
      </c>
      <c r="N19" s="2363">
        <v>1372.0853723799996</v>
      </c>
    </row>
    <row r="20" spans="1:15" s="1979" customFormat="1" ht="16" customHeight="1">
      <c r="A20" s="2361">
        <v>2023</v>
      </c>
      <c r="B20" s="1980"/>
      <c r="C20" s="2362">
        <v>314663</v>
      </c>
      <c r="D20" s="2363">
        <v>9911.8071161419994</v>
      </c>
      <c r="E20" s="2362">
        <v>48429</v>
      </c>
      <c r="F20" s="2363">
        <v>104624.271310935</v>
      </c>
      <c r="G20" s="2362">
        <v>338653902</v>
      </c>
      <c r="H20" s="2363">
        <v>7404.1710555399995</v>
      </c>
      <c r="I20" s="2362">
        <v>12520338</v>
      </c>
      <c r="J20" s="2363">
        <v>20954.594999030003</v>
      </c>
      <c r="K20" s="2362">
        <v>12913067</v>
      </c>
      <c r="L20" s="2363">
        <v>1018.8718770519999</v>
      </c>
      <c r="M20" s="2362">
        <v>12252664</v>
      </c>
      <c r="N20" s="2363">
        <v>1220.7208868819998</v>
      </c>
    </row>
    <row r="21" spans="1:15" s="1979" customFormat="1" ht="16" customHeight="1">
      <c r="A21" s="2361">
        <v>2024</v>
      </c>
      <c r="B21" s="1980"/>
      <c r="C21" s="2362">
        <v>343019</v>
      </c>
      <c r="D21" s="2363">
        <v>10915.129488564999</v>
      </c>
      <c r="E21" s="2362">
        <v>52892</v>
      </c>
      <c r="F21" s="2363">
        <v>128752.96331480799</v>
      </c>
      <c r="G21" s="2362">
        <v>417952450</v>
      </c>
      <c r="H21" s="2363">
        <v>8524.5287827329994</v>
      </c>
      <c r="I21" s="2362">
        <v>13184829</v>
      </c>
      <c r="J21" s="2363">
        <v>23582.536458832998</v>
      </c>
      <c r="K21" s="2362">
        <v>12628131</v>
      </c>
      <c r="L21" s="2363">
        <v>1157.4334616220001</v>
      </c>
      <c r="M21" s="2362">
        <v>10117677</v>
      </c>
      <c r="N21" s="2363">
        <v>1092.557499987</v>
      </c>
    </row>
    <row r="22" spans="1:15" s="1979" customFormat="1" ht="16" customHeight="1">
      <c r="A22" s="2191">
        <v>2025</v>
      </c>
      <c r="B22" s="2114"/>
      <c r="C22" s="2193">
        <f t="shared" ref="C22:N22" si="0">SUM(C26:C29)</f>
        <v>335715</v>
      </c>
      <c r="D22" s="2192">
        <f t="shared" si="0"/>
        <v>11498.940871243998</v>
      </c>
      <c r="E22" s="2193">
        <f t="shared" si="0"/>
        <v>56252</v>
      </c>
      <c r="F22" s="2192">
        <f t="shared" si="0"/>
        <v>110235.083465791</v>
      </c>
      <c r="G22" s="2193">
        <f t="shared" si="0"/>
        <v>467940311</v>
      </c>
      <c r="H22" s="2192">
        <f t="shared" si="0"/>
        <v>9734.8624459969997</v>
      </c>
      <c r="I22" s="2193">
        <f t="shared" si="0"/>
        <v>14281491</v>
      </c>
      <c r="J22" s="2192">
        <f t="shared" si="0"/>
        <v>26361.229520770001</v>
      </c>
      <c r="K22" s="2193">
        <f t="shared" si="0"/>
        <v>11826304</v>
      </c>
      <c r="L22" s="2192">
        <f t="shared" si="0"/>
        <v>1393.192689512</v>
      </c>
      <c r="M22" s="2193">
        <f t="shared" si="0"/>
        <v>8727652</v>
      </c>
      <c r="N22" s="2192">
        <f t="shared" si="0"/>
        <v>991.47343535700008</v>
      </c>
    </row>
    <row r="23" spans="1:15" ht="21" customHeight="1">
      <c r="A23" s="1630">
        <v>2024</v>
      </c>
      <c r="B23" s="2011" t="s">
        <v>243</v>
      </c>
      <c r="C23" s="2073">
        <v>85274</v>
      </c>
      <c r="D23" s="2069">
        <v>2562.693101804</v>
      </c>
      <c r="E23" s="2073">
        <v>12427</v>
      </c>
      <c r="F23" s="2069">
        <v>34632.986187149007</v>
      </c>
      <c r="G23" s="2073">
        <v>102779219</v>
      </c>
      <c r="H23" s="2069">
        <v>2137.1405942319998</v>
      </c>
      <c r="I23" s="2073">
        <v>3244564</v>
      </c>
      <c r="J23" s="2069">
        <v>5923.384359789</v>
      </c>
      <c r="K23" s="2073">
        <v>3189165</v>
      </c>
      <c r="L23" s="2069">
        <v>281.34991023400005</v>
      </c>
      <c r="M23" s="2073">
        <v>2618708</v>
      </c>
      <c r="N23" s="2069">
        <v>281.597654971</v>
      </c>
      <c r="O23" s="2431"/>
    </row>
    <row r="24" spans="1:15" ht="15" customHeight="1">
      <c r="A24" s="1630"/>
      <c r="B24" s="2011" t="s">
        <v>240</v>
      </c>
      <c r="C24" s="2073">
        <v>86209</v>
      </c>
      <c r="D24" s="2069">
        <v>2577.2339150759999</v>
      </c>
      <c r="E24" s="2073">
        <v>13421</v>
      </c>
      <c r="F24" s="2069">
        <v>26689.236231955998</v>
      </c>
      <c r="G24" s="2073">
        <v>102798122</v>
      </c>
      <c r="H24" s="2069">
        <v>2103.1232203270001</v>
      </c>
      <c r="I24" s="2073">
        <v>3251064</v>
      </c>
      <c r="J24" s="2069">
        <v>5815.6138574750003</v>
      </c>
      <c r="K24" s="2073">
        <v>3142266</v>
      </c>
      <c r="L24" s="2069">
        <v>302.00083434999999</v>
      </c>
      <c r="M24" s="2073">
        <v>2419327</v>
      </c>
      <c r="N24" s="2069">
        <v>264.23229637300005</v>
      </c>
      <c r="O24" s="2431"/>
    </row>
    <row r="25" spans="1:15" ht="15" customHeight="1">
      <c r="A25" s="1630"/>
      <c r="B25" s="2011" t="s">
        <v>241</v>
      </c>
      <c r="C25" s="2073">
        <v>83090</v>
      </c>
      <c r="D25" s="2069">
        <v>2924.6739595069998</v>
      </c>
      <c r="E25" s="2073">
        <v>13238</v>
      </c>
      <c r="F25" s="2069">
        <v>30595.261995263998</v>
      </c>
      <c r="G25" s="2073">
        <v>114591047</v>
      </c>
      <c r="H25" s="2069">
        <v>2211.6758694500004</v>
      </c>
      <c r="I25" s="2073">
        <v>3416058</v>
      </c>
      <c r="J25" s="2069">
        <v>6142.8584947430008</v>
      </c>
      <c r="K25" s="2073">
        <v>3143587</v>
      </c>
      <c r="L25" s="2069">
        <v>306.883944063</v>
      </c>
      <c r="M25" s="2073">
        <v>2403967</v>
      </c>
      <c r="N25" s="2069">
        <v>260.27810064799996</v>
      </c>
      <c r="O25" s="2431"/>
    </row>
    <row r="26" spans="1:15" ht="21" customHeight="1">
      <c r="A26" s="1630">
        <v>2025</v>
      </c>
      <c r="B26" s="2011" t="s">
        <v>242</v>
      </c>
      <c r="C26" s="2073">
        <v>81752</v>
      </c>
      <c r="D26" s="2069">
        <v>2753.5434626589999</v>
      </c>
      <c r="E26" s="2073">
        <v>13318</v>
      </c>
      <c r="F26" s="2069">
        <v>26044.038192010001</v>
      </c>
      <c r="G26" s="2073">
        <v>111738767</v>
      </c>
      <c r="H26" s="2069">
        <v>2302.4229634849999</v>
      </c>
      <c r="I26" s="2073">
        <v>3430878</v>
      </c>
      <c r="J26" s="2069">
        <v>6124.5076745409997</v>
      </c>
      <c r="K26" s="2073">
        <v>2833384</v>
      </c>
      <c r="L26" s="2069">
        <v>290.67716947500003</v>
      </c>
      <c r="M26" s="2073">
        <v>2281267</v>
      </c>
      <c r="N26" s="2069">
        <v>258.33508274400003</v>
      </c>
      <c r="O26" s="2431"/>
    </row>
    <row r="27" spans="1:15" ht="15" customHeight="1">
      <c r="A27" s="1630"/>
      <c r="B27" s="2011" t="s">
        <v>243</v>
      </c>
      <c r="C27" s="2073">
        <v>82288</v>
      </c>
      <c r="D27" s="2069">
        <v>2771.2750713170003</v>
      </c>
      <c r="E27" s="2073">
        <v>14001</v>
      </c>
      <c r="F27" s="2069">
        <v>29690.464621854</v>
      </c>
      <c r="G27" s="2073">
        <v>117928840</v>
      </c>
      <c r="H27" s="2488">
        <v>2320.9593349600004</v>
      </c>
      <c r="I27" s="2073">
        <v>3643917</v>
      </c>
      <c r="J27" s="2488">
        <v>6842.441150667999</v>
      </c>
      <c r="K27" s="2073">
        <v>3114342</v>
      </c>
      <c r="L27" s="2069">
        <v>312.75108762899998</v>
      </c>
      <c r="M27" s="2073">
        <v>2176881</v>
      </c>
      <c r="N27" s="2488">
        <v>253.14486076600002</v>
      </c>
      <c r="O27" s="2431"/>
    </row>
    <row r="28" spans="1:15" ht="15" customHeight="1">
      <c r="A28" s="1630"/>
      <c r="B28" s="2011" t="s">
        <v>240</v>
      </c>
      <c r="C28" s="2073">
        <f>SUM(C33:C35)</f>
        <v>83402</v>
      </c>
      <c r="D28" s="2069">
        <f>SUM(D33:D35)</f>
        <v>2985.6055928039996</v>
      </c>
      <c r="E28" s="2073">
        <f>SUM(E33:E35)</f>
        <v>14090</v>
      </c>
      <c r="F28" s="2069">
        <f>SUM(F33:F35)</f>
        <v>29694.669125414002</v>
      </c>
      <c r="G28" s="2073">
        <f>SUM(G33:G35)</f>
        <v>112856115</v>
      </c>
      <c r="H28" s="2488">
        <f>SUM(H33:H35)+0.02</f>
        <v>2434.5591027510004</v>
      </c>
      <c r="I28" s="2073">
        <f>SUM(I33:I35)</f>
        <v>3542758</v>
      </c>
      <c r="J28" s="2363">
        <f>SUM(J33:J35)</f>
        <v>6728.1078597100013</v>
      </c>
      <c r="K28" s="2073">
        <f>SUM(K33:K35)</f>
        <v>2935408</v>
      </c>
      <c r="L28" s="2069">
        <f>SUM(L33:L35)</f>
        <v>397.66801919400007</v>
      </c>
      <c r="M28" s="2073">
        <f>SUM(M33:M35)</f>
        <v>2094130</v>
      </c>
      <c r="N28" s="2488">
        <f>SUM(N33:N35)-0.05</f>
        <v>236.02916602799999</v>
      </c>
      <c r="O28" s="2431"/>
    </row>
    <row r="29" spans="1:15" ht="15" customHeight="1">
      <c r="A29" s="1630"/>
      <c r="B29" s="2011" t="s">
        <v>241</v>
      </c>
      <c r="C29" s="2073">
        <f t="shared" ref="C29:M29" si="1">SUM(C36:C38)</f>
        <v>88273</v>
      </c>
      <c r="D29" s="2069">
        <f t="shared" si="1"/>
        <v>2988.5167444640001</v>
      </c>
      <c r="E29" s="2073">
        <f t="shared" si="1"/>
        <v>14843</v>
      </c>
      <c r="F29" s="2069">
        <f t="shared" si="1"/>
        <v>24805.911526512999</v>
      </c>
      <c r="G29" s="2073">
        <f t="shared" si="1"/>
        <v>125416589</v>
      </c>
      <c r="H29" s="2363">
        <f t="shared" si="1"/>
        <v>2676.9210448010003</v>
      </c>
      <c r="I29" s="2073">
        <f t="shared" si="1"/>
        <v>3663938</v>
      </c>
      <c r="J29" s="2363">
        <f t="shared" si="1"/>
        <v>6666.172835850999</v>
      </c>
      <c r="K29" s="2073">
        <f t="shared" si="1"/>
        <v>2943170</v>
      </c>
      <c r="L29" s="2069">
        <f t="shared" si="1"/>
        <v>392.09641321399999</v>
      </c>
      <c r="M29" s="2073">
        <f t="shared" si="1"/>
        <v>2175374</v>
      </c>
      <c r="N29" s="2488">
        <f>SUM(N36:N38)-0.05</f>
        <v>243.96432581900001</v>
      </c>
      <c r="O29" s="2431"/>
    </row>
    <row r="30" spans="1:15" ht="21" customHeight="1">
      <c r="A30" s="2074">
        <v>2026</v>
      </c>
      <c r="B30" s="2013" t="s">
        <v>242</v>
      </c>
      <c r="C30" s="2072">
        <f t="shared" ref="C30:M30" si="2">SUM(C39:C41)</f>
        <v>84289</v>
      </c>
      <c r="D30" s="2020">
        <f t="shared" si="2"/>
        <v>2878.124840681</v>
      </c>
      <c r="E30" s="2072">
        <f t="shared" si="2"/>
        <v>13302</v>
      </c>
      <c r="F30" s="2020">
        <f t="shared" si="2"/>
        <v>25361.940678634001</v>
      </c>
      <c r="G30" s="2072">
        <f t="shared" si="2"/>
        <v>119257594</v>
      </c>
      <c r="H30" s="2020">
        <f t="shared" si="2"/>
        <v>2697.0647647360001</v>
      </c>
      <c r="I30" s="2072">
        <f t="shared" si="2"/>
        <v>3595977</v>
      </c>
      <c r="J30" s="2020">
        <f t="shared" si="2"/>
        <v>6500.2798482490007</v>
      </c>
      <c r="K30" s="2072">
        <f t="shared" si="2"/>
        <v>2795701</v>
      </c>
      <c r="L30" s="2020">
        <f t="shared" si="2"/>
        <v>347.44046050999998</v>
      </c>
      <c r="M30" s="2072">
        <f t="shared" si="2"/>
        <v>2085241</v>
      </c>
      <c r="N30" s="2020">
        <f>SUM(N39:N41)</f>
        <v>263.28057079999996</v>
      </c>
      <c r="O30" s="2431"/>
    </row>
    <row r="31" spans="1:15" s="1979" customFormat="1" ht="21" customHeight="1">
      <c r="A31" s="2089">
        <v>2025</v>
      </c>
      <c r="B31" s="1980" t="s">
        <v>427</v>
      </c>
      <c r="C31" s="2362">
        <v>26766</v>
      </c>
      <c r="D31" s="2363">
        <v>922.48196805400028</v>
      </c>
      <c r="E31" s="2362">
        <v>4812</v>
      </c>
      <c r="F31" s="2363">
        <v>9962.3156236010018</v>
      </c>
      <c r="G31" s="2362">
        <v>41587854</v>
      </c>
      <c r="H31" s="2363">
        <v>807.077894775</v>
      </c>
      <c r="I31" s="2362">
        <v>1127495</v>
      </c>
      <c r="J31" s="2363">
        <v>2124.7436145909996</v>
      </c>
      <c r="K31" s="2362">
        <v>961717</v>
      </c>
      <c r="L31" s="2363">
        <v>93.093229913000002</v>
      </c>
      <c r="M31" s="2362">
        <v>742403</v>
      </c>
      <c r="N31" s="2363">
        <v>86.243703264000004</v>
      </c>
    </row>
    <row r="32" spans="1:15" s="1979" customFormat="1" ht="15.75" customHeight="1">
      <c r="A32" s="2089"/>
      <c r="B32" s="1980" t="s">
        <v>428</v>
      </c>
      <c r="C32" s="2362">
        <v>26367</v>
      </c>
      <c r="D32" s="2363">
        <v>896.73119738699995</v>
      </c>
      <c r="E32" s="2362">
        <v>4274</v>
      </c>
      <c r="F32" s="2363">
        <v>9357.2736009360015</v>
      </c>
      <c r="G32" s="2362">
        <v>37999485</v>
      </c>
      <c r="H32" s="2363">
        <v>756.38161389299989</v>
      </c>
      <c r="I32" s="2362">
        <v>1119523</v>
      </c>
      <c r="J32" s="2363">
        <v>2162.9746272009997</v>
      </c>
      <c r="K32" s="2362">
        <v>1016550</v>
      </c>
      <c r="L32" s="2363">
        <v>96.199430539999994</v>
      </c>
      <c r="M32" s="2362">
        <v>723253</v>
      </c>
      <c r="N32" s="2363">
        <v>85.091525080000011</v>
      </c>
    </row>
    <row r="33" spans="1:20" s="1979" customFormat="1" ht="15.75" customHeight="1">
      <c r="A33" s="2089"/>
      <c r="B33" s="1980" t="s">
        <v>429</v>
      </c>
      <c r="C33" s="2362">
        <v>28320</v>
      </c>
      <c r="D33" s="2363">
        <v>1087.7593157979998</v>
      </c>
      <c r="E33" s="2362">
        <v>5048</v>
      </c>
      <c r="F33" s="2363">
        <v>11026.468650686</v>
      </c>
      <c r="G33" s="2362">
        <v>37110651</v>
      </c>
      <c r="H33" s="2363">
        <v>790.06865808500015</v>
      </c>
      <c r="I33" s="2362">
        <v>1302368</v>
      </c>
      <c r="J33" s="2363">
        <v>2391.3893577140002</v>
      </c>
      <c r="K33" s="2362">
        <v>981481</v>
      </c>
      <c r="L33" s="2363">
        <v>127.76468063800002</v>
      </c>
      <c r="M33" s="2362">
        <v>725537</v>
      </c>
      <c r="N33" s="2363">
        <v>83.434007366000031</v>
      </c>
    </row>
    <row r="34" spans="1:20" s="1979" customFormat="1" ht="15.75" customHeight="1">
      <c r="A34" s="2089"/>
      <c r="B34" s="1980" t="s">
        <v>430</v>
      </c>
      <c r="C34" s="2362">
        <v>26118</v>
      </c>
      <c r="D34" s="2363">
        <v>896.21391612100001</v>
      </c>
      <c r="E34" s="2362">
        <v>4341</v>
      </c>
      <c r="F34" s="2363">
        <v>9456.3160196609988</v>
      </c>
      <c r="G34" s="2362">
        <v>36985510</v>
      </c>
      <c r="H34" s="2363">
        <v>813.61331272200005</v>
      </c>
      <c r="I34" s="2362">
        <v>1119762</v>
      </c>
      <c r="J34" s="2363">
        <v>2146.5428398930003</v>
      </c>
      <c r="K34" s="2362">
        <v>973822</v>
      </c>
      <c r="L34" s="2363">
        <v>161.14514072600002</v>
      </c>
      <c r="M34" s="2362">
        <v>661257</v>
      </c>
      <c r="N34" s="2363">
        <v>74.106136948999989</v>
      </c>
    </row>
    <row r="35" spans="1:20" s="1979" customFormat="1" ht="15.75" customHeight="1">
      <c r="A35" s="2089"/>
      <c r="B35" s="1980" t="s">
        <v>431</v>
      </c>
      <c r="C35" s="2362">
        <v>28964</v>
      </c>
      <c r="D35" s="2363">
        <v>1001.632360885</v>
      </c>
      <c r="E35" s="2362">
        <v>4701</v>
      </c>
      <c r="F35" s="2363">
        <v>9211.8844550670019</v>
      </c>
      <c r="G35" s="2362">
        <v>38759954</v>
      </c>
      <c r="H35" s="2363">
        <v>830.85713194400012</v>
      </c>
      <c r="I35" s="2362">
        <v>1120628</v>
      </c>
      <c r="J35" s="2363">
        <v>2190.1756621030008</v>
      </c>
      <c r="K35" s="2362">
        <v>980105</v>
      </c>
      <c r="L35" s="2363">
        <v>108.75819783</v>
      </c>
      <c r="M35" s="2362">
        <v>707336</v>
      </c>
      <c r="N35" s="2363">
        <v>78.539021712999983</v>
      </c>
    </row>
    <row r="36" spans="1:20" s="1979" customFormat="1" ht="15.75" customHeight="1">
      <c r="A36" s="2089"/>
      <c r="B36" s="1980" t="s">
        <v>420</v>
      </c>
      <c r="C36" s="2362">
        <v>28676</v>
      </c>
      <c r="D36" s="2363">
        <v>944.74900837900009</v>
      </c>
      <c r="E36" s="2362">
        <v>5095</v>
      </c>
      <c r="F36" s="2363">
        <v>10091.961853171999</v>
      </c>
      <c r="G36" s="2362">
        <v>41355507</v>
      </c>
      <c r="H36" s="2363">
        <v>876.31087307199994</v>
      </c>
      <c r="I36" s="2362">
        <v>1297436</v>
      </c>
      <c r="J36" s="2363">
        <v>2216.0440771359995</v>
      </c>
      <c r="K36" s="2362">
        <v>997760</v>
      </c>
      <c r="L36" s="2363">
        <v>122.79701404000001</v>
      </c>
      <c r="M36" s="2362">
        <v>755596</v>
      </c>
      <c r="N36" s="2363">
        <v>84.00513983899998</v>
      </c>
    </row>
    <row r="37" spans="1:20" s="1979" customFormat="1" ht="15.75" customHeight="1">
      <c r="A37" s="2089"/>
      <c r="B37" s="1980" t="s">
        <v>421</v>
      </c>
      <c r="C37" s="2362">
        <v>27534</v>
      </c>
      <c r="D37" s="2363">
        <v>969.29925408400004</v>
      </c>
      <c r="E37" s="2362">
        <v>4442</v>
      </c>
      <c r="F37" s="2363">
        <v>7329.8525736019992</v>
      </c>
      <c r="G37" s="2362">
        <v>40702089</v>
      </c>
      <c r="H37" s="2363">
        <v>869.86870111200005</v>
      </c>
      <c r="I37" s="2362">
        <v>1148362</v>
      </c>
      <c r="J37" s="2363">
        <v>2137.7949749250001</v>
      </c>
      <c r="K37" s="2362">
        <v>963538</v>
      </c>
      <c r="L37" s="2363">
        <v>148.83595481699996</v>
      </c>
      <c r="M37" s="2362">
        <v>707431</v>
      </c>
      <c r="N37" s="2363">
        <v>77.934531049000014</v>
      </c>
    </row>
    <row r="38" spans="1:20" s="1979" customFormat="1" ht="15.75" customHeight="1">
      <c r="A38" s="2089"/>
      <c r="B38" s="1980" t="s">
        <v>422</v>
      </c>
      <c r="C38" s="2362">
        <v>32063</v>
      </c>
      <c r="D38" s="2363">
        <v>1074.4684820009998</v>
      </c>
      <c r="E38" s="2362">
        <v>5306</v>
      </c>
      <c r="F38" s="2363">
        <v>7384.0970997389995</v>
      </c>
      <c r="G38" s="2362">
        <v>43358993</v>
      </c>
      <c r="H38" s="2363">
        <v>930.74147061700023</v>
      </c>
      <c r="I38" s="2362">
        <v>1218140</v>
      </c>
      <c r="J38" s="2363">
        <v>2312.3337837900003</v>
      </c>
      <c r="K38" s="2362">
        <v>981872</v>
      </c>
      <c r="L38" s="2363">
        <v>120.463444357</v>
      </c>
      <c r="M38" s="2362">
        <v>712347</v>
      </c>
      <c r="N38" s="2363">
        <v>82.074654931000012</v>
      </c>
    </row>
    <row r="39" spans="1:20" s="1979" customFormat="1" ht="20.5" customHeight="1">
      <c r="A39" s="2089">
        <v>2026</v>
      </c>
      <c r="B39" s="1980" t="s">
        <v>423</v>
      </c>
      <c r="C39" s="2362">
        <v>27582</v>
      </c>
      <c r="D39" s="2363">
        <v>1000.9</v>
      </c>
      <c r="E39" s="2362">
        <v>4525</v>
      </c>
      <c r="F39" s="2363">
        <v>8832.1</v>
      </c>
      <c r="G39" s="2362">
        <v>42473348</v>
      </c>
      <c r="H39" s="2363">
        <v>926.5</v>
      </c>
      <c r="I39" s="2362">
        <v>1247886</v>
      </c>
      <c r="J39" s="2363">
        <v>2225.9</v>
      </c>
      <c r="K39" s="2362">
        <v>970801</v>
      </c>
      <c r="L39" s="2363">
        <v>119.9</v>
      </c>
      <c r="M39" s="2362">
        <v>702183</v>
      </c>
      <c r="N39" s="2363">
        <v>82.3</v>
      </c>
    </row>
    <row r="40" spans="1:20" s="1979" customFormat="1" ht="15.75" customHeight="1">
      <c r="A40" s="2089"/>
      <c r="B40" s="1980" t="s">
        <v>424</v>
      </c>
      <c r="C40" s="2362">
        <v>27090</v>
      </c>
      <c r="D40" s="2363">
        <v>892.2</v>
      </c>
      <c r="E40" s="2362">
        <v>4581</v>
      </c>
      <c r="F40" s="2363">
        <v>8940.7999999999993</v>
      </c>
      <c r="G40" s="2362">
        <v>37542998</v>
      </c>
      <c r="H40" s="2363">
        <v>862.2</v>
      </c>
      <c r="I40" s="2362">
        <v>1180930</v>
      </c>
      <c r="J40" s="2363">
        <v>2195.8000000000002</v>
      </c>
      <c r="K40" s="2362">
        <v>865846</v>
      </c>
      <c r="L40" s="2363">
        <v>137.4</v>
      </c>
      <c r="M40" s="2362">
        <v>621104</v>
      </c>
      <c r="N40" s="2363">
        <v>73.8</v>
      </c>
    </row>
    <row r="41" spans="1:20" s="1979" customFormat="1" ht="15.75" customHeight="1">
      <c r="A41" s="2089"/>
      <c r="B41" s="1980" t="s">
        <v>425</v>
      </c>
      <c r="C41" s="2362">
        <v>29617</v>
      </c>
      <c r="D41" s="2363">
        <v>985.02484068099989</v>
      </c>
      <c r="E41" s="2362">
        <v>4196</v>
      </c>
      <c r="F41" s="2363">
        <f>7589.050678634-0.01</f>
        <v>7589.040678634</v>
      </c>
      <c r="G41" s="2362">
        <v>39241248</v>
      </c>
      <c r="H41" s="2363">
        <v>908.36476473599998</v>
      </c>
      <c r="I41" s="2362">
        <v>1167161</v>
      </c>
      <c r="J41" s="2363">
        <v>2078.579848249</v>
      </c>
      <c r="K41" s="2362">
        <v>959054</v>
      </c>
      <c r="L41" s="2363">
        <f>90.15046051-0.01</f>
        <v>90.140460509999997</v>
      </c>
      <c r="M41" s="2362">
        <v>761954</v>
      </c>
      <c r="N41" s="2363">
        <v>107.1805708</v>
      </c>
    </row>
    <row r="42" spans="1:20" s="1979" customFormat="1" ht="15.75" customHeight="1">
      <c r="A42" s="2089"/>
      <c r="B42" s="1980" t="s">
        <v>426</v>
      </c>
      <c r="C42" s="2362">
        <v>27951</v>
      </c>
      <c r="D42" s="2363">
        <v>1166.7</v>
      </c>
      <c r="E42" s="2362">
        <v>4840</v>
      </c>
      <c r="F42" s="2363">
        <v>9004.2000000000007</v>
      </c>
      <c r="G42" s="2362">
        <v>41687384</v>
      </c>
      <c r="H42" s="2363">
        <v>865.4</v>
      </c>
      <c r="I42" s="2362">
        <v>1359644</v>
      </c>
      <c r="J42" s="2363">
        <v>2517.1</v>
      </c>
      <c r="K42" s="2362">
        <v>979614</v>
      </c>
      <c r="L42" s="2363">
        <v>110</v>
      </c>
      <c r="M42" s="2362">
        <v>612064</v>
      </c>
      <c r="N42" s="2363">
        <v>73.400000000000006</v>
      </c>
    </row>
    <row r="43" spans="1:20" s="1979" customFormat="1" ht="15.75" customHeight="1">
      <c r="A43" s="2089"/>
      <c r="B43" s="1980" t="s">
        <v>1790</v>
      </c>
      <c r="C43" s="2362">
        <v>24263</v>
      </c>
      <c r="D43" s="2363">
        <v>721.86842405100003</v>
      </c>
      <c r="E43" s="2362">
        <v>3795</v>
      </c>
      <c r="F43" s="2363">
        <v>6652.6291802340002</v>
      </c>
      <c r="G43" s="2362">
        <v>45424028</v>
      </c>
      <c r="H43" s="2363">
        <v>948.14201689799972</v>
      </c>
      <c r="I43" s="2362">
        <v>1175475</v>
      </c>
      <c r="J43" s="2363">
        <v>1965.817144677</v>
      </c>
      <c r="K43" s="2362">
        <v>991259</v>
      </c>
      <c r="L43" s="2363">
        <v>112.67926352100001</v>
      </c>
      <c r="M43" s="2362">
        <v>684449</v>
      </c>
      <c r="N43" s="2363">
        <v>78.323928622000011</v>
      </c>
    </row>
    <row r="44" spans="1:20" s="1625" customFormat="1" ht="20.25" customHeight="1">
      <c r="A44" s="1628" t="s">
        <v>1278</v>
      </c>
      <c r="B44" s="1628"/>
      <c r="C44" s="1628"/>
      <c r="D44" s="1628"/>
      <c r="E44" s="1628"/>
      <c r="F44" s="1628"/>
      <c r="G44" s="1628"/>
      <c r="H44" s="1628"/>
      <c r="I44" s="1627"/>
      <c r="J44" s="1627"/>
      <c r="K44" s="1627"/>
      <c r="L44" s="1627"/>
      <c r="M44" s="1626"/>
      <c r="N44" s="1626" t="s">
        <v>1279</v>
      </c>
      <c r="T44" s="2071"/>
    </row>
    <row r="45" spans="1:20">
      <c r="A45" s="1622" t="s">
        <v>1280</v>
      </c>
      <c r="B45" s="1621"/>
      <c r="C45" s="1621"/>
      <c r="D45" s="1621"/>
      <c r="E45" s="1621"/>
      <c r="F45" s="1621"/>
      <c r="M45" s="2070"/>
      <c r="N45" s="2070" t="s">
        <v>1281</v>
      </c>
    </row>
    <row r="46" spans="1:20">
      <c r="A46" s="1622" t="s">
        <v>1282</v>
      </c>
      <c r="B46" s="1621"/>
      <c r="C46" s="1621"/>
      <c r="D46" s="1621"/>
      <c r="E46" s="1621"/>
      <c r="F46" s="1621"/>
      <c r="G46" s="1624"/>
      <c r="H46" s="1624"/>
      <c r="I46" s="1623"/>
      <c r="J46" s="1623"/>
      <c r="K46" s="1623"/>
      <c r="L46" s="1623"/>
      <c r="M46" s="2070"/>
      <c r="N46" s="2070" t="s">
        <v>1283</v>
      </c>
    </row>
    <row r="47" spans="1:20">
      <c r="A47" s="1622" t="s">
        <v>1284</v>
      </c>
      <c r="B47" s="1621"/>
      <c r="C47" s="1621"/>
      <c r="D47" s="1621"/>
      <c r="E47" s="1621"/>
      <c r="F47" s="1621"/>
      <c r="M47" s="2070"/>
      <c r="N47" s="2070" t="s">
        <v>1285</v>
      </c>
    </row>
    <row r="48" spans="1:20">
      <c r="A48" s="1622" t="s">
        <v>1286</v>
      </c>
    </row>
    <row r="49" spans="1:14">
      <c r="A49" s="1622" t="s">
        <v>1287</v>
      </c>
      <c r="B49" s="1621"/>
      <c r="C49" s="1621"/>
      <c r="D49" s="1621"/>
      <c r="E49" s="1621"/>
      <c r="F49" s="1621"/>
      <c r="M49" s="2070"/>
      <c r="N49" s="2070" t="s">
        <v>1288</v>
      </c>
    </row>
    <row r="50" spans="1:14">
      <c r="G50" s="2439"/>
      <c r="H50" s="2439"/>
      <c r="I50" s="2439"/>
      <c r="J50" s="2439"/>
      <c r="K50" s="2439"/>
      <c r="L50" s="2439"/>
    </row>
    <row r="51" spans="1:14">
      <c r="A51" s="1945" t="s">
        <v>1289</v>
      </c>
      <c r="B51" s="1945"/>
      <c r="C51" s="1623"/>
      <c r="D51" s="1623"/>
      <c r="E51" s="1945"/>
      <c r="F51" s="1945"/>
      <c r="G51" s="1945"/>
      <c r="H51" s="1945"/>
      <c r="I51" s="1945"/>
      <c r="J51" s="1945"/>
      <c r="K51" s="1945"/>
      <c r="L51" s="1945"/>
      <c r="M51" s="2441"/>
      <c r="N51" s="2441"/>
    </row>
    <row r="52" spans="1:14">
      <c r="M52" s="2440"/>
      <c r="N52" s="2440"/>
    </row>
    <row r="53" spans="1:14">
      <c r="C53" s="2439"/>
      <c r="D53" s="2439"/>
    </row>
    <row r="54" spans="1:14">
      <c r="C54" s="2439"/>
      <c r="D54" s="2439"/>
    </row>
  </sheetData>
  <mergeCells count="19">
    <mergeCell ref="C7:F7"/>
    <mergeCell ref="K10:L10"/>
    <mergeCell ref="A7:B12"/>
    <mergeCell ref="M7:N8"/>
    <mergeCell ref="G7:L7"/>
    <mergeCell ref="G8:L8"/>
    <mergeCell ref="M9:N10"/>
    <mergeCell ref="K9:L9"/>
    <mergeCell ref="C8:F8"/>
    <mergeCell ref="I9:J9"/>
    <mergeCell ref="I10:J10"/>
    <mergeCell ref="G10:H10"/>
    <mergeCell ref="G9:H9"/>
    <mergeCell ref="A14:B14"/>
    <mergeCell ref="E9:F9"/>
    <mergeCell ref="E10:F10"/>
    <mergeCell ref="C9:D9"/>
    <mergeCell ref="C10:D10"/>
    <mergeCell ref="A13:B13"/>
  </mergeCells>
  <printOptions horizontalCentered="1" verticalCentered="1"/>
  <pageMargins left="0.25" right="0.25" top="0" bottom="0" header="0.05" footer="0.25"/>
  <pageSetup scale="57"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tabColor rgb="FFFF0000"/>
    <pageSetUpPr fitToPage="1"/>
  </sheetPr>
  <dimension ref="A1:N50"/>
  <sheetViews>
    <sheetView zoomScale="80" zoomScaleNormal="80" workbookViewId="0">
      <pane ySplit="12" topLeftCell="A37" activePane="bottomLeft" state="frozen"/>
      <selection activeCell="A43" sqref="A43:XFD43"/>
      <selection pane="bottomLeft" activeCell="D43" sqref="D43"/>
    </sheetView>
  </sheetViews>
  <sheetFormatPr defaultColWidth="18.26953125" defaultRowHeight="15.5"/>
  <cols>
    <col min="1" max="1" width="10.81640625" style="1620" customWidth="1"/>
    <col min="2" max="2" width="10.7265625" style="1619" customWidth="1"/>
    <col min="3" max="12" width="17.7265625" style="1619" customWidth="1"/>
    <col min="13" max="13" width="10.453125" style="1619" customWidth="1"/>
    <col min="14" max="14" width="9.26953125" style="1619" bestFit="1" customWidth="1"/>
    <col min="15" max="16384" width="18.26953125" style="1619"/>
  </cols>
  <sheetData>
    <row r="1" spans="1:12" ht="18" customHeight="1">
      <c r="A1" s="2713" t="s">
        <v>1290</v>
      </c>
      <c r="B1" s="2713"/>
      <c r="C1" s="2713"/>
      <c r="D1" s="2713"/>
      <c r="E1" s="2713"/>
      <c r="F1" s="2713"/>
      <c r="G1" s="2713"/>
      <c r="H1" s="2713"/>
      <c r="I1" s="2713"/>
      <c r="J1" s="2713"/>
      <c r="K1" s="2713"/>
      <c r="L1" s="2713"/>
    </row>
    <row r="2" spans="1:12" ht="18" customHeight="1">
      <c r="A2" s="2714" t="s">
        <v>82</v>
      </c>
      <c r="B2" s="2714"/>
      <c r="C2" s="2714"/>
      <c r="D2" s="2714"/>
      <c r="E2" s="2714"/>
      <c r="F2" s="2714"/>
      <c r="G2" s="2714"/>
      <c r="H2" s="2714"/>
      <c r="I2" s="2714"/>
      <c r="J2" s="2714"/>
      <c r="K2" s="2714"/>
      <c r="L2" s="2714"/>
    </row>
    <row r="3" spans="1:12">
      <c r="A3" s="2715" t="s">
        <v>81</v>
      </c>
      <c r="B3" s="2715"/>
      <c r="C3" s="2715"/>
      <c r="D3" s="2715"/>
      <c r="E3" s="2715"/>
      <c r="F3" s="2715"/>
      <c r="G3" s="2715"/>
      <c r="H3" s="2715"/>
      <c r="I3" s="2715"/>
      <c r="J3" s="2715"/>
      <c r="K3" s="2715"/>
      <c r="L3" s="2715"/>
    </row>
    <row r="4" spans="1:12" ht="4.5" customHeight="1">
      <c r="A4" s="1635"/>
      <c r="B4" s="1635"/>
      <c r="C4" s="1635"/>
      <c r="D4" s="1635"/>
      <c r="E4" s="1635"/>
      <c r="F4" s="1635"/>
      <c r="G4" s="1635"/>
      <c r="H4" s="1635"/>
      <c r="I4" s="1635"/>
      <c r="J4" s="1635"/>
      <c r="K4" s="1635"/>
      <c r="L4" s="1635"/>
    </row>
    <row r="5" spans="1:12" hidden="1">
      <c r="A5" s="1635"/>
      <c r="B5" s="1635"/>
      <c r="C5" s="1635"/>
      <c r="D5" s="1635"/>
      <c r="E5" s="1635"/>
      <c r="F5" s="1635"/>
      <c r="G5" s="1635"/>
      <c r="H5" s="1635"/>
      <c r="I5" s="1635"/>
      <c r="J5" s="1635"/>
      <c r="K5" s="1635"/>
      <c r="L5" s="1635"/>
    </row>
    <row r="6" spans="1:12" hidden="1">
      <c r="A6" s="1635"/>
      <c r="B6" s="1635"/>
      <c r="C6" s="1635"/>
      <c r="D6" s="1635"/>
      <c r="E6" s="1635"/>
      <c r="F6" s="1635"/>
      <c r="G6" s="1635"/>
      <c r="H6" s="1635"/>
      <c r="I6" s="1635"/>
      <c r="J6" s="1635"/>
      <c r="K6" s="1635"/>
      <c r="L6" s="1635"/>
    </row>
    <row r="7" spans="1:12" hidden="1">
      <c r="A7" s="1635"/>
      <c r="B7" s="1635"/>
      <c r="C7" s="1635"/>
      <c r="D7" s="1635"/>
      <c r="E7" s="1635"/>
      <c r="F7" s="1635"/>
      <c r="G7" s="1635"/>
      <c r="H7" s="1635"/>
      <c r="I7" s="1635"/>
      <c r="J7" s="1635"/>
      <c r="K7" s="1635"/>
      <c r="L7" s="1635"/>
    </row>
    <row r="8" spans="1:12">
      <c r="A8" s="1634"/>
    </row>
    <row r="9" spans="1:12" s="1632" customFormat="1" ht="27" customHeight="1">
      <c r="A9" s="2716" t="s">
        <v>1257</v>
      </c>
      <c r="B9" s="2716"/>
      <c r="C9" s="2699" t="s">
        <v>1291</v>
      </c>
      <c r="D9" s="2708"/>
      <c r="E9" s="2699" t="s">
        <v>1292</v>
      </c>
      <c r="F9" s="2708"/>
      <c r="G9" s="2708"/>
      <c r="H9" s="2708"/>
      <c r="I9" s="2703" t="s">
        <v>1293</v>
      </c>
      <c r="J9" s="2703"/>
      <c r="K9" s="2703" t="s">
        <v>1294</v>
      </c>
      <c r="L9" s="2703"/>
    </row>
    <row r="10" spans="1:12" s="1632" customFormat="1">
      <c r="A10" s="2716"/>
      <c r="B10" s="2716"/>
      <c r="C10" s="2701" t="s">
        <v>1295</v>
      </c>
      <c r="D10" s="2717"/>
      <c r="E10" s="2701" t="s">
        <v>1296</v>
      </c>
      <c r="F10" s="2717"/>
      <c r="G10" s="2717"/>
      <c r="H10" s="2717"/>
      <c r="I10" s="2712" t="s">
        <v>1297</v>
      </c>
      <c r="J10" s="2712"/>
      <c r="K10" s="2712" t="s">
        <v>1298</v>
      </c>
      <c r="L10" s="2712"/>
    </row>
    <row r="11" spans="1:12" s="1632" customFormat="1" ht="31">
      <c r="A11" s="2716"/>
      <c r="B11" s="2716"/>
      <c r="C11" s="2008" t="s">
        <v>1274</v>
      </c>
      <c r="D11" s="2008" t="s">
        <v>1299</v>
      </c>
      <c r="E11" s="2008" t="s">
        <v>1274</v>
      </c>
      <c r="F11" s="2008" t="s">
        <v>1300</v>
      </c>
      <c r="G11" s="2008" t="s">
        <v>1299</v>
      </c>
      <c r="H11" s="2008" t="s">
        <v>1301</v>
      </c>
      <c r="I11" s="2008" t="s">
        <v>1274</v>
      </c>
      <c r="J11" s="2008" t="s">
        <v>1299</v>
      </c>
      <c r="K11" s="2008" t="s">
        <v>1274</v>
      </c>
      <c r="L11" s="2008" t="s">
        <v>1299</v>
      </c>
    </row>
    <row r="12" spans="1:12" s="1631" customFormat="1" ht="46.5">
      <c r="A12" s="2716"/>
      <c r="B12" s="2716"/>
      <c r="C12" s="2009" t="s">
        <v>1276</v>
      </c>
      <c r="D12" s="2009" t="s">
        <v>1302</v>
      </c>
      <c r="E12" s="2009" t="s">
        <v>1276</v>
      </c>
      <c r="F12" s="2009" t="s">
        <v>1303</v>
      </c>
      <c r="G12" s="2009" t="s">
        <v>1302</v>
      </c>
      <c r="H12" s="2009" t="s">
        <v>1303</v>
      </c>
      <c r="I12" s="2009" t="s">
        <v>1276</v>
      </c>
      <c r="J12" s="2009" t="s">
        <v>1302</v>
      </c>
      <c r="K12" s="2009" t="s">
        <v>1276</v>
      </c>
      <c r="L12" s="2009" t="s">
        <v>1302</v>
      </c>
    </row>
    <row r="13" spans="1:12" s="1631" customFormat="1" hidden="1">
      <c r="A13" s="2169">
        <v>2016</v>
      </c>
      <c r="B13" s="2170"/>
      <c r="C13" s="2168">
        <v>3303295</v>
      </c>
      <c r="D13" s="2168">
        <v>10087.672788426</v>
      </c>
      <c r="E13" s="2168">
        <v>88416</v>
      </c>
      <c r="F13" s="2168">
        <f>E13/C13</f>
        <v>2.6766001825450043E-2</v>
      </c>
      <c r="G13" s="2168">
        <v>294.89999999999998</v>
      </c>
      <c r="H13" s="2168">
        <f>G13/D13</f>
        <v>2.9233700000494744E-2</v>
      </c>
      <c r="I13" s="2168">
        <v>16257</v>
      </c>
      <c r="J13" s="2168">
        <v>76.900000000000006</v>
      </c>
      <c r="K13" s="2168">
        <v>72159</v>
      </c>
      <c r="L13" s="2168">
        <v>218</v>
      </c>
    </row>
    <row r="14" spans="1:12" ht="14.25" customHeight="1">
      <c r="A14" s="2089">
        <v>2017</v>
      </c>
      <c r="B14" s="2094"/>
      <c r="C14" s="1821">
        <v>3300941</v>
      </c>
      <c r="D14" s="1822">
        <v>10058.5</v>
      </c>
      <c r="E14" s="1823">
        <v>105111</v>
      </c>
      <c r="F14" s="1825">
        <v>3.1842738176780502E-2</v>
      </c>
      <c r="G14" s="1824">
        <v>369.79999999999995</v>
      </c>
      <c r="H14" s="1825">
        <v>3.6764925187652231E-2</v>
      </c>
      <c r="I14" s="1823">
        <v>21042</v>
      </c>
      <c r="J14" s="1824">
        <v>139.19999999999999</v>
      </c>
      <c r="K14" s="1823">
        <v>84069</v>
      </c>
      <c r="L14" s="1824">
        <v>230.6</v>
      </c>
    </row>
    <row r="15" spans="1:12" ht="14.25" customHeight="1">
      <c r="A15" s="2089">
        <v>2018</v>
      </c>
      <c r="B15" s="2094"/>
      <c r="C15" s="1821">
        <v>3166987</v>
      </c>
      <c r="D15" s="1822">
        <v>9472.1</v>
      </c>
      <c r="E15" s="1823">
        <v>99961</v>
      </c>
      <c r="F15" s="1825">
        <v>3.1563438687939038E-2</v>
      </c>
      <c r="G15" s="1824">
        <v>318.39999999999998</v>
      </c>
      <c r="H15" s="1825">
        <v>3.3614509981946976E-2</v>
      </c>
      <c r="I15" s="1823">
        <v>20836</v>
      </c>
      <c r="J15" s="1824">
        <v>66.7</v>
      </c>
      <c r="K15" s="1823">
        <v>79125</v>
      </c>
      <c r="L15" s="1824">
        <v>251.7</v>
      </c>
    </row>
    <row r="16" spans="1:12" ht="14.25" customHeight="1">
      <c r="A16" s="2089">
        <v>2019</v>
      </c>
      <c r="B16" s="2094"/>
      <c r="C16" s="1821">
        <v>2964508</v>
      </c>
      <c r="D16" s="1822">
        <v>8737.7999999999993</v>
      </c>
      <c r="E16" s="1823">
        <v>92571</v>
      </c>
      <c r="F16" s="1825">
        <v>3.1226429478348514E-2</v>
      </c>
      <c r="G16" s="1824">
        <v>252.5</v>
      </c>
      <c r="H16" s="1825">
        <v>2.8897434136739227E-2</v>
      </c>
      <c r="I16" s="1823">
        <v>19039</v>
      </c>
      <c r="J16" s="1824">
        <v>59.9</v>
      </c>
      <c r="K16" s="1823">
        <v>73532</v>
      </c>
      <c r="L16" s="1824">
        <v>192.20000000000002</v>
      </c>
    </row>
    <row r="17" spans="1:14" ht="14.25" customHeight="1">
      <c r="A17" s="2010">
        <v>2020</v>
      </c>
      <c r="B17" s="2094"/>
      <c r="C17" s="1821">
        <v>2331423</v>
      </c>
      <c r="D17" s="1822">
        <v>7266.4000000000005</v>
      </c>
      <c r="E17" s="1823">
        <v>63668</v>
      </c>
      <c r="F17" s="1825">
        <v>2.7308643690999015E-2</v>
      </c>
      <c r="G17" s="1824">
        <v>195.49999999999997</v>
      </c>
      <c r="H17" s="1825">
        <v>2.6904657051634917E-2</v>
      </c>
      <c r="I17" s="1823">
        <v>13509</v>
      </c>
      <c r="J17" s="1824">
        <v>53</v>
      </c>
      <c r="K17" s="1823">
        <v>50159</v>
      </c>
      <c r="L17" s="1824">
        <v>142.5</v>
      </c>
    </row>
    <row r="18" spans="1:14" ht="14.25" customHeight="1">
      <c r="A18" s="2010">
        <v>2021</v>
      </c>
      <c r="B18" s="2094"/>
      <c r="C18" s="1821">
        <v>2175075</v>
      </c>
      <c r="D18" s="1822">
        <v>7254.7903695710011</v>
      </c>
      <c r="E18" s="1823">
        <v>56047</v>
      </c>
      <c r="F18" s="1825">
        <v>2.7308643690999015E-2</v>
      </c>
      <c r="G18" s="1824">
        <v>242.183039342</v>
      </c>
      <c r="H18" s="1825">
        <v>2.6904657051634917E-2</v>
      </c>
      <c r="I18" s="1823">
        <v>11426</v>
      </c>
      <c r="J18" s="1824">
        <v>93.595895901999995</v>
      </c>
      <c r="K18" s="1823">
        <v>44621</v>
      </c>
      <c r="L18" s="1824">
        <v>148.71194344</v>
      </c>
    </row>
    <row r="19" spans="1:14" s="1979" customFormat="1" ht="14.25" customHeight="1">
      <c r="A19" s="2089">
        <v>2022</v>
      </c>
      <c r="B19" s="2357"/>
      <c r="C19" s="2358">
        <v>2117536</v>
      </c>
      <c r="D19" s="2359">
        <v>7450.8159090409999</v>
      </c>
      <c r="E19" s="1896">
        <v>55010</v>
      </c>
      <c r="F19" s="2360">
        <v>2.7308643690999015E-2</v>
      </c>
      <c r="G19" s="2301">
        <v>231.46888278699998</v>
      </c>
      <c r="H19" s="2360">
        <v>2.6904657051634917E-2</v>
      </c>
      <c r="I19" s="1896">
        <v>10293</v>
      </c>
      <c r="J19" s="2301">
        <v>99.525927682000003</v>
      </c>
      <c r="K19" s="1896">
        <v>44717</v>
      </c>
      <c r="L19" s="2301">
        <v>131.92682510499998</v>
      </c>
    </row>
    <row r="20" spans="1:14" s="1979" customFormat="1" ht="14.25" customHeight="1">
      <c r="A20" s="2089">
        <v>2023</v>
      </c>
      <c r="B20" s="2357"/>
      <c r="C20" s="2358">
        <v>2035716</v>
      </c>
      <c r="D20" s="2359">
        <v>7039.9412698570004</v>
      </c>
      <c r="E20" s="1896">
        <v>56777</v>
      </c>
      <c r="F20" s="2360">
        <v>2.7308643690999015E-2</v>
      </c>
      <c r="G20" s="2301">
        <v>361.26904253600003</v>
      </c>
      <c r="H20" s="2360">
        <v>2.6904657051634917E-2</v>
      </c>
      <c r="I20" s="1896">
        <v>12166</v>
      </c>
      <c r="J20" s="2301">
        <v>173.856249375</v>
      </c>
      <c r="K20" s="1896">
        <v>44611</v>
      </c>
      <c r="L20" s="2301">
        <v>187.34384906</v>
      </c>
    </row>
    <row r="21" spans="1:14" s="1979" customFormat="1" ht="14.25" customHeight="1">
      <c r="A21" s="2089">
        <v>2024</v>
      </c>
      <c r="B21" s="2357"/>
      <c r="C21" s="2358">
        <v>1923263</v>
      </c>
      <c r="D21" s="2359">
        <v>6552.4478915069994</v>
      </c>
      <c r="E21" s="1896">
        <v>45900</v>
      </c>
      <c r="F21" s="2360">
        <v>2.7308643690999015E-2</v>
      </c>
      <c r="G21" s="2301">
        <v>224.55367195800002</v>
      </c>
      <c r="H21" s="2360">
        <v>2.6904657051634917E-2</v>
      </c>
      <c r="I21" s="1896">
        <v>9800</v>
      </c>
      <c r="J21" s="2301">
        <v>50.385771542000001</v>
      </c>
      <c r="K21" s="1896">
        <v>36100</v>
      </c>
      <c r="L21" s="2301">
        <v>174.18008676299999</v>
      </c>
      <c r="M21" s="2100">
        <v>0</v>
      </c>
      <c r="N21" s="2100">
        <v>0</v>
      </c>
    </row>
    <row r="22" spans="1:14" s="1979" customFormat="1" ht="14.25" customHeight="1">
      <c r="A22" s="2113">
        <v>2025</v>
      </c>
      <c r="B22" s="2186"/>
      <c r="C22" s="2187">
        <f>SUM(C26:C29)</f>
        <v>1807817</v>
      </c>
      <c r="D22" s="2188">
        <f>SUM(D26:D29)</f>
        <v>6411.2295231420003</v>
      </c>
      <c r="E22" s="2084">
        <f>SUM(E26:E29)</f>
        <v>39731</v>
      </c>
      <c r="F22" s="2189">
        <v>2.7308643690999015E-2</v>
      </c>
      <c r="G22" s="2190">
        <f>SUM(G26:G29)</f>
        <v>150.25414351500001</v>
      </c>
      <c r="H22" s="2189">
        <v>2.6904657051634917E-2</v>
      </c>
      <c r="I22" s="2084">
        <f>SUM(I26:I29)</f>
        <v>10082</v>
      </c>
      <c r="J22" s="2190">
        <f>SUM(J26:J29)</f>
        <v>37.931041380000003</v>
      </c>
      <c r="K22" s="2084">
        <f>SUM(K26:K29)</f>
        <v>29649</v>
      </c>
      <c r="L22" s="2190">
        <f>SUM(L26:L29)</f>
        <v>112.243102135</v>
      </c>
      <c r="M22" s="2100">
        <f t="shared" ref="M22" si="0">ROUND(E22,1)-ROUND(I22,1)-ROUND(K22,1)</f>
        <v>0</v>
      </c>
      <c r="N22" s="2100">
        <f t="shared" ref="N22" si="1">ROUND(G22,1)-ROUND(J22,1)-ROUND(L22,1)</f>
        <v>0.20000000000000284</v>
      </c>
    </row>
    <row r="23" spans="1:14" ht="21" customHeight="1">
      <c r="A23" s="2010">
        <v>2024</v>
      </c>
      <c r="B23" s="2094" t="s">
        <v>243</v>
      </c>
      <c r="C23" s="1823">
        <v>471332</v>
      </c>
      <c r="D23" s="1824">
        <v>1623.6501877559999</v>
      </c>
      <c r="E23" s="1823">
        <v>11161</v>
      </c>
      <c r="F23" s="1825">
        <v>2.3679699235358516E-2</v>
      </c>
      <c r="G23" s="1824">
        <v>59.108257872999999</v>
      </c>
      <c r="H23" s="1825">
        <v>3.6404552112725599E-2</v>
      </c>
      <c r="I23" s="1823">
        <v>2165</v>
      </c>
      <c r="J23" s="1824">
        <v>17.681519854000001</v>
      </c>
      <c r="K23" s="1823">
        <v>8996</v>
      </c>
      <c r="L23" s="1824">
        <v>41.406738019000002</v>
      </c>
      <c r="M23" s="2100">
        <v>0</v>
      </c>
      <c r="N23" s="2100">
        <v>0</v>
      </c>
    </row>
    <row r="24" spans="1:14" ht="15" customHeight="1">
      <c r="A24" s="2010"/>
      <c r="B24" s="2094" t="s">
        <v>240</v>
      </c>
      <c r="C24" s="1823">
        <v>474981</v>
      </c>
      <c r="D24" s="1824">
        <v>1615.7808093180001</v>
      </c>
      <c r="E24" s="1823">
        <v>11811</v>
      </c>
      <c r="F24" s="1825">
        <v>2.4866257808207066E-2</v>
      </c>
      <c r="G24" s="1824">
        <v>40.978806246000005</v>
      </c>
      <c r="H24" s="1825">
        <v>2.5361612175166644E-2</v>
      </c>
      <c r="I24" s="1823">
        <v>2519</v>
      </c>
      <c r="J24" s="1824">
        <v>12.295529341</v>
      </c>
      <c r="K24" s="1823">
        <v>9292</v>
      </c>
      <c r="L24" s="1824">
        <v>28.663276904999996</v>
      </c>
      <c r="M24" s="2100">
        <v>0</v>
      </c>
      <c r="N24" s="2100">
        <v>0</v>
      </c>
    </row>
    <row r="25" spans="1:14" ht="15" customHeight="1">
      <c r="A25" s="2010"/>
      <c r="B25" s="2094" t="s">
        <v>241</v>
      </c>
      <c r="C25" s="1823">
        <v>484952</v>
      </c>
      <c r="D25" s="1824">
        <v>1673.1073218239999</v>
      </c>
      <c r="E25" s="1823">
        <v>11095</v>
      </c>
      <c r="F25" s="1825">
        <v>2.2878552928949671E-2</v>
      </c>
      <c r="G25" s="1824">
        <v>72.005114173999999</v>
      </c>
      <c r="H25" s="1825">
        <v>4.30367575556964E-2</v>
      </c>
      <c r="I25" s="1823">
        <v>2553</v>
      </c>
      <c r="J25" s="1824">
        <v>9.2789886619999997</v>
      </c>
      <c r="K25" s="1823">
        <v>8542</v>
      </c>
      <c r="L25" s="1824">
        <v>62.746125511999992</v>
      </c>
      <c r="M25" s="2100">
        <v>0</v>
      </c>
      <c r="N25" s="2100">
        <v>0</v>
      </c>
    </row>
    <row r="26" spans="1:14" ht="21" customHeight="1">
      <c r="A26" s="2010">
        <v>2025</v>
      </c>
      <c r="B26" s="2094" t="s">
        <v>242</v>
      </c>
      <c r="C26" s="1823">
        <v>438378</v>
      </c>
      <c r="D26" s="1824">
        <v>1570.3227586580001</v>
      </c>
      <c r="E26" s="1823">
        <v>10025</v>
      </c>
      <c r="F26" s="1825">
        <v>2.2868392118217611E-2</v>
      </c>
      <c r="G26" s="1824">
        <v>45.871916663</v>
      </c>
      <c r="H26" s="1825">
        <v>2.9211775993237338E-2</v>
      </c>
      <c r="I26" s="1823">
        <v>2413</v>
      </c>
      <c r="J26" s="1824">
        <v>10.611982857000001</v>
      </c>
      <c r="K26" s="1823">
        <v>7612</v>
      </c>
      <c r="L26" s="1824">
        <v>35.259933805999999</v>
      </c>
      <c r="M26" s="2100">
        <v>0</v>
      </c>
      <c r="N26" s="2100">
        <v>0</v>
      </c>
    </row>
    <row r="27" spans="1:14" ht="15" customHeight="1">
      <c r="A27" s="2010"/>
      <c r="B27" s="2094" t="s">
        <v>243</v>
      </c>
      <c r="C27" s="1823">
        <v>460747</v>
      </c>
      <c r="D27" s="1824">
        <v>1720.1776059280003</v>
      </c>
      <c r="E27" s="1823">
        <v>10083</v>
      </c>
      <c r="F27" s="1825">
        <v>2.1884027459755571E-2</v>
      </c>
      <c r="G27" s="1824">
        <v>44.000077470999997</v>
      </c>
      <c r="H27" s="1825">
        <v>2.5578799142233259E-2</v>
      </c>
      <c r="I27" s="1823">
        <v>2441</v>
      </c>
      <c r="J27" s="1824">
        <v>10.493805319000002</v>
      </c>
      <c r="K27" s="1823">
        <v>7642</v>
      </c>
      <c r="L27" s="1824">
        <v>33.506272152000001</v>
      </c>
      <c r="M27" s="2100">
        <v>0</v>
      </c>
      <c r="N27" s="2100">
        <v>0</v>
      </c>
    </row>
    <row r="28" spans="1:14" ht="15" customHeight="1">
      <c r="A28" s="2010"/>
      <c r="B28" s="2094" t="s">
        <v>240</v>
      </c>
      <c r="C28" s="1823">
        <f>SUM(C33:C35)</f>
        <v>448493</v>
      </c>
      <c r="D28" s="2300">
        <f>SUM(D33:D35)-0.02</f>
        <v>1483.5473861060002</v>
      </c>
      <c r="E28" s="1823">
        <f>SUM(E33:E35)</f>
        <v>9940</v>
      </c>
      <c r="F28" s="1825">
        <f>E28/C28</f>
        <v>2.2163110684001758E-2</v>
      </c>
      <c r="G28" s="2300">
        <f>SUM(G33:G35)+0.05</f>
        <v>30.670102517999997</v>
      </c>
      <c r="H28" s="1825">
        <f>G28/D28</f>
        <v>2.0673490314658951E-2</v>
      </c>
      <c r="I28" s="1823">
        <f>SUM(I33:I35)</f>
        <v>2585</v>
      </c>
      <c r="J28" s="1824">
        <f>SUM(J33:J35)</f>
        <v>8.3638618690000008</v>
      </c>
      <c r="K28" s="1823">
        <f>SUM(K33:K35)</f>
        <v>7355</v>
      </c>
      <c r="L28" s="1824">
        <f>SUM(L33:L35)</f>
        <v>22.276240649000002</v>
      </c>
      <c r="M28" s="2100">
        <f t="shared" ref="M28" si="2">ROUND(E28,1)-ROUND(I28,1)-ROUND(K28,1)</f>
        <v>0</v>
      </c>
      <c r="N28" s="2100">
        <f t="shared" ref="N28" si="3">ROUND(G28,1)-ROUND(J28,1)-ROUND(L28,1)</f>
        <v>0</v>
      </c>
    </row>
    <row r="29" spans="1:14" ht="15" customHeight="1">
      <c r="A29" s="2010"/>
      <c r="B29" s="2094" t="s">
        <v>241</v>
      </c>
      <c r="C29" s="1823">
        <f>SUM(C36:C38)</f>
        <v>460199</v>
      </c>
      <c r="D29" s="2300">
        <f>SUM(D36:D38)-0.02</f>
        <v>1637.1817724499999</v>
      </c>
      <c r="E29" s="1823">
        <f>SUM(E36:E38)</f>
        <v>9683</v>
      </c>
      <c r="F29" s="1825">
        <f>E29/C29</f>
        <v>2.1040897524766459E-2</v>
      </c>
      <c r="G29" s="2300">
        <f>SUM(G36:G38)+0.05</f>
        <v>29.712046863000001</v>
      </c>
      <c r="H29" s="1825">
        <f>G29/D29</f>
        <v>1.8148288334860152E-2</v>
      </c>
      <c r="I29" s="1823">
        <f>SUM(I36:I38)</f>
        <v>2643</v>
      </c>
      <c r="J29" s="1824">
        <f>SUM(J36:J38)</f>
        <v>8.4613913350000001</v>
      </c>
      <c r="K29" s="1823">
        <f>SUM(K36:K38)</f>
        <v>7040</v>
      </c>
      <c r="L29" s="1824">
        <f>SUM(L36:L38)</f>
        <v>21.200655527999999</v>
      </c>
      <c r="M29" s="2100">
        <f t="shared" ref="M29" si="4">ROUND(E29,1)-ROUND(I29,1)-ROUND(K29,1)</f>
        <v>0</v>
      </c>
      <c r="N29" s="2100">
        <f t="shared" ref="N29" si="5">ROUND(G29,1)-ROUND(J29,1)-ROUND(L29,1)</f>
        <v>0</v>
      </c>
    </row>
    <row r="30" spans="1:14" ht="21" customHeight="1">
      <c r="A30" s="2012">
        <v>2026</v>
      </c>
      <c r="B30" s="2093" t="s">
        <v>242</v>
      </c>
      <c r="C30" s="1827">
        <f>SUM(C39:C41)</f>
        <v>400610</v>
      </c>
      <c r="D30" s="1829">
        <f>SUM(D39:D41)-0.02</f>
        <v>1415.3171425840003</v>
      </c>
      <c r="E30" s="1827">
        <f>SUM(E39:E41)</f>
        <v>10488</v>
      </c>
      <c r="F30" s="1828">
        <f>E30/C30</f>
        <v>2.6180075385037818E-2</v>
      </c>
      <c r="G30" s="1829">
        <f>SUM(G39:G41)+0.05</f>
        <v>33.816457846999995</v>
      </c>
      <c r="H30" s="1828">
        <f>G30/D30</f>
        <v>2.3893201622118387E-2</v>
      </c>
      <c r="I30" s="1827">
        <f>SUM(I39:I41)</f>
        <v>3143</v>
      </c>
      <c r="J30" s="1829">
        <f>SUM(J39:J41)</f>
        <v>12.927560534000001</v>
      </c>
      <c r="K30" s="1827">
        <f>SUM(K39:K41)</f>
        <v>7345</v>
      </c>
      <c r="L30" s="2528">
        <f>SUM(L39:L41)+0.02</f>
        <v>20.858897313</v>
      </c>
      <c r="M30" s="2524">
        <f t="shared" ref="M30" si="6">ROUND(E30,1)-ROUND(I30,1)-ROUND(K30,1)</f>
        <v>0</v>
      </c>
      <c r="N30" s="2100">
        <f t="shared" ref="N30" si="7">ROUND(G30,1)-ROUND(J30,1)-ROUND(L30,1)</f>
        <v>0</v>
      </c>
    </row>
    <row r="31" spans="1:14" s="2460" customFormat="1" ht="21" customHeight="1">
      <c r="A31" s="2459">
        <v>2025</v>
      </c>
      <c r="B31" s="1978" t="s">
        <v>427</v>
      </c>
      <c r="C31" s="1896">
        <v>149129</v>
      </c>
      <c r="D31" s="2301">
        <v>535.67789798600006</v>
      </c>
      <c r="E31" s="1896">
        <v>2998</v>
      </c>
      <c r="F31" s="2360">
        <v>2.0103400411724079E-2</v>
      </c>
      <c r="G31" s="2301">
        <v>14.909804785999999</v>
      </c>
      <c r="H31" s="2360">
        <v>2.7833526158269211E-2</v>
      </c>
      <c r="I31" s="1896">
        <v>706</v>
      </c>
      <c r="J31" s="2301">
        <v>2.5318428450000003</v>
      </c>
      <c r="K31" s="1896">
        <v>2292</v>
      </c>
      <c r="L31" s="2301">
        <v>12.377961941000002</v>
      </c>
      <c r="M31" s="2461">
        <v>0</v>
      </c>
      <c r="N31" s="2461">
        <v>0</v>
      </c>
    </row>
    <row r="32" spans="1:14" s="2460" customFormat="1" ht="15" customHeight="1">
      <c r="A32" s="2459"/>
      <c r="B32" s="1978" t="s">
        <v>428</v>
      </c>
      <c r="C32" s="1896">
        <v>147344</v>
      </c>
      <c r="D32" s="2301">
        <v>536.78184920500007</v>
      </c>
      <c r="E32" s="1896">
        <v>3419</v>
      </c>
      <c r="F32" s="2360">
        <f t="shared" ref="F32" si="8">E32/C32</f>
        <v>2.3204202410685198E-2</v>
      </c>
      <c r="G32" s="2301">
        <v>15.21441635</v>
      </c>
      <c r="H32" s="2360">
        <f t="shared" ref="H32" si="9">G32/D32</f>
        <v>2.8343760826736761E-2</v>
      </c>
      <c r="I32" s="1896">
        <v>839</v>
      </c>
      <c r="J32" s="2301">
        <v>3.6470619150000005</v>
      </c>
      <c r="K32" s="1896">
        <v>2580</v>
      </c>
      <c r="L32" s="2301">
        <v>11.567354435</v>
      </c>
      <c r="M32" s="2461">
        <f t="shared" ref="M32" si="10">ROUND(E32,1)-ROUND(I32,1)-ROUND(K32,1)</f>
        <v>0</v>
      </c>
      <c r="N32" s="2461">
        <f t="shared" ref="N32" si="11">ROUND(G32,1)-ROUND(J32,1)-ROUND(L32,1)</f>
        <v>0</v>
      </c>
    </row>
    <row r="33" spans="1:14" s="2460" customFormat="1" ht="15" customHeight="1">
      <c r="A33" s="2459"/>
      <c r="B33" s="1978" t="s">
        <v>429</v>
      </c>
      <c r="C33" s="1896">
        <v>155552</v>
      </c>
      <c r="D33" s="2301">
        <v>523.18188187900012</v>
      </c>
      <c r="E33" s="1896">
        <v>3483</v>
      </c>
      <c r="F33" s="2360">
        <f t="shared" ref="F33" si="12">E33/C33</f>
        <v>2.2391226085167661E-2</v>
      </c>
      <c r="G33" s="2301">
        <v>11.072996641000001</v>
      </c>
      <c r="H33" s="2360">
        <f t="shared" ref="H33" si="13">G33/D33</f>
        <v>2.116471732780863E-2</v>
      </c>
      <c r="I33" s="1896">
        <v>855</v>
      </c>
      <c r="J33" s="2301">
        <v>3.6575965150000007</v>
      </c>
      <c r="K33" s="1896">
        <v>2628</v>
      </c>
      <c r="L33" s="2301">
        <v>7.4154001260000015</v>
      </c>
      <c r="M33" s="2461">
        <f t="shared" ref="M33" si="14">ROUND(E33,1)-ROUND(I33,1)-ROUND(K33,1)</f>
        <v>0</v>
      </c>
      <c r="N33" s="2461">
        <f t="shared" ref="N33" si="15">ROUND(G33,1)-ROUND(J33,1)-ROUND(L33,1)</f>
        <v>0</v>
      </c>
    </row>
    <row r="34" spans="1:14" s="2460" customFormat="1" ht="15" customHeight="1">
      <c r="A34" s="2459"/>
      <c r="B34" s="1978" t="s">
        <v>430</v>
      </c>
      <c r="C34" s="1896">
        <v>143525</v>
      </c>
      <c r="D34" s="2301">
        <v>473.33910555300002</v>
      </c>
      <c r="E34" s="1896">
        <v>3278</v>
      </c>
      <c r="F34" s="2360">
        <f t="shared" ref="F34" si="16">E34/C34</f>
        <v>2.2839226615572202E-2</v>
      </c>
      <c r="G34" s="2301">
        <v>10.565190984999997</v>
      </c>
      <c r="H34" s="2360">
        <f t="shared" ref="H34" si="17">G34/D34</f>
        <v>2.2320553829282139E-2</v>
      </c>
      <c r="I34" s="1896">
        <v>817</v>
      </c>
      <c r="J34" s="2301">
        <v>2.1284722459999998</v>
      </c>
      <c r="K34" s="1896">
        <v>2461</v>
      </c>
      <c r="L34" s="2300">
        <f>8.436718739+0.02</f>
        <v>8.4567187389999994</v>
      </c>
      <c r="M34" s="2461">
        <f t="shared" ref="M34" si="18">ROUND(E34,1)-ROUND(I34,1)-ROUND(K34,1)</f>
        <v>0</v>
      </c>
      <c r="N34" s="2461">
        <f t="shared" ref="N34" si="19">ROUND(G34,1)-ROUND(J34,1)-ROUND(L34,1)</f>
        <v>0</v>
      </c>
    </row>
    <row r="35" spans="1:14" s="2460" customFormat="1" ht="15" customHeight="1">
      <c r="A35" s="2459"/>
      <c r="B35" s="1978" t="s">
        <v>431</v>
      </c>
      <c r="C35" s="1896">
        <v>149416</v>
      </c>
      <c r="D35" s="2301">
        <v>487.04639867400005</v>
      </c>
      <c r="E35" s="1896">
        <v>3179</v>
      </c>
      <c r="F35" s="2360">
        <f t="shared" ref="F35" si="20">E35/C35</f>
        <v>2.1276168549552926E-2</v>
      </c>
      <c r="G35" s="2301">
        <v>8.9819148919999989</v>
      </c>
      <c r="H35" s="2360">
        <f t="shared" ref="H35" si="21">G35/D35</f>
        <v>1.8441600053821484E-2</v>
      </c>
      <c r="I35" s="1896">
        <v>913</v>
      </c>
      <c r="J35" s="2301">
        <v>2.5777931079999998</v>
      </c>
      <c r="K35" s="1896">
        <v>2266</v>
      </c>
      <c r="L35" s="2301">
        <v>6.4041217840000009</v>
      </c>
      <c r="M35" s="2461">
        <f t="shared" ref="M35" si="22">ROUND(E35,1)-ROUND(I35,1)-ROUND(K35,1)</f>
        <v>0</v>
      </c>
      <c r="N35" s="2461">
        <f t="shared" ref="N35" si="23">ROUND(G35,1)-ROUND(J35,1)-ROUND(L35,1)</f>
        <v>0</v>
      </c>
    </row>
    <row r="36" spans="1:14" s="2460" customFormat="1" ht="15" customHeight="1">
      <c r="A36" s="2459"/>
      <c r="B36" s="1978" t="s">
        <v>420</v>
      </c>
      <c r="C36" s="1896">
        <v>151461</v>
      </c>
      <c r="D36" s="2301">
        <v>544.49063449000005</v>
      </c>
      <c r="E36" s="1896">
        <v>3146</v>
      </c>
      <c r="F36" s="2360">
        <f t="shared" ref="F36" si="24">E36/C36</f>
        <v>2.0771023563821711E-2</v>
      </c>
      <c r="G36" s="2301">
        <v>8.8843843279999994</v>
      </c>
      <c r="H36" s="2360">
        <f t="shared" ref="H36" si="25">G36/D36</f>
        <v>1.6316872624120713E-2</v>
      </c>
      <c r="I36" s="1896">
        <v>875</v>
      </c>
      <c r="J36" s="2301">
        <v>3.1246075599999994</v>
      </c>
      <c r="K36" s="1896">
        <v>2271</v>
      </c>
      <c r="L36" s="2301">
        <v>5.7597767680000009</v>
      </c>
      <c r="M36" s="2461">
        <f t="shared" ref="M36" si="26">ROUND(E36,1)-ROUND(I36,1)-ROUND(K36,1)</f>
        <v>0</v>
      </c>
      <c r="N36" s="2461">
        <f t="shared" ref="N36" si="27">ROUND(G36,1)-ROUND(J36,1)-ROUND(L36,1)</f>
        <v>0</v>
      </c>
    </row>
    <row r="37" spans="1:14" s="2460" customFormat="1" ht="15" customHeight="1">
      <c r="A37" s="2459"/>
      <c r="B37" s="1978" t="s">
        <v>421</v>
      </c>
      <c r="C37" s="1896">
        <v>150354</v>
      </c>
      <c r="D37" s="2301">
        <v>507.18393505299997</v>
      </c>
      <c r="E37" s="1896">
        <v>3214</v>
      </c>
      <c r="F37" s="2360">
        <f t="shared" ref="F37" si="28">E37/C37</f>
        <v>2.1376218790321509E-2</v>
      </c>
      <c r="G37" s="2301">
        <v>9.3923151340000004</v>
      </c>
      <c r="H37" s="2360">
        <f t="shared" ref="H37" si="29">G37/D37</f>
        <v>1.8518558031650818E-2</v>
      </c>
      <c r="I37" s="1896">
        <v>899</v>
      </c>
      <c r="J37" s="2301">
        <v>2.2660480900000004</v>
      </c>
      <c r="K37" s="1896">
        <v>2315</v>
      </c>
      <c r="L37" s="2301">
        <v>7.1262670440000004</v>
      </c>
      <c r="M37" s="2461">
        <f t="shared" ref="M37" si="30">ROUND(E37,1)-ROUND(I37,1)-ROUND(K37,1)</f>
        <v>0</v>
      </c>
      <c r="N37" s="2461">
        <f t="shared" ref="N37" si="31">ROUND(G37,1)-ROUND(J37,1)-ROUND(L37,1)</f>
        <v>0</v>
      </c>
    </row>
    <row r="38" spans="1:14" s="2460" customFormat="1" ht="15" customHeight="1">
      <c r="A38" s="2459"/>
      <c r="B38" s="1978" t="s">
        <v>422</v>
      </c>
      <c r="C38" s="1896">
        <v>158384</v>
      </c>
      <c r="D38" s="2301">
        <v>585.52720290699995</v>
      </c>
      <c r="E38" s="1896">
        <v>3323</v>
      </c>
      <c r="F38" s="2360">
        <f t="shared" ref="F38" si="32">E38/C38</f>
        <v>2.0980654611576926E-2</v>
      </c>
      <c r="G38" s="2301">
        <v>11.385347401000001</v>
      </c>
      <c r="H38" s="2360">
        <f t="shared" ref="H38" si="33">G38/D38</f>
        <v>1.9444608797805678E-2</v>
      </c>
      <c r="I38" s="1896">
        <v>869</v>
      </c>
      <c r="J38" s="2301">
        <v>3.0707356850000003</v>
      </c>
      <c r="K38" s="1896">
        <v>2454</v>
      </c>
      <c r="L38" s="2301">
        <v>8.3146117159999999</v>
      </c>
      <c r="M38" s="2461">
        <f t="shared" ref="M38" si="34">ROUND(E38,1)-ROUND(I38,1)-ROUND(K38,1)</f>
        <v>0</v>
      </c>
      <c r="N38" s="2461">
        <f t="shared" ref="N38" si="35">ROUND(G38,1)-ROUND(J38,1)-ROUND(L38,1)</f>
        <v>0</v>
      </c>
    </row>
    <row r="39" spans="1:14" s="2460" customFormat="1" ht="21.65" customHeight="1">
      <c r="A39" s="2459">
        <v>2026</v>
      </c>
      <c r="B39" s="1978" t="s">
        <v>423</v>
      </c>
      <c r="C39" s="1896">
        <v>136255</v>
      </c>
      <c r="D39" s="2301">
        <v>521.1</v>
      </c>
      <c r="E39" s="1896">
        <v>2902</v>
      </c>
      <c r="F39" s="2360">
        <f t="shared" ref="F39" si="36">E39/C39</f>
        <v>2.1298300979780558E-2</v>
      </c>
      <c r="G39" s="2301">
        <v>10.5</v>
      </c>
      <c r="H39" s="2360">
        <f t="shared" ref="H39" si="37">G39/D39</f>
        <v>2.0149683362118594E-2</v>
      </c>
      <c r="I39" s="1896">
        <v>738</v>
      </c>
      <c r="J39" s="2301">
        <v>4.7</v>
      </c>
      <c r="K39" s="1896">
        <v>2164</v>
      </c>
      <c r="L39" s="2301">
        <v>5.8</v>
      </c>
      <c r="M39" s="2461">
        <f t="shared" ref="M39" si="38">ROUND(E39,1)-ROUND(I39,1)-ROUND(K39,1)</f>
        <v>0</v>
      </c>
      <c r="N39" s="2461">
        <f t="shared" ref="N39" si="39">ROUND(G39,1)-ROUND(J39,1)-ROUND(L39,1)</f>
        <v>0</v>
      </c>
    </row>
    <row r="40" spans="1:14" s="2460" customFormat="1" ht="15" customHeight="1">
      <c r="A40" s="2459"/>
      <c r="B40" s="1978" t="s">
        <v>424</v>
      </c>
      <c r="C40" s="1896">
        <v>137331</v>
      </c>
      <c r="D40" s="2301">
        <v>487.01809457900009</v>
      </c>
      <c r="E40" s="1896">
        <v>2882</v>
      </c>
      <c r="F40" s="2360">
        <f t="shared" ref="F40" si="40">E40/C40</f>
        <v>2.0985793447946932E-2</v>
      </c>
      <c r="G40" s="2301">
        <v>11.151676330999999</v>
      </c>
      <c r="H40" s="2360">
        <f t="shared" ref="H40" si="41">G40/D40</f>
        <v>2.2897868590775871E-2</v>
      </c>
      <c r="I40" s="1896">
        <v>813</v>
      </c>
      <c r="J40" s="2301">
        <v>3.6798918220000001</v>
      </c>
      <c r="K40" s="1896">
        <v>2069</v>
      </c>
      <c r="L40" s="2301">
        <v>7.4717845089999999</v>
      </c>
      <c r="M40" s="2461">
        <f t="shared" ref="M40" si="42">ROUND(E40,1)-ROUND(I40,1)-ROUND(K40,1)</f>
        <v>0</v>
      </c>
      <c r="N40" s="2461">
        <f t="shared" ref="N40" si="43">ROUND(G40,1)-ROUND(J40,1)-ROUND(L40,1)</f>
        <v>0</v>
      </c>
    </row>
    <row r="41" spans="1:14" s="2460" customFormat="1" ht="15" customHeight="1">
      <c r="A41" s="2459"/>
      <c r="B41" s="1978" t="s">
        <v>425</v>
      </c>
      <c r="C41" s="1896">
        <v>127024</v>
      </c>
      <c r="D41" s="2301">
        <v>407.21904800500005</v>
      </c>
      <c r="E41" s="1896">
        <v>4704</v>
      </c>
      <c r="F41" s="2360">
        <f t="shared" ref="F41:F42" si="44">E41/C41</f>
        <v>3.7032371835243737E-2</v>
      </c>
      <c r="G41" s="2301">
        <v>12.114781515999999</v>
      </c>
      <c r="H41" s="2360">
        <f t="shared" ref="H41:H42" si="45">G41/D41</f>
        <v>2.9750036437026509E-2</v>
      </c>
      <c r="I41" s="1896">
        <v>1592</v>
      </c>
      <c r="J41" s="2301">
        <v>4.5476687120000001</v>
      </c>
      <c r="K41" s="1896">
        <v>3112</v>
      </c>
      <c r="L41" s="2301">
        <v>7.5671128039999997</v>
      </c>
      <c r="M41" s="2461">
        <f t="shared" ref="M41" si="46">ROUND(E41,1)-ROUND(I41,1)-ROUND(K41,1)</f>
        <v>0</v>
      </c>
      <c r="N41" s="2461">
        <f t="shared" ref="N41" si="47">ROUND(G41,1)-ROUND(J41,1)-ROUND(L41,1)</f>
        <v>0</v>
      </c>
    </row>
    <row r="42" spans="1:14" s="2460" customFormat="1" ht="15" customHeight="1">
      <c r="A42" s="2459"/>
      <c r="B42" s="1978" t="s">
        <v>426</v>
      </c>
      <c r="C42" s="1896">
        <v>136363</v>
      </c>
      <c r="D42" s="2301">
        <v>491.9</v>
      </c>
      <c r="E42" s="1896">
        <v>3507</v>
      </c>
      <c r="F42" s="2360">
        <f t="shared" si="44"/>
        <v>2.5718120017893416E-2</v>
      </c>
      <c r="G42" s="2301">
        <v>9.1</v>
      </c>
      <c r="H42" s="2360">
        <f t="shared" si="45"/>
        <v>1.8499695059971538E-2</v>
      </c>
      <c r="I42" s="1896">
        <v>880</v>
      </c>
      <c r="J42" s="2301">
        <v>2.2000000000000002</v>
      </c>
      <c r="K42" s="1896">
        <v>2627</v>
      </c>
      <c r="L42" s="2301">
        <v>6.9</v>
      </c>
      <c r="M42" s="2461">
        <f t="shared" ref="M42" si="48">ROUND(E42,1)-ROUND(I42,1)-ROUND(K42,1)</f>
        <v>0</v>
      </c>
      <c r="N42" s="2461">
        <f t="shared" ref="N42" si="49">ROUND(G42,1)-ROUND(J42,1)-ROUND(L42,1)</f>
        <v>0</v>
      </c>
    </row>
    <row r="43" spans="1:14" s="2460" customFormat="1" ht="15" customHeight="1">
      <c r="A43" s="2459"/>
      <c r="B43" s="1978" t="s">
        <v>1790</v>
      </c>
      <c r="C43" s="1896">
        <v>119771</v>
      </c>
      <c r="D43" s="2301">
        <v>431.53299524599993</v>
      </c>
      <c r="E43" s="1896">
        <v>3044</v>
      </c>
      <c r="F43" s="2360">
        <f t="shared" ref="F43" si="50">E43/C43</f>
        <v>2.5415167277554666E-2</v>
      </c>
      <c r="G43" s="2301">
        <v>9.4241170950000033</v>
      </c>
      <c r="H43" s="2360">
        <f t="shared" ref="H43" si="51">G43/D43</f>
        <v>2.1838694141169172E-2</v>
      </c>
      <c r="I43" s="1896">
        <v>741</v>
      </c>
      <c r="J43" s="2301">
        <v>2.7251152919999995</v>
      </c>
      <c r="K43" s="1896">
        <v>2303</v>
      </c>
      <c r="L43" s="2301">
        <v>6.6990018030000034</v>
      </c>
      <c r="M43" s="2461">
        <f t="shared" ref="M43" si="52">ROUND(E43,1)-ROUND(I43,1)-ROUND(K43,1)</f>
        <v>0</v>
      </c>
      <c r="N43" s="2461">
        <f t="shared" ref="N43" si="53">ROUND(G43,1)-ROUND(J43,1)-ROUND(L43,1)</f>
        <v>0</v>
      </c>
    </row>
    <row r="44" spans="1:14">
      <c r="A44" s="1831" t="s">
        <v>1304</v>
      </c>
      <c r="B44" s="1832"/>
      <c r="C44" s="1832"/>
      <c r="D44" s="1832"/>
      <c r="E44" s="1832"/>
      <c r="F44" s="1832"/>
      <c r="G44" s="1832"/>
      <c r="H44" s="1832"/>
      <c r="I44" s="1833"/>
      <c r="J44" s="1833"/>
      <c r="K44" s="1833"/>
      <c r="L44" s="1626" t="s">
        <v>1305</v>
      </c>
    </row>
    <row r="45" spans="1:14">
      <c r="A45" s="1622"/>
      <c r="B45" s="1621"/>
      <c r="C45" s="1621"/>
      <c r="D45" s="1621"/>
      <c r="E45" s="1621"/>
      <c r="F45" s="1621"/>
      <c r="G45" s="1621"/>
      <c r="H45" s="1621"/>
    </row>
    <row r="46" spans="1:14">
      <c r="A46" s="1945" t="s">
        <v>1306</v>
      </c>
      <c r="B46" s="1945"/>
      <c r="C46" s="1945"/>
      <c r="D46" s="1945"/>
      <c r="E46" s="1945"/>
      <c r="F46" s="1945"/>
      <c r="G46" s="1945"/>
      <c r="H46" s="1945"/>
      <c r="I46" s="1945"/>
      <c r="J46" s="1945"/>
      <c r="K46" s="1945"/>
      <c r="L46" s="1945"/>
    </row>
    <row r="50" spans="5:12">
      <c r="E50" s="1830"/>
      <c r="F50" s="1830"/>
      <c r="G50" s="1830"/>
      <c r="H50" s="1830"/>
      <c r="I50" s="1830"/>
      <c r="J50" s="1830"/>
      <c r="K50" s="1830"/>
      <c r="L50" s="1830"/>
    </row>
  </sheetData>
  <mergeCells count="12">
    <mergeCell ref="I10:J10"/>
    <mergeCell ref="K10:L10"/>
    <mergeCell ref="A1:L1"/>
    <mergeCell ref="A2:L2"/>
    <mergeCell ref="A3:L3"/>
    <mergeCell ref="A9:B12"/>
    <mergeCell ref="C9:D9"/>
    <mergeCell ref="E9:H9"/>
    <mergeCell ref="I9:J9"/>
    <mergeCell ref="K9:L9"/>
    <mergeCell ref="C10:D10"/>
    <mergeCell ref="E10:H10"/>
  </mergeCells>
  <printOptions horizontalCentered="1"/>
  <pageMargins left="0.7" right="0.7" top="0.75" bottom="0.75" header="0.3" footer="0.3"/>
  <pageSetup scale="62"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9">
    <tabColor rgb="FFFF0000"/>
    <pageSetUpPr fitToPage="1"/>
  </sheetPr>
  <dimension ref="A1:O51"/>
  <sheetViews>
    <sheetView zoomScale="70" zoomScaleNormal="70" workbookViewId="0">
      <pane ySplit="14" topLeftCell="A37" activePane="bottomLeft" state="frozen"/>
      <selection activeCell="A43" sqref="A43:XFD43"/>
      <selection pane="bottomLeft" activeCell="G43" sqref="G43"/>
    </sheetView>
  </sheetViews>
  <sheetFormatPr defaultColWidth="18.26953125" defaultRowHeight="15.5"/>
  <cols>
    <col min="1" max="1" width="10.81640625" style="1620" customWidth="1"/>
    <col min="2" max="2" width="10.7265625" style="1619" customWidth="1"/>
    <col min="3" max="4" width="18.7265625" style="1619" customWidth="1"/>
    <col min="5" max="6" width="17.7265625" style="1619" customWidth="1"/>
    <col min="7" max="8" width="18.7265625" style="1619" customWidth="1"/>
    <col min="9" max="12" width="17.7265625" style="1619" customWidth="1"/>
    <col min="13" max="13" width="18.81640625" style="1619" customWidth="1"/>
    <col min="14" max="16384" width="18.26953125" style="1619"/>
  </cols>
  <sheetData>
    <row r="1" spans="1:13" ht="18" customHeight="1">
      <c r="A1" s="1098" t="s">
        <v>1307</v>
      </c>
      <c r="B1" s="1640"/>
      <c r="C1" s="1640"/>
      <c r="D1" s="1640"/>
      <c r="E1" s="1640"/>
      <c r="F1" s="1640"/>
      <c r="G1" s="1640"/>
      <c r="H1" s="1640"/>
      <c r="I1" s="1640"/>
      <c r="J1" s="1640"/>
      <c r="K1" s="1640"/>
      <c r="L1" s="1640"/>
      <c r="M1" s="1640"/>
    </row>
    <row r="2" spans="1:13" ht="18" customHeight="1">
      <c r="A2" s="1838" t="s">
        <v>1308</v>
      </c>
      <c r="B2" s="1638"/>
      <c r="C2" s="1638"/>
      <c r="D2" s="1638"/>
      <c r="E2" s="1638"/>
      <c r="F2" s="1638"/>
      <c r="G2" s="1638"/>
      <c r="H2" s="1638"/>
      <c r="I2" s="1638"/>
      <c r="J2" s="1638"/>
      <c r="K2" s="1638"/>
      <c r="L2" s="1638"/>
      <c r="M2" s="1638"/>
    </row>
    <row r="3" spans="1:13" ht="18">
      <c r="A3" s="1838" t="s">
        <v>1309</v>
      </c>
      <c r="B3" s="1635"/>
      <c r="C3" s="1635"/>
      <c r="D3" s="1635"/>
      <c r="E3" s="1635"/>
      <c r="F3" s="1635"/>
      <c r="G3" s="1635"/>
      <c r="H3" s="1635"/>
      <c r="I3" s="1635"/>
      <c r="J3" s="1635"/>
      <c r="K3" s="1635"/>
      <c r="L3" s="1635"/>
      <c r="M3" s="1635"/>
    </row>
    <row r="4" spans="1:13" hidden="1">
      <c r="A4" s="1635"/>
      <c r="B4" s="1635"/>
      <c r="C4" s="1635"/>
      <c r="D4" s="1635"/>
      <c r="E4" s="1635"/>
      <c r="F4" s="1635"/>
      <c r="G4" s="1635"/>
      <c r="H4" s="1635"/>
      <c r="I4" s="1635"/>
      <c r="J4" s="1635"/>
      <c r="K4" s="1635"/>
      <c r="L4" s="1635"/>
      <c r="M4" s="1635"/>
    </row>
    <row r="5" spans="1:13" hidden="1">
      <c r="A5" s="1635"/>
      <c r="B5" s="1635"/>
      <c r="C5" s="1635"/>
      <c r="D5" s="1635"/>
      <c r="E5" s="1635"/>
      <c r="F5" s="1635"/>
      <c r="G5" s="1635"/>
      <c r="H5" s="1635"/>
      <c r="I5" s="1635"/>
      <c r="J5" s="1635"/>
      <c r="K5" s="1635"/>
      <c r="L5" s="1635"/>
      <c r="M5" s="1635"/>
    </row>
    <row r="6" spans="1:13" hidden="1">
      <c r="A6" s="1635"/>
      <c r="B6" s="1635"/>
      <c r="C6" s="1635"/>
      <c r="D6" s="1635"/>
      <c r="E6" s="1635"/>
      <c r="F6" s="1635"/>
      <c r="G6" s="1635"/>
      <c r="H6" s="1635"/>
      <c r="I6" s="1635"/>
      <c r="J6" s="1635"/>
      <c r="K6" s="1635"/>
      <c r="L6" s="1635"/>
      <c r="M6" s="1635"/>
    </row>
    <row r="7" spans="1:13">
      <c r="A7" s="1634"/>
    </row>
    <row r="8" spans="1:13" s="1632" customFormat="1">
      <c r="A8" s="2699" t="s">
        <v>1310</v>
      </c>
      <c r="B8" s="2700"/>
      <c r="C8" s="2722" t="s">
        <v>1311</v>
      </c>
      <c r="D8" s="2723"/>
      <c r="E8" s="2723"/>
      <c r="F8" s="2724"/>
      <c r="G8" s="2722" t="s">
        <v>1312</v>
      </c>
      <c r="H8" s="2723"/>
      <c r="I8" s="2723"/>
      <c r="J8" s="2724"/>
      <c r="K8" s="2139" t="s">
        <v>1313</v>
      </c>
      <c r="L8" s="2140"/>
      <c r="M8" s="2703" t="s">
        <v>1314</v>
      </c>
    </row>
    <row r="9" spans="1:13" s="1632" customFormat="1" ht="15.75" customHeight="1">
      <c r="A9" s="2706"/>
      <c r="B9" s="2707"/>
      <c r="C9" s="2725" t="s">
        <v>1315</v>
      </c>
      <c r="D9" s="2726"/>
      <c r="E9" s="2726"/>
      <c r="F9" s="2727"/>
      <c r="G9" s="2725" t="s">
        <v>1316</v>
      </c>
      <c r="H9" s="2726"/>
      <c r="I9" s="2726"/>
      <c r="J9" s="2727"/>
      <c r="K9" s="2725" t="s">
        <v>1317</v>
      </c>
      <c r="L9" s="2727"/>
      <c r="M9" s="2721"/>
    </row>
    <row r="10" spans="1:13" s="1632" customFormat="1" ht="31">
      <c r="A10" s="2706"/>
      <c r="B10" s="2707"/>
      <c r="C10" s="2081" t="s">
        <v>1318</v>
      </c>
      <c r="D10" s="2081" t="s">
        <v>1319</v>
      </c>
      <c r="E10" s="2081" t="s">
        <v>390</v>
      </c>
      <c r="F10" s="2081" t="s">
        <v>1320</v>
      </c>
      <c r="G10" s="2081" t="s">
        <v>1318</v>
      </c>
      <c r="H10" s="2081" t="s">
        <v>1319</v>
      </c>
      <c r="I10" s="2081" t="s">
        <v>390</v>
      </c>
      <c r="J10" s="2081" t="s">
        <v>1320</v>
      </c>
      <c r="K10" s="2138" t="s">
        <v>1311</v>
      </c>
      <c r="L10" s="2138" t="s">
        <v>1312</v>
      </c>
      <c r="M10" s="2721"/>
    </row>
    <row r="11" spans="1:13" s="1632" customFormat="1" ht="45.75" customHeight="1">
      <c r="A11" s="2701"/>
      <c r="B11" s="2702"/>
      <c r="C11" s="2082" t="s">
        <v>1321</v>
      </c>
      <c r="D11" s="2082" t="s">
        <v>1322</v>
      </c>
      <c r="E11" s="2082" t="s">
        <v>400</v>
      </c>
      <c r="F11" s="2082" t="s">
        <v>1323</v>
      </c>
      <c r="G11" s="2082" t="s">
        <v>1321</v>
      </c>
      <c r="H11" s="2082" t="s">
        <v>1322</v>
      </c>
      <c r="I11" s="2082" t="s">
        <v>400</v>
      </c>
      <c r="J11" s="2082" t="s">
        <v>1323</v>
      </c>
      <c r="K11" s="2082" t="s">
        <v>1315</v>
      </c>
      <c r="L11" s="2082" t="s">
        <v>1316</v>
      </c>
      <c r="M11" s="2712"/>
    </row>
    <row r="12" spans="1:13" ht="14.25" hidden="1" customHeight="1">
      <c r="A12" s="2718"/>
      <c r="B12" s="2719"/>
      <c r="C12" s="2013"/>
      <c r="D12" s="2013"/>
      <c r="E12" s="1826"/>
      <c r="F12" s="1826"/>
      <c r="G12" s="1826"/>
      <c r="H12" s="1826"/>
      <c r="I12" s="1827"/>
      <c r="J12" s="1827"/>
      <c r="K12" s="1827"/>
      <c r="L12" s="1827"/>
      <c r="M12" s="1829"/>
    </row>
    <row r="13" spans="1:13" ht="20.25" hidden="1" customHeight="1">
      <c r="A13" s="1630"/>
      <c r="B13" s="2011"/>
      <c r="C13" s="2011"/>
      <c r="D13" s="2011"/>
      <c r="E13" s="1821"/>
      <c r="F13" s="1821"/>
      <c r="G13" s="1821"/>
      <c r="H13" s="1821"/>
      <c r="I13" s="1823"/>
      <c r="J13" s="1823"/>
      <c r="K13" s="1823"/>
      <c r="L13" s="1823"/>
      <c r="M13" s="1824"/>
    </row>
    <row r="14" spans="1:13" ht="14.25" hidden="1" customHeight="1">
      <c r="A14" s="1629"/>
      <c r="B14" s="2011"/>
      <c r="C14" s="2011"/>
      <c r="D14" s="2011"/>
      <c r="E14" s="1821"/>
      <c r="F14" s="1821"/>
      <c r="G14" s="1821"/>
      <c r="H14" s="1821"/>
      <c r="I14" s="1823"/>
      <c r="J14" s="1823"/>
      <c r="K14" s="1823"/>
      <c r="L14" s="1823"/>
      <c r="M14" s="1824"/>
    </row>
    <row r="15" spans="1:13" ht="20.25" customHeight="1">
      <c r="A15" s="2010">
        <v>2018</v>
      </c>
      <c r="B15" s="2011"/>
      <c r="C15" s="1896">
        <v>49048695</v>
      </c>
      <c r="D15" s="1896">
        <v>15425030</v>
      </c>
      <c r="E15" s="1896">
        <v>64473725</v>
      </c>
      <c r="F15" s="2083" t="s">
        <v>606</v>
      </c>
      <c r="G15" s="1896">
        <v>1524054553.0560038</v>
      </c>
      <c r="H15" s="1896">
        <v>453159702.84699965</v>
      </c>
      <c r="I15" s="1896">
        <v>1977214255.9030037</v>
      </c>
      <c r="J15" s="2083" t="s">
        <v>606</v>
      </c>
      <c r="K15" s="2083" t="s">
        <v>606</v>
      </c>
      <c r="L15" s="2083" t="s">
        <v>606</v>
      </c>
      <c r="M15" s="1896">
        <v>35010</v>
      </c>
    </row>
    <row r="16" spans="1:13">
      <c r="A16" s="2010">
        <v>2019</v>
      </c>
      <c r="B16" s="2011"/>
      <c r="C16" s="1896">
        <v>58433552</v>
      </c>
      <c r="D16" s="1896">
        <v>15246093</v>
      </c>
      <c r="E16" s="1896">
        <v>73679645</v>
      </c>
      <c r="F16" s="2083" t="s">
        <v>606</v>
      </c>
      <c r="G16" s="1896">
        <v>1877177352.7550023</v>
      </c>
      <c r="H16" s="1896">
        <v>557218329.50299978</v>
      </c>
      <c r="I16" s="1896">
        <v>2434395681.0980015</v>
      </c>
      <c r="J16" s="2083" t="s">
        <v>606</v>
      </c>
      <c r="K16" s="2083" t="s">
        <v>606</v>
      </c>
      <c r="L16" s="2083" t="s">
        <v>606</v>
      </c>
      <c r="M16" s="1896">
        <v>40262</v>
      </c>
    </row>
    <row r="17" spans="1:15">
      <c r="A17" s="2010">
        <v>2020</v>
      </c>
      <c r="B17" s="2011"/>
      <c r="C17" s="1896">
        <v>77347515</v>
      </c>
      <c r="D17" s="1896">
        <v>6438295</v>
      </c>
      <c r="E17" s="1896">
        <v>83785810</v>
      </c>
      <c r="F17" s="2083">
        <v>31863197.805222854</v>
      </c>
      <c r="G17" s="1896">
        <v>2124921776.0370262</v>
      </c>
      <c r="H17" s="1896">
        <v>216993593.1926941</v>
      </c>
      <c r="I17" s="1896">
        <v>2341915369.1297202</v>
      </c>
      <c r="J17" s="2083">
        <v>438734452.92201328</v>
      </c>
      <c r="K17" s="2083" t="s">
        <v>606</v>
      </c>
      <c r="L17" s="2083" t="s">
        <v>606</v>
      </c>
      <c r="M17" s="1896">
        <v>24702</v>
      </c>
    </row>
    <row r="18" spans="1:15">
      <c r="A18" s="2010">
        <v>2021</v>
      </c>
      <c r="B18" s="2011"/>
      <c r="C18" s="1896">
        <v>109539142</v>
      </c>
      <c r="D18" s="1896">
        <v>16009386</v>
      </c>
      <c r="E18" s="1896">
        <v>125548528</v>
      </c>
      <c r="F18" s="2083">
        <v>82397936</v>
      </c>
      <c r="G18" s="1896">
        <v>2707223375.2868547</v>
      </c>
      <c r="H18" s="1896">
        <v>443993620.81894493</v>
      </c>
      <c r="I18" s="1896">
        <v>3151216995.9857998</v>
      </c>
      <c r="J18" s="2083">
        <v>1252676798.9089999</v>
      </c>
      <c r="K18" s="2083">
        <v>11470238</v>
      </c>
      <c r="L18" s="2083">
        <v>988113898.11504936</v>
      </c>
      <c r="M18" s="1896">
        <v>32742</v>
      </c>
    </row>
    <row r="19" spans="1:15" s="1979" customFormat="1">
      <c r="A19" s="2089">
        <v>2022</v>
      </c>
      <c r="B19" s="1980"/>
      <c r="C19" s="1896">
        <v>132102959</v>
      </c>
      <c r="D19" s="1896">
        <v>30689009</v>
      </c>
      <c r="E19" s="1896">
        <v>162791968</v>
      </c>
      <c r="F19" s="2083">
        <v>121224262</v>
      </c>
      <c r="G19" s="1896">
        <v>3090754039.8581257</v>
      </c>
      <c r="H19" s="1896">
        <v>753834542.36111569</v>
      </c>
      <c r="I19" s="1896">
        <v>3844588582.1192417</v>
      </c>
      <c r="J19" s="2083">
        <v>1793616693.2150002</v>
      </c>
      <c r="K19" s="2083">
        <v>19523811</v>
      </c>
      <c r="L19" s="2083">
        <v>1305282546.3874979</v>
      </c>
      <c r="M19" s="1896">
        <v>40681</v>
      </c>
    </row>
    <row r="20" spans="1:15" s="1979" customFormat="1">
      <c r="A20" s="2089">
        <v>2023</v>
      </c>
      <c r="B20" s="1980"/>
      <c r="C20" s="1896">
        <v>147610590</v>
      </c>
      <c r="D20" s="1896">
        <v>36266952</v>
      </c>
      <c r="E20" s="1896">
        <v>183877542</v>
      </c>
      <c r="F20" s="2083">
        <v>142708090</v>
      </c>
      <c r="G20" s="1896">
        <v>3273915613.6049886</v>
      </c>
      <c r="H20" s="1896">
        <v>875672992.59169924</v>
      </c>
      <c r="I20" s="1896">
        <v>4149588606.1966877</v>
      </c>
      <c r="J20" s="2083">
        <v>2104459326.7329998</v>
      </c>
      <c r="K20" s="2083">
        <v>20606338</v>
      </c>
      <c r="L20" s="2083">
        <v>1427531074.4651761</v>
      </c>
      <c r="M20" s="1896">
        <v>53170</v>
      </c>
    </row>
    <row r="21" spans="1:15" s="1979" customFormat="1">
      <c r="A21" s="2089">
        <v>2024</v>
      </c>
      <c r="B21" s="1980"/>
      <c r="C21" s="1896">
        <v>177242486</v>
      </c>
      <c r="D21" s="1896">
        <v>40480452</v>
      </c>
      <c r="E21" s="1896">
        <v>217722938</v>
      </c>
      <c r="F21" s="2083">
        <v>168851880</v>
      </c>
      <c r="G21" s="1896">
        <v>3731064726.9130077</v>
      </c>
      <c r="H21" s="1896">
        <v>934436989.74600005</v>
      </c>
      <c r="I21" s="1896">
        <v>4665501714.9590082</v>
      </c>
      <c r="J21" s="2083">
        <v>2457044708.79</v>
      </c>
      <c r="K21" s="2083">
        <v>28317897</v>
      </c>
      <c r="L21" s="2083">
        <v>1501203188.9110079</v>
      </c>
      <c r="M21" s="1896">
        <v>57075</v>
      </c>
    </row>
    <row r="22" spans="1:15" s="1979" customFormat="1">
      <c r="A22" s="2113">
        <v>2025</v>
      </c>
      <c r="B22" s="2114"/>
      <c r="C22" s="2084">
        <f>ROUND(C26,0)+ROUND(C27,0)+ROUND(C28,0)+ROUND(C29,0)</f>
        <v>212902094</v>
      </c>
      <c r="D22" s="2084">
        <f t="shared" ref="D22:L22" si="0">ROUND(D26,0)+ROUND(D27,0)+ROUND(D28,0)+ROUND(D29,0)</f>
        <v>56157827</v>
      </c>
      <c r="E22" s="2084">
        <f t="shared" si="0"/>
        <v>269059921</v>
      </c>
      <c r="F22" s="2085">
        <f t="shared" si="0"/>
        <v>209844173</v>
      </c>
      <c r="G22" s="2084">
        <f t="shared" si="0"/>
        <v>4214348818</v>
      </c>
      <c r="H22" s="2084">
        <f t="shared" si="0"/>
        <v>1055176892</v>
      </c>
      <c r="I22" s="2084">
        <f t="shared" si="0"/>
        <v>5269525710</v>
      </c>
      <c r="J22" s="2085">
        <f t="shared" si="0"/>
        <v>2761914806</v>
      </c>
      <c r="K22" s="2085">
        <f t="shared" si="0"/>
        <v>38477846</v>
      </c>
      <c r="L22" s="2085">
        <f t="shared" si="0"/>
        <v>1722118816</v>
      </c>
      <c r="M22" s="2084">
        <f>M29</f>
        <v>64834</v>
      </c>
    </row>
    <row r="23" spans="1:15" ht="21" customHeight="1">
      <c r="A23" s="2010">
        <v>2024</v>
      </c>
      <c r="B23" s="2011" t="s">
        <v>243</v>
      </c>
      <c r="C23" s="1896">
        <v>44367426</v>
      </c>
      <c r="D23" s="1896">
        <v>9869246</v>
      </c>
      <c r="E23" s="1896">
        <v>54236672</v>
      </c>
      <c r="F23" s="2083">
        <v>42134278</v>
      </c>
      <c r="G23" s="1896">
        <v>919928077.23700118</v>
      </c>
      <c r="H23" s="1896">
        <v>222033857.57599998</v>
      </c>
      <c r="I23" s="1896">
        <v>1141961934.0130014</v>
      </c>
      <c r="J23" s="2083">
        <v>616791730.26900005</v>
      </c>
      <c r="K23" s="2083">
        <v>7109808</v>
      </c>
      <c r="L23" s="2083">
        <v>356309483.97100121</v>
      </c>
      <c r="M23" s="1896">
        <v>55155</v>
      </c>
      <c r="N23" s="2431"/>
    </row>
    <row r="24" spans="1:15" ht="15" customHeight="1">
      <c r="A24" s="2010"/>
      <c r="B24" s="2011" t="s">
        <v>240</v>
      </c>
      <c r="C24" s="1896">
        <v>44466895</v>
      </c>
      <c r="D24" s="1896">
        <v>10430521</v>
      </c>
      <c r="E24" s="1896">
        <v>54897416</v>
      </c>
      <c r="F24" s="2083">
        <v>42330934</v>
      </c>
      <c r="G24" s="1896">
        <v>944400823.23000264</v>
      </c>
      <c r="H24" s="1895">
        <v>217150411.65200001</v>
      </c>
      <c r="I24" s="1896">
        <v>1161551234.1820025</v>
      </c>
      <c r="J24" s="2083">
        <v>601477942.01700008</v>
      </c>
      <c r="K24" s="2083">
        <v>7562127</v>
      </c>
      <c r="L24" s="2083">
        <v>384752326.91300267</v>
      </c>
      <c r="M24" s="1896">
        <v>56022</v>
      </c>
      <c r="N24" s="2431"/>
    </row>
    <row r="25" spans="1:15" ht="15" customHeight="1">
      <c r="A25" s="2010"/>
      <c r="B25" s="2011" t="s">
        <v>241</v>
      </c>
      <c r="C25" s="1896">
        <v>49024467</v>
      </c>
      <c r="D25" s="1896">
        <v>10645387</v>
      </c>
      <c r="E25" s="1896">
        <v>59669854</v>
      </c>
      <c r="F25" s="2083">
        <v>46840993</v>
      </c>
      <c r="G25" s="1896">
        <v>1017158783.0360032</v>
      </c>
      <c r="H25" s="1895">
        <v>247450287.00400001</v>
      </c>
      <c r="I25" s="1896">
        <v>1264609069.8400035</v>
      </c>
      <c r="J25" s="2083">
        <v>676489543.852</v>
      </c>
      <c r="K25" s="2083">
        <v>8040909</v>
      </c>
      <c r="L25" s="2083">
        <v>384665499.68000329</v>
      </c>
      <c r="M25" s="1896">
        <v>57075</v>
      </c>
      <c r="N25" s="2431"/>
    </row>
    <row r="26" spans="1:15" ht="21" customHeight="1">
      <c r="A26" s="2010">
        <v>2025</v>
      </c>
      <c r="B26" s="2011" t="s">
        <v>242</v>
      </c>
      <c r="C26" s="1896">
        <v>47746823</v>
      </c>
      <c r="D26" s="1896">
        <v>12234085</v>
      </c>
      <c r="E26" s="1896">
        <v>59980908</v>
      </c>
      <c r="F26" s="2083">
        <v>46113887</v>
      </c>
      <c r="G26" s="1896">
        <v>1013132615.8920032</v>
      </c>
      <c r="H26" s="1896">
        <v>239474959.044</v>
      </c>
      <c r="I26" s="1896">
        <v>1252607575.2360032</v>
      </c>
      <c r="J26" s="2083">
        <v>647249588.495</v>
      </c>
      <c r="K26" s="2083">
        <v>8628077</v>
      </c>
      <c r="L26" s="2083">
        <v>398409457.77000308</v>
      </c>
      <c r="M26" s="1896">
        <v>58705</v>
      </c>
      <c r="N26" s="2431"/>
    </row>
    <row r="27" spans="1:15" ht="15" customHeight="1">
      <c r="A27" s="2010"/>
      <c r="B27" s="2011" t="s">
        <v>243</v>
      </c>
      <c r="C27" s="1896">
        <v>51572276</v>
      </c>
      <c r="D27" s="1896">
        <v>14274091</v>
      </c>
      <c r="E27" s="1896">
        <v>65846367</v>
      </c>
      <c r="F27" s="2083">
        <v>51326640</v>
      </c>
      <c r="G27" s="1895">
        <v>1036185548.9320033</v>
      </c>
      <c r="H27" s="1895">
        <v>261266632.14389998</v>
      </c>
      <c r="I27" s="1896">
        <v>1297452180.7759032</v>
      </c>
      <c r="J27" s="2083">
        <v>679202192.77899992</v>
      </c>
      <c r="K27" s="2083">
        <v>9500541</v>
      </c>
      <c r="L27" s="2083">
        <v>417744896.81100309</v>
      </c>
      <c r="M27" s="1896">
        <v>60489</v>
      </c>
      <c r="N27" s="2431"/>
    </row>
    <row r="28" spans="1:15" ht="15" customHeight="1">
      <c r="A28" s="2010"/>
      <c r="B28" s="2011" t="s">
        <v>240</v>
      </c>
      <c r="C28" s="1896">
        <f>ROUND(C33,0)+ROUND(C34,0)+ROUND(C35,0)</f>
        <v>53582907</v>
      </c>
      <c r="D28" s="1896">
        <f t="shared" ref="D28:L28" si="1">ROUND(D33,0)+ROUND(D34,0)+ROUND(D35,0)</f>
        <v>14011323</v>
      </c>
      <c r="E28" s="1896">
        <f t="shared" si="1"/>
        <v>67594230</v>
      </c>
      <c r="F28" s="1896">
        <f t="shared" si="1"/>
        <v>52840355</v>
      </c>
      <c r="G28" s="1896">
        <f t="shared" si="1"/>
        <v>1052574452</v>
      </c>
      <c r="H28" s="1896">
        <f t="shared" si="1"/>
        <v>250011760</v>
      </c>
      <c r="I28" s="1896">
        <f t="shared" si="1"/>
        <v>1302586212</v>
      </c>
      <c r="J28" s="1896">
        <f t="shared" si="1"/>
        <v>669937551</v>
      </c>
      <c r="K28" s="1896">
        <f t="shared" si="1"/>
        <v>9774830</v>
      </c>
      <c r="L28" s="1896">
        <f t="shared" si="1"/>
        <v>449006166</v>
      </c>
      <c r="M28" s="1896">
        <f>M35</f>
        <v>61712</v>
      </c>
      <c r="N28" s="2431"/>
    </row>
    <row r="29" spans="1:15" ht="15" customHeight="1">
      <c r="A29" s="2010"/>
      <c r="B29" s="2011" t="s">
        <v>241</v>
      </c>
      <c r="C29" s="1896">
        <f>ROUND(C38,0)+ROUND(C37,0)+ROUND(C36,0)</f>
        <v>60000088</v>
      </c>
      <c r="D29" s="1896">
        <f t="shared" ref="D29:L29" si="2">ROUND(D38,0)+ROUND(D37,0)+ROUND(D36,0)</f>
        <v>15638328</v>
      </c>
      <c r="E29" s="1896">
        <f t="shared" si="2"/>
        <v>75638416</v>
      </c>
      <c r="F29" s="1896">
        <f t="shared" si="2"/>
        <v>59563291</v>
      </c>
      <c r="G29" s="1896">
        <f t="shared" si="2"/>
        <v>1112456201</v>
      </c>
      <c r="H29" s="1896">
        <f t="shared" si="2"/>
        <v>304423541</v>
      </c>
      <c r="I29" s="1896">
        <f t="shared" si="2"/>
        <v>1416879742</v>
      </c>
      <c r="J29" s="1896">
        <f t="shared" si="2"/>
        <v>765525474</v>
      </c>
      <c r="K29" s="1896">
        <f t="shared" si="2"/>
        <v>10574398</v>
      </c>
      <c r="L29" s="1896">
        <f t="shared" si="2"/>
        <v>456958295</v>
      </c>
      <c r="M29" s="1896">
        <f>M38</f>
        <v>64834</v>
      </c>
      <c r="N29" s="2431"/>
    </row>
    <row r="30" spans="1:15" ht="21" customHeight="1">
      <c r="A30" s="2012">
        <v>2026</v>
      </c>
      <c r="B30" s="2013" t="s">
        <v>242</v>
      </c>
      <c r="C30" s="2084">
        <f>ROUND(C39,0)+ROUND(C40,0)+ROUND(C41,0)</f>
        <v>50770165</v>
      </c>
      <c r="D30" s="2084">
        <f t="shared" ref="D30:L30" si="3">ROUND(D39,0)+ROUND(D40,0)+ROUND(D41,0)</f>
        <v>10032415</v>
      </c>
      <c r="E30" s="2084">
        <f t="shared" si="3"/>
        <v>60802580</v>
      </c>
      <c r="F30" s="2084">
        <f t="shared" si="3"/>
        <v>45693239</v>
      </c>
      <c r="G30" s="2084">
        <f t="shared" si="3"/>
        <v>983783923</v>
      </c>
      <c r="H30" s="2084">
        <f t="shared" si="3"/>
        <v>185360068</v>
      </c>
      <c r="I30" s="2084">
        <f t="shared" si="3"/>
        <v>1169143991</v>
      </c>
      <c r="J30" s="2084">
        <f t="shared" si="3"/>
        <v>606781181</v>
      </c>
      <c r="K30" s="2084">
        <f t="shared" si="3"/>
        <v>10091240</v>
      </c>
      <c r="L30" s="2084">
        <f t="shared" si="3"/>
        <v>410445508</v>
      </c>
      <c r="M30" s="2084">
        <f>M41</f>
        <v>66299</v>
      </c>
      <c r="N30" s="2431"/>
    </row>
    <row r="31" spans="1:15" s="2460" customFormat="1" ht="21" customHeight="1">
      <c r="A31" s="2459">
        <v>2025</v>
      </c>
      <c r="B31" s="1978" t="s">
        <v>427</v>
      </c>
      <c r="C31" s="1896">
        <v>17897935</v>
      </c>
      <c r="D31" s="1896">
        <v>4851607</v>
      </c>
      <c r="E31" s="1896">
        <v>22749542</v>
      </c>
      <c r="F31" s="1896">
        <v>17735376</v>
      </c>
      <c r="G31" s="1896">
        <v>359030010.77400118</v>
      </c>
      <c r="H31" s="1896">
        <v>87885526.481999993</v>
      </c>
      <c r="I31" s="1896">
        <v>446915537.25600117</v>
      </c>
      <c r="J31" s="1896">
        <v>231267647.93299997</v>
      </c>
      <c r="K31" s="1896">
        <v>3292657</v>
      </c>
      <c r="L31" s="1896">
        <v>150222942.71500117</v>
      </c>
      <c r="M31" s="1896">
        <v>60116</v>
      </c>
      <c r="N31" s="1979"/>
      <c r="O31" s="1979"/>
    </row>
    <row r="32" spans="1:15" s="2460" customFormat="1" ht="15.75" customHeight="1">
      <c r="A32" s="2459"/>
      <c r="B32" s="1978" t="s">
        <v>428</v>
      </c>
      <c r="C32" s="1896">
        <f>'[79]Total POS'!$C$10+'[79]Total POS'!$E$10</f>
        <v>16942352</v>
      </c>
      <c r="D32" s="1896">
        <f>'[79]Total POS'!$D$10+'[79]Total POS'!$F$10</f>
        <v>4643321</v>
      </c>
      <c r="E32" s="1896">
        <f>SUM('[79]Total POS'!$C$10:$F$10)</f>
        <v>21585673</v>
      </c>
      <c r="F32" s="1896">
        <f>SUM('[79]Total POS'!$C$16:$F$16)</f>
        <v>16888109</v>
      </c>
      <c r="G32" s="1895">
        <f>'[79]Total POS'!$C$12+'[79]Total POS'!$E$12+0.3</f>
        <v>340636772.56900138</v>
      </c>
      <c r="H32" s="1896">
        <f>'[79]Total POS'!$D$12+'[79]Total POS'!$F$12</f>
        <v>81709756.404899999</v>
      </c>
      <c r="I32" s="1896">
        <f>SUM('[79]Total POS'!$C$12:$F$12)</f>
        <v>422346528.67390132</v>
      </c>
      <c r="J32" s="1896">
        <f>SUM('[79]Total POS'!$C$17:$F$17)</f>
        <v>223317895.257</v>
      </c>
      <c r="K32" s="1896">
        <f>SUM('[79]Total POS'!$C$11:$F$11)</f>
        <v>3106697</v>
      </c>
      <c r="L32" s="1896">
        <f>SUM('[79]Total POS'!$C$13:$F$13)</f>
        <v>132738378.68100134</v>
      </c>
      <c r="M32" s="1896">
        <f>'[79]Total POS'!$C$14</f>
        <v>60489</v>
      </c>
      <c r="N32" s="1979"/>
      <c r="O32" s="1979"/>
    </row>
    <row r="33" spans="1:15" s="2460" customFormat="1" ht="15.75" customHeight="1">
      <c r="A33" s="2459"/>
      <c r="B33" s="1978" t="s">
        <v>429</v>
      </c>
      <c r="C33" s="1896">
        <f>'[80]Total POS'!$C$10+'[80]Total POS'!$E$10</f>
        <v>17159605</v>
      </c>
      <c r="D33" s="1896">
        <f>'[80]Total POS'!$D$10+'[80]Total POS'!$F$10</f>
        <v>4552714</v>
      </c>
      <c r="E33" s="1896">
        <f>SUM('[80]Total POS'!$C$10:$F$10)</f>
        <v>21712319</v>
      </c>
      <c r="F33" s="1896">
        <f>SUM('[80]Total POS'!$C$16:$F$16)</f>
        <v>16913923</v>
      </c>
      <c r="G33" s="1896">
        <f>'[80]Total POS'!$C$12+'[80]Total POS'!$E$12</f>
        <v>362483233.44900167</v>
      </c>
      <c r="H33" s="1896">
        <f>'[80]Total POS'!$D$12+'[80]Total POS'!$F$12</f>
        <v>77605400.552000001</v>
      </c>
      <c r="I33" s="1896">
        <f>SUM('[80]Total POS'!$C$12:$F$12)</f>
        <v>440088634.00100166</v>
      </c>
      <c r="J33" s="1896">
        <f>SUM('[80]Total POS'!$C$17:$F$17)</f>
        <v>216134160.13700002</v>
      </c>
      <c r="K33" s="1896">
        <f>SUM('[80]Total POS'!$C$11:$F$11)</f>
        <v>3183079</v>
      </c>
      <c r="L33" s="1896">
        <f>SUM('[80]Total POS'!$C$13:$F$13)</f>
        <v>158293140.58000174</v>
      </c>
      <c r="M33" s="1896">
        <f>'[80]Total POS'!$C$14</f>
        <v>60823</v>
      </c>
      <c r="N33" s="1979"/>
      <c r="O33" s="1979"/>
    </row>
    <row r="34" spans="1:15" s="2460" customFormat="1" ht="15.75" customHeight="1">
      <c r="A34" s="2459"/>
      <c r="B34" s="1978" t="s">
        <v>430</v>
      </c>
      <c r="C34" s="1896">
        <f>'[81]Total POS'!$C$10+'[81]Total POS'!$E$10</f>
        <v>17732922</v>
      </c>
      <c r="D34" s="1896">
        <f>'[81]Total POS'!$D$10+'[81]Total POS'!$F$10</f>
        <v>5156262</v>
      </c>
      <c r="E34" s="1896">
        <f>SUM('[81]Total POS'!$C$10:$F$10)</f>
        <v>22889184</v>
      </c>
      <c r="F34" s="1896">
        <f>SUM('[81]Total POS'!$C$16:$F$16)</f>
        <v>17886301</v>
      </c>
      <c r="G34" s="1896">
        <f>'[81]Total POS'!$C$12+'[81]Total POS'!$E$12</f>
        <v>344050568.44500136</v>
      </c>
      <c r="H34" s="1896">
        <f>'[81]Total POS'!$D$12+'[81]Total POS'!$F$12</f>
        <v>92487445.061000004</v>
      </c>
      <c r="I34" s="1895">
        <f>SUM('[81]Total POS'!$C$12:$F$12)-0.1</f>
        <v>436538013.40600139</v>
      </c>
      <c r="J34" s="1896">
        <f>SUM('[81]Total POS'!$C$17:$F$17)</f>
        <v>230431870.69800001</v>
      </c>
      <c r="K34" s="1896">
        <f>SUM('[81]Total POS'!$C$11:$F$11)</f>
        <v>3291831</v>
      </c>
      <c r="L34" s="1896">
        <f>SUM('[81]Total POS'!$C$13:$F$13)</f>
        <v>145158945.2270014</v>
      </c>
      <c r="M34" s="1896">
        <f>'[81]Total POS'!$C$14</f>
        <v>61278</v>
      </c>
      <c r="N34" s="1979"/>
      <c r="O34" s="1979"/>
    </row>
    <row r="35" spans="1:15" s="2460" customFormat="1" ht="15.75" customHeight="1">
      <c r="A35" s="2459"/>
      <c r="B35" s="1978" t="s">
        <v>431</v>
      </c>
      <c r="C35" s="1896">
        <f>'[82]Total POS'!$C$10+'[82]Total POS'!$E$10</f>
        <v>18690380</v>
      </c>
      <c r="D35" s="1896">
        <f>'[82]Total POS'!$D$10+'[82]Total POS'!$F$10</f>
        <v>4302347</v>
      </c>
      <c r="E35" s="1896">
        <f>SUM('[82]Total POS'!$C$10:$F$10)</f>
        <v>22992727</v>
      </c>
      <c r="F35" s="1896">
        <f>SUM('[82]Total POS'!$C$16:$F$16)</f>
        <v>18040131</v>
      </c>
      <c r="G35" s="1895">
        <f>'[82]Total POS'!$C$12+'[82]Total POS'!$E$12-0.2</f>
        <v>346040651.43000132</v>
      </c>
      <c r="H35" s="1896">
        <f>'[82]Total POS'!$D$12+'[82]Total POS'!$F$12</f>
        <v>79918913.763000011</v>
      </c>
      <c r="I35" s="1896">
        <f>SUM('[82]Total POS'!$C$12:$F$12)</f>
        <v>425959565.39300132</v>
      </c>
      <c r="J35" s="1896">
        <f>SUM('[82]Total POS'!$C$17:$F$17)</f>
        <v>223371519.78199998</v>
      </c>
      <c r="K35" s="1896">
        <f>SUM('[82]Total POS'!$C$11:$F$11)</f>
        <v>3299920</v>
      </c>
      <c r="L35" s="1896">
        <f>SUM('[82]Total POS'!$C$13:$F$13)</f>
        <v>145554079.81700131</v>
      </c>
      <c r="M35" s="1896">
        <f>'[82]Total POS'!$C$14</f>
        <v>61712</v>
      </c>
      <c r="N35" s="1979"/>
      <c r="O35" s="1979"/>
    </row>
    <row r="36" spans="1:15" s="2460" customFormat="1" ht="15.75" customHeight="1">
      <c r="A36" s="2459"/>
      <c r="B36" s="1978" t="s">
        <v>420</v>
      </c>
      <c r="C36" s="1896">
        <f>'[83]Total POS'!$C$10+'[83]Total POS'!$E$10</f>
        <v>19732555</v>
      </c>
      <c r="D36" s="1896">
        <f>'[83]Total POS'!$D$10+'[83]Total POS'!$F$10</f>
        <v>4715410</v>
      </c>
      <c r="E36" s="1896">
        <f>SUM('[83]Total POS'!$C$10:$F$10)</f>
        <v>24447965</v>
      </c>
      <c r="F36" s="1896">
        <f>SUM('[83]Total POS'!$C$16:$F$16)</f>
        <v>19258264</v>
      </c>
      <c r="G36" s="1896">
        <f>'[83]Total POS'!$C$12+'[83]Total POS'!$E$12</f>
        <v>370255616.4360013</v>
      </c>
      <c r="H36" s="1895">
        <f>'[83]Total POS'!$D$12+'[83]Total POS'!$F$12+0.3</f>
        <v>85987986.574000016</v>
      </c>
      <c r="I36" s="1896">
        <f>SUM('[83]Total POS'!$C$12:$F$12)</f>
        <v>456243602.71000129</v>
      </c>
      <c r="J36" s="1896">
        <f>SUM('[83]Total POS'!$C$17:$F$17)</f>
        <v>235303643.78800002</v>
      </c>
      <c r="K36" s="1896">
        <f>SUM('[83]Total POS'!$C$11:$F$11)</f>
        <v>3455723</v>
      </c>
      <c r="L36" s="1896">
        <f>SUM('[83]Total POS'!$C$13:$F$13)</f>
        <v>162368670.31900126</v>
      </c>
      <c r="M36" s="1896">
        <f>'[83]Total POS'!$C$14</f>
        <v>62200</v>
      </c>
      <c r="N36" s="1979"/>
      <c r="O36" s="1979"/>
    </row>
    <row r="37" spans="1:15" s="2460" customFormat="1" ht="15.75" customHeight="1">
      <c r="A37" s="2459"/>
      <c r="B37" s="1978" t="s">
        <v>421</v>
      </c>
      <c r="C37" s="1896">
        <f>'[84]Total POS'!$C$10+'[84]Total POS'!$E$10</f>
        <v>19799108</v>
      </c>
      <c r="D37" s="1896">
        <f>'[84]Total POS'!$D$10+'[84]Total POS'!$F$10</f>
        <v>5546127</v>
      </c>
      <c r="E37" s="1896">
        <f>SUM('[84]Total POS'!$C$10:$F$10)</f>
        <v>25345235</v>
      </c>
      <c r="F37" s="1896">
        <f>SUM('[84]Total POS'!$C$16:$F$16)</f>
        <v>19888226</v>
      </c>
      <c r="G37" s="1896">
        <f>'[84]Total POS'!$C$12+'[84]Total POS'!$E$12</f>
        <v>374743852.21300054</v>
      </c>
      <c r="H37" s="1895">
        <f>'[84]Total POS'!$D$12+'[84]Total POS'!$F$12+0.3</f>
        <v>121071391.57099998</v>
      </c>
      <c r="I37" s="1895">
        <f>SUM('[84]Total POS'!$C$12:$F$12)+0.1</f>
        <v>495815243.58400053</v>
      </c>
      <c r="J37" s="1896">
        <f>SUM('[84]Total POS'!$C$17:$F$17)</f>
        <v>275705075.77499998</v>
      </c>
      <c r="K37" s="1896">
        <f>SUM('[84]Total POS'!$C$11:$F$11)</f>
        <v>3495487</v>
      </c>
      <c r="L37" s="1896">
        <f>SUM('[84]Total POS'!$C$13:$F$13)</f>
        <v>144710086.48300129</v>
      </c>
      <c r="M37" s="1896">
        <f>'[84]Total POS'!$C$14</f>
        <v>62987</v>
      </c>
      <c r="N37" s="1979"/>
      <c r="O37" s="1979"/>
    </row>
    <row r="38" spans="1:15" s="2460" customFormat="1" ht="15.65" customHeight="1">
      <c r="A38" s="2459"/>
      <c r="B38" s="1978" t="s">
        <v>422</v>
      </c>
      <c r="C38" s="1896">
        <f>'[85]Total POS'!$C$10+'[85]Total POS'!$E$10</f>
        <v>20468425</v>
      </c>
      <c r="D38" s="1896">
        <f>'[85]Total POS'!$D$10+'[85]Total POS'!$F$10</f>
        <v>5376791</v>
      </c>
      <c r="E38" s="1896">
        <f>SUM('[85]Total POS'!$C$10:$F$10)</f>
        <v>25845216</v>
      </c>
      <c r="F38" s="1896">
        <f>SUM('[85]Total POS'!$C$16:$F$16)</f>
        <v>20416801</v>
      </c>
      <c r="G38" s="1896">
        <f>'[85]Total POS'!$C$12+'[85]Total POS'!$E$12</f>
        <v>367456732.69000161</v>
      </c>
      <c r="H38" s="1896">
        <f>'[85]Total POS'!$D$12+'[85]Total POS'!$F$12</f>
        <v>97364161.818000019</v>
      </c>
      <c r="I38" s="1896">
        <f>SUM('[85]Total POS'!$C$12:$F$12)</f>
        <v>464820894.50800163</v>
      </c>
      <c r="J38" s="1896">
        <f>SUM('[85]Total POS'!$C$17:$F$17)</f>
        <v>254516754.38999999</v>
      </c>
      <c r="K38" s="1896">
        <f>SUM('[85]Total POS'!$C$11:$F$11)</f>
        <v>3623188</v>
      </c>
      <c r="L38" s="1895">
        <f>SUM('[85]Total POS'!$C$13:$F$13)+1</f>
        <v>149879539.40600163</v>
      </c>
      <c r="M38" s="1896">
        <f>'[85]Total POS'!$C$14</f>
        <v>64834</v>
      </c>
      <c r="N38" s="1979"/>
      <c r="O38" s="1979"/>
    </row>
    <row r="39" spans="1:15" s="2460" customFormat="1" ht="21" customHeight="1">
      <c r="A39" s="2459">
        <v>2026</v>
      </c>
      <c r="B39" s="1978" t="s">
        <v>423</v>
      </c>
      <c r="C39" s="1896">
        <f>'[86]Total POS'!$C$10+'[86]Total POS'!$E$10</f>
        <v>15585126</v>
      </c>
      <c r="D39" s="1896">
        <f>'[86]Total POS'!$D$10+'[86]Total POS'!$F$10</f>
        <v>4326102</v>
      </c>
      <c r="E39" s="1896">
        <f>SUM('[86]Total POS'!$C$10:$F$10)</f>
        <v>19911228</v>
      </c>
      <c r="F39" s="1896">
        <f>SUM('[86]Total POS'!$C$16:$F$16)</f>
        <v>14675085</v>
      </c>
      <c r="G39" s="1896">
        <f>'[86]Total POS'!$C$12+'[86]Total POS'!$E$12</f>
        <v>329216886.42999983</v>
      </c>
      <c r="H39" s="1896">
        <f>'[86]Total POS'!$D$12+'[86]Total POS'!$F$12</f>
        <v>80498401.540000007</v>
      </c>
      <c r="I39" s="1896">
        <f>SUM('[86]Total POS'!$C$12:$F$12)</f>
        <v>409715287.96999985</v>
      </c>
      <c r="J39" s="1896">
        <f>SUM('[86]Total POS'!$C$17:$F$17)</f>
        <v>206142712.16599998</v>
      </c>
      <c r="K39" s="1896">
        <f>SUM('[86]Total POS'!$C$11:$F$11)</f>
        <v>3420222</v>
      </c>
      <c r="L39" s="1896">
        <f>SUM('[86]Total POS'!$C$13:$F$13)</f>
        <v>147795279.0389998</v>
      </c>
      <c r="M39" s="1896">
        <f>'[86]Total POS'!$C$14</f>
        <v>65623</v>
      </c>
      <c r="N39" s="1979"/>
      <c r="O39" s="1979"/>
    </row>
    <row r="40" spans="1:15" s="2460" customFormat="1" ht="15.75" customHeight="1">
      <c r="A40" s="2459"/>
      <c r="B40" s="1978" t="s">
        <v>424</v>
      </c>
      <c r="C40" s="1896">
        <f>'[87]Total POS'!$C$10+'[87]Total POS'!$E$10</f>
        <v>17853048</v>
      </c>
      <c r="D40" s="1896">
        <f>'[87]Total POS'!$D$10+'[87]Total POS'!$F$10</f>
        <v>3888741</v>
      </c>
      <c r="E40" s="1896">
        <f>SUM('[87]Total POS'!$C$10:$F$10)</f>
        <v>21741789</v>
      </c>
      <c r="F40" s="1896">
        <f>SUM('[87]Total POS'!$C$16:$F$16)</f>
        <v>16744071</v>
      </c>
      <c r="G40" s="1895">
        <f>'[87]Total POS'!$C$12+'[87]Total POS'!$E$12+0.2</f>
        <v>343576080.56099987</v>
      </c>
      <c r="H40" s="1896">
        <f>'[87]Total POS'!$D$12+'[87]Total POS'!$F$12</f>
        <v>76537203.414000005</v>
      </c>
      <c r="I40" s="1896">
        <f>SUM('[87]Total POS'!$C$12:$F$12)</f>
        <v>420113283.77499986</v>
      </c>
      <c r="J40" s="1896">
        <f>SUM('[87]Total POS'!$C$17:$F$17)</f>
        <v>218996205.792</v>
      </c>
      <c r="K40" s="1896">
        <f>SUM('[87]Total POS'!$C$11:$F$11)</f>
        <v>3331561</v>
      </c>
      <c r="L40" s="1896">
        <f>SUM('[87]Total POS'!$C$13:$F$13)</f>
        <v>148159435.01099986</v>
      </c>
      <c r="M40" s="1896">
        <f>'[87]Total POS'!$C$14</f>
        <v>65993</v>
      </c>
      <c r="N40" s="1979"/>
      <c r="O40" s="1979"/>
    </row>
    <row r="41" spans="1:15" s="2460" customFormat="1" ht="15.75" customHeight="1">
      <c r="A41" s="2459"/>
      <c r="B41" s="1978" t="s">
        <v>425</v>
      </c>
      <c r="C41" s="1896">
        <f>'[88]Total POS'!$C$10+'[88]Total POS'!$E$10</f>
        <v>17331991</v>
      </c>
      <c r="D41" s="1896">
        <f>'[88]Total POS'!$D$10+'[88]Total POS'!$F$10</f>
        <v>1817572</v>
      </c>
      <c r="E41" s="1896">
        <f>SUM('[88]Total POS'!$C$10:$F$10)</f>
        <v>19149563</v>
      </c>
      <c r="F41" s="1896">
        <f>SUM('[88]Total POS'!$C$16:$F$16)</f>
        <v>14274083</v>
      </c>
      <c r="G41" s="1896">
        <f>'[88]Total POS'!$C$12+'[88]Total POS'!$E$12</f>
        <v>310990956.22599977</v>
      </c>
      <c r="H41" s="1896">
        <f>'[88]Total POS'!$D$12+'[88]Total POS'!$F$12</f>
        <v>28324463.438000001</v>
      </c>
      <c r="I41" s="1895">
        <f>SUM('[88]Total POS'!$C$12:$F$12)-0.3</f>
        <v>339315419.36399978</v>
      </c>
      <c r="J41" s="1896">
        <f>SUM('[88]Total POS'!$C$17:$F$17)</f>
        <v>181642263.09999999</v>
      </c>
      <c r="K41" s="1896">
        <f>SUM('[88]Total POS'!$C$11:$F$11)</f>
        <v>3339457</v>
      </c>
      <c r="L41" s="1896">
        <f>SUM('[88]Total POS'!$C$13:$F$13)</f>
        <v>114490794.12699978</v>
      </c>
      <c r="M41" s="1896">
        <f>'[88]Total POS'!$C$14</f>
        <v>66299</v>
      </c>
      <c r="N41" s="1979"/>
      <c r="O41" s="1979"/>
    </row>
    <row r="42" spans="1:15" s="2460" customFormat="1" ht="15.75" customHeight="1">
      <c r="A42" s="2459"/>
      <c r="B42" s="1978" t="s">
        <v>426</v>
      </c>
      <c r="C42" s="1896">
        <f>'[89]Total POS'!$C$10+'[89]Total POS'!$E$10</f>
        <v>18917829</v>
      </c>
      <c r="D42" s="1896">
        <f>'[89]Total POS'!$D$10+'[89]Total POS'!$F$10</f>
        <v>2627160</v>
      </c>
      <c r="E42" s="1896">
        <f>SUM('[89]Total POS'!$C$10:$F$10)</f>
        <v>21544989</v>
      </c>
      <c r="F42" s="1896">
        <f>SUM('[89]Total POS'!$C$16:$F$16)</f>
        <v>16486120</v>
      </c>
      <c r="G42" s="1896">
        <f>'[89]Total POS'!$C$12+'[89]Total POS'!$E$12</f>
        <v>333479552.77699971</v>
      </c>
      <c r="H42" s="1896">
        <f>'[89]Total POS'!$D$12+'[89]Total POS'!$F$12</f>
        <v>41301664.794</v>
      </c>
      <c r="I42" s="1896">
        <f>SUM('[89]Total POS'!$C$12:$F$12)</f>
        <v>374781217.57099974</v>
      </c>
      <c r="J42" s="1896">
        <f>SUM('[89]Total POS'!$C$17:$F$17)</f>
        <v>200780992.11899999</v>
      </c>
      <c r="K42" s="1896">
        <f>SUM('[89]Total POS'!$C$11:$F$11)</f>
        <v>3419496</v>
      </c>
      <c r="L42" s="1896">
        <f>SUM('[89]Total POS'!$C$13:$F$13)</f>
        <v>127680834.74799973</v>
      </c>
      <c r="M42" s="1896">
        <f>'[89]Total POS'!$C$14</f>
        <v>66532</v>
      </c>
      <c r="N42" s="1979"/>
      <c r="O42" s="1979"/>
    </row>
    <row r="43" spans="1:15" s="2460" customFormat="1" ht="15.75" customHeight="1">
      <c r="A43" s="2459"/>
      <c r="B43" s="1978" t="s">
        <v>1790</v>
      </c>
      <c r="C43" s="1896">
        <f>'[90]Total POS'!$C$10+'[90]Total POS'!$E$10</f>
        <v>21410920</v>
      </c>
      <c r="D43" s="1896">
        <f>'[90]Total POS'!$D$10+'[90]Total POS'!$F$10</f>
        <v>4712930</v>
      </c>
      <c r="E43" s="1896">
        <f>SUM('[90]Total POS'!$C$10:$F$10)</f>
        <v>26123850</v>
      </c>
      <c r="F43" s="1896">
        <f>SUM('[90]Total POS'!$C$16:$F$16)</f>
        <v>20322229</v>
      </c>
      <c r="G43" s="1895">
        <f>'[90]Total POS'!$C$12+'[90]Total POS'!$E$12+0.1</f>
        <v>370436911.59899962</v>
      </c>
      <c r="H43" s="1896">
        <f>'[90]Total POS'!$D$12+'[90]Total POS'!$F$12</f>
        <v>86103200.097000003</v>
      </c>
      <c r="I43" s="1896">
        <f>SUM('[90]Total POS'!$C$12:$F$12)</f>
        <v>456540111.59599966</v>
      </c>
      <c r="J43" s="1896">
        <f>SUM('[90]Total POS'!$C$17:$F$17)</f>
        <v>260675099.53800002</v>
      </c>
      <c r="K43" s="1896">
        <f>SUM('[90]Total POS'!$C$11:$F$11)</f>
        <v>3892284</v>
      </c>
      <c r="L43" s="1896">
        <f>SUM('[90]Total POS'!$C$13:$F$13)</f>
        <v>139585414.30999961</v>
      </c>
      <c r="M43" s="1896">
        <f>'[90]Total POS'!$C$14</f>
        <v>66755</v>
      </c>
      <c r="N43" s="1979"/>
      <c r="O43" s="1979"/>
    </row>
    <row r="44" spans="1:15">
      <c r="A44" s="1831"/>
      <c r="B44" s="1832"/>
      <c r="C44" s="1832"/>
      <c r="D44" s="1832"/>
      <c r="E44" s="1832"/>
      <c r="F44" s="1832"/>
      <c r="G44" s="1832"/>
      <c r="H44" s="1832"/>
      <c r="I44" s="1832"/>
      <c r="J44" s="1832"/>
      <c r="K44" s="1832"/>
      <c r="L44" s="1832"/>
      <c r="M44" s="1832"/>
    </row>
    <row r="45" spans="1:15">
      <c r="A45" s="1622"/>
      <c r="B45" s="1621"/>
      <c r="C45" s="1621"/>
      <c r="D45" s="1621"/>
      <c r="E45" s="1621"/>
      <c r="F45" s="1621"/>
      <c r="G45" s="1621"/>
      <c r="H45" s="1621"/>
      <c r="I45" s="1621"/>
      <c r="J45" s="1621"/>
      <c r="K45" s="1621"/>
      <c r="L45" s="1621"/>
      <c r="M45" s="1621"/>
    </row>
    <row r="46" spans="1:15">
      <c r="A46" s="1622"/>
      <c r="B46" s="1621"/>
      <c r="C46" s="1621"/>
      <c r="D46" s="1621"/>
      <c r="E46" s="1621"/>
      <c r="F46" s="1621"/>
      <c r="G46" s="1621"/>
      <c r="H46" s="1621"/>
      <c r="I46" s="1621"/>
      <c r="J46" s="1621"/>
      <c r="K46" s="1621"/>
      <c r="L46" s="1621"/>
      <c r="M46" s="1621"/>
    </row>
    <row r="47" spans="1:15">
      <c r="A47" s="2720" t="s">
        <v>1324</v>
      </c>
      <c r="B47" s="2720"/>
      <c r="C47" s="2720"/>
      <c r="D47" s="2720"/>
      <c r="E47" s="2720"/>
      <c r="F47" s="2720"/>
      <c r="G47" s="2720"/>
      <c r="H47" s="2720"/>
      <c r="I47" s="2720"/>
      <c r="J47" s="2720"/>
      <c r="K47" s="2720"/>
      <c r="L47" s="2720"/>
      <c r="M47" s="2720"/>
    </row>
    <row r="51" spans="9:13">
      <c r="I51" s="1830"/>
      <c r="J51" s="1830"/>
      <c r="K51" s="1830"/>
      <c r="L51" s="1830"/>
      <c r="M51" s="1830"/>
    </row>
  </sheetData>
  <mergeCells count="9">
    <mergeCell ref="A12:B12"/>
    <mergeCell ref="A47:M47"/>
    <mergeCell ref="A8:B11"/>
    <mergeCell ref="M8:M11"/>
    <mergeCell ref="C8:F8"/>
    <mergeCell ref="C9:F9"/>
    <mergeCell ref="G8:J8"/>
    <mergeCell ref="G9:J9"/>
    <mergeCell ref="K9:L9"/>
  </mergeCells>
  <printOptions horizontalCentered="1"/>
  <pageMargins left="0.7" right="0.7" top="0.75" bottom="0.75" header="0.3" footer="0.3"/>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4">
    <tabColor theme="9" tint="-0.249977111117893"/>
    <pageSetUpPr fitToPage="1"/>
  </sheetPr>
  <dimension ref="A1:Q41"/>
  <sheetViews>
    <sheetView topLeftCell="D27" zoomScale="70" zoomScaleNormal="70" workbookViewId="0">
      <selection activeCell="N30" sqref="N30"/>
    </sheetView>
  </sheetViews>
  <sheetFormatPr defaultColWidth="18.26953125" defaultRowHeight="15.5"/>
  <cols>
    <col min="1" max="1" width="6.1796875" style="1946" customWidth="1"/>
    <col min="2" max="2" width="45.81640625" style="1925" customWidth="1"/>
    <col min="3" max="3" width="15" style="1925" bestFit="1" customWidth="1"/>
    <col min="4" max="4" width="15.453125" style="1925" bestFit="1" customWidth="1"/>
    <col min="5" max="5" width="14.7265625" style="1925" customWidth="1"/>
    <col min="6" max="6" width="15.453125" style="1925" customWidth="1"/>
    <col min="7" max="7" width="14.7265625" style="1925" customWidth="1"/>
    <col min="8" max="8" width="15.453125" style="1925" customWidth="1"/>
    <col min="9" max="9" width="14.7265625" style="1925" customWidth="1"/>
    <col min="10" max="10" width="15.453125" style="1925" customWidth="1"/>
    <col min="11" max="11" width="14.7265625" style="1925" customWidth="1"/>
    <col min="12" max="12" width="15.453125" style="1925" customWidth="1"/>
    <col min="13" max="13" width="14.7265625" style="1925" customWidth="1"/>
    <col min="14" max="14" width="15.453125" style="1925" customWidth="1"/>
    <col min="15" max="15" width="46.7265625" style="1925" customWidth="1"/>
    <col min="16" max="16" width="18.26953125" style="1925"/>
    <col min="17" max="17" width="0" style="1925" hidden="1" customWidth="1"/>
    <col min="18" max="16384" width="18.26953125" style="1925"/>
  </cols>
  <sheetData>
    <row r="1" spans="1:17" ht="18" customHeight="1">
      <c r="A1" s="1838" t="s">
        <v>1325</v>
      </c>
      <c r="B1" s="1635"/>
      <c r="C1" s="1635"/>
      <c r="D1" s="1635"/>
      <c r="E1" s="1635"/>
      <c r="F1" s="1635"/>
      <c r="G1" s="1635"/>
      <c r="H1" s="1635"/>
      <c r="I1" s="1635"/>
      <c r="J1" s="1635"/>
      <c r="K1" s="1635"/>
      <c r="L1" s="1635"/>
      <c r="M1" s="1635"/>
      <c r="N1" s="1635"/>
      <c r="O1" s="1635"/>
    </row>
    <row r="2" spans="1:17" ht="18" customHeight="1">
      <c r="A2" s="1838" t="s">
        <v>1326</v>
      </c>
      <c r="B2" s="1926"/>
      <c r="C2" s="1926"/>
      <c r="D2" s="1926"/>
      <c r="E2" s="1926"/>
      <c r="F2" s="1926"/>
      <c r="G2" s="1926"/>
      <c r="H2" s="1926"/>
      <c r="I2" s="1926"/>
      <c r="J2" s="1926"/>
      <c r="K2" s="1926"/>
      <c r="L2" s="1926"/>
      <c r="M2" s="1926"/>
      <c r="N2" s="1926"/>
      <c r="O2" s="1926"/>
    </row>
    <row r="3" spans="1:17" ht="18">
      <c r="A3" s="1838" t="s">
        <v>1327</v>
      </c>
      <c r="B3" s="1635"/>
      <c r="C3" s="1635"/>
      <c r="D3" s="1635"/>
      <c r="E3" s="1635"/>
      <c r="F3" s="1635"/>
      <c r="G3" s="1635"/>
      <c r="H3" s="1635"/>
      <c r="I3" s="1635"/>
      <c r="J3" s="1635"/>
      <c r="K3" s="1635"/>
      <c r="L3" s="1635"/>
      <c r="M3" s="1635"/>
      <c r="N3" s="1635"/>
      <c r="O3" s="1635"/>
    </row>
    <row r="4" spans="1:17" ht="4.5" customHeight="1">
      <c r="A4" s="1635"/>
      <c r="B4" s="1635"/>
      <c r="C4" s="2142"/>
      <c r="D4" s="2142"/>
      <c r="E4" s="2142"/>
      <c r="F4" s="2142"/>
      <c r="G4" s="2142"/>
      <c r="H4" s="2142"/>
      <c r="I4" s="2142"/>
      <c r="J4" s="2142"/>
      <c r="K4" s="2142"/>
      <c r="L4" s="2142"/>
      <c r="M4" s="2142"/>
      <c r="N4" s="2142"/>
      <c r="O4" s="1635"/>
    </row>
    <row r="5" spans="1:17" ht="15.75" hidden="1" customHeight="1">
      <c r="A5" s="1635"/>
      <c r="B5" s="1635"/>
      <c r="C5" s="2142"/>
      <c r="D5" s="2142"/>
      <c r="E5" s="2142"/>
      <c r="F5" s="2142"/>
      <c r="G5" s="2142"/>
      <c r="H5" s="2142"/>
      <c r="I5" s="2142"/>
      <c r="J5" s="2142"/>
      <c r="K5" s="2142"/>
      <c r="L5" s="2142"/>
      <c r="M5" s="2142"/>
      <c r="N5" s="2142"/>
      <c r="O5" s="1635"/>
    </row>
    <row r="6" spans="1:17" ht="15.75" hidden="1" customHeight="1">
      <c r="A6" s="1635"/>
      <c r="B6" s="1635"/>
      <c r="C6" s="2142"/>
      <c r="D6" s="2142"/>
      <c r="E6" s="2142"/>
      <c r="F6" s="2142"/>
      <c r="G6" s="2142"/>
      <c r="H6" s="2142"/>
      <c r="I6" s="2142"/>
      <c r="J6" s="2142"/>
      <c r="K6" s="2142"/>
      <c r="L6" s="2142"/>
      <c r="M6" s="2142"/>
      <c r="N6" s="2142"/>
      <c r="O6" s="1635"/>
    </row>
    <row r="7" spans="1:17" ht="15.75" hidden="1" customHeight="1">
      <c r="A7" s="1635"/>
      <c r="B7" s="1635"/>
      <c r="C7" s="2142"/>
      <c r="D7" s="2142"/>
      <c r="E7" s="2142"/>
      <c r="F7" s="2142"/>
      <c r="G7" s="2142"/>
      <c r="H7" s="2142"/>
      <c r="I7" s="2142"/>
      <c r="J7" s="2142"/>
      <c r="K7" s="2142"/>
      <c r="L7" s="2142"/>
      <c r="M7" s="2142"/>
      <c r="N7" s="2142"/>
      <c r="O7" s="1635"/>
    </row>
    <row r="8" spans="1:17">
      <c r="A8" s="1927" t="s">
        <v>1328</v>
      </c>
      <c r="D8" s="1927"/>
      <c r="E8" s="1927"/>
      <c r="F8" s="1927"/>
      <c r="G8" s="1927"/>
      <c r="H8" s="1927"/>
      <c r="I8" s="1927"/>
      <c r="J8" s="1927"/>
      <c r="K8" s="1927"/>
      <c r="L8" s="1927"/>
      <c r="M8" s="1927"/>
      <c r="N8" s="1927"/>
      <c r="O8" s="1927" t="s">
        <v>1329</v>
      </c>
    </row>
    <row r="9" spans="1:17" s="1929" customFormat="1" ht="20.25" customHeight="1">
      <c r="A9" s="2703"/>
      <c r="B9" s="2703" t="s">
        <v>903</v>
      </c>
      <c r="C9" s="1928">
        <v>2025</v>
      </c>
      <c r="D9" s="1928"/>
      <c r="E9" s="1928">
        <v>2026</v>
      </c>
      <c r="F9" s="1928"/>
      <c r="G9" s="1928"/>
      <c r="H9" s="1928"/>
      <c r="I9" s="1928"/>
      <c r="J9" s="1928"/>
      <c r="K9" s="1928"/>
      <c r="L9" s="1928"/>
      <c r="M9" s="1928"/>
      <c r="N9" s="1928"/>
      <c r="O9" s="2703" t="s">
        <v>904</v>
      </c>
    </row>
    <row r="10" spans="1:17" s="1929" customFormat="1" ht="20.25" customHeight="1">
      <c r="A10" s="2721"/>
      <c r="B10" s="2721"/>
      <c r="C10" s="2728" t="s">
        <v>1731</v>
      </c>
      <c r="D10" s="2729"/>
      <c r="E10" s="2728" t="s">
        <v>1742</v>
      </c>
      <c r="F10" s="2729"/>
      <c r="G10" s="2728" t="s">
        <v>1744</v>
      </c>
      <c r="H10" s="2729"/>
      <c r="I10" s="2728" t="s">
        <v>1765</v>
      </c>
      <c r="J10" s="2729"/>
      <c r="K10" s="2728" t="s">
        <v>1784</v>
      </c>
      <c r="L10" s="2729"/>
      <c r="M10" s="2728" t="s">
        <v>427</v>
      </c>
      <c r="N10" s="2729"/>
      <c r="O10" s="2721"/>
    </row>
    <row r="11" spans="1:17" s="1929" customFormat="1">
      <c r="A11" s="2721"/>
      <c r="B11" s="2721"/>
      <c r="C11" s="2008" t="s">
        <v>1311</v>
      </c>
      <c r="D11" s="2008" t="s">
        <v>1275</v>
      </c>
      <c r="E11" s="2008" t="s">
        <v>1311</v>
      </c>
      <c r="F11" s="2008" t="s">
        <v>1275</v>
      </c>
      <c r="G11" s="2008" t="s">
        <v>1311</v>
      </c>
      <c r="H11" s="2008" t="s">
        <v>1275</v>
      </c>
      <c r="I11" s="2008" t="s">
        <v>1311</v>
      </c>
      <c r="J11" s="2008" t="s">
        <v>1275</v>
      </c>
      <c r="K11" s="2008" t="s">
        <v>1311</v>
      </c>
      <c r="L11" s="2008" t="s">
        <v>1275</v>
      </c>
      <c r="M11" s="2008" t="s">
        <v>1311</v>
      </c>
      <c r="N11" s="2008" t="s">
        <v>1275</v>
      </c>
      <c r="O11" s="2721"/>
    </row>
    <row r="12" spans="1:17" s="1930" customFormat="1">
      <c r="A12" s="2712"/>
      <c r="B12" s="2712"/>
      <c r="C12" s="2009" t="s">
        <v>1330</v>
      </c>
      <c r="D12" s="2009" t="s">
        <v>1277</v>
      </c>
      <c r="E12" s="2009" t="s">
        <v>1330</v>
      </c>
      <c r="F12" s="2009" t="s">
        <v>1277</v>
      </c>
      <c r="G12" s="2009" t="s">
        <v>1330</v>
      </c>
      <c r="H12" s="2009" t="s">
        <v>1277</v>
      </c>
      <c r="I12" s="2009" t="s">
        <v>1330</v>
      </c>
      <c r="J12" s="2009" t="s">
        <v>1277</v>
      </c>
      <c r="K12" s="2009" t="s">
        <v>1330</v>
      </c>
      <c r="L12" s="2009" t="s">
        <v>1277</v>
      </c>
      <c r="M12" s="2009" t="s">
        <v>1330</v>
      </c>
      <c r="N12" s="2009" t="s">
        <v>1277</v>
      </c>
      <c r="O12" s="2712"/>
    </row>
    <row r="13" spans="1:17" ht="31.5" customHeight="1">
      <c r="A13" s="2010">
        <v>1</v>
      </c>
      <c r="B13" s="1931" t="s">
        <v>938</v>
      </c>
      <c r="C13" s="1932">
        <f>'[85]POS by sector'!$G$10</f>
        <v>12220</v>
      </c>
      <c r="D13" s="1932">
        <f>'[85]POS by sector'!$H$10</f>
        <v>3393221.8830000004</v>
      </c>
      <c r="E13" s="1932">
        <f>'[86]POS by sector'!$G$10</f>
        <v>15324</v>
      </c>
      <c r="F13" s="2451">
        <f>'[86]POS by sector'!$H$10-0.1</f>
        <v>5988663.4820000008</v>
      </c>
      <c r="G13" s="1932">
        <f>'[87]POS by sector'!$G$10</f>
        <v>15222</v>
      </c>
      <c r="H13" s="2298">
        <f>'[87]POS by sector'!$H$10</f>
        <v>4936679.4210000001</v>
      </c>
      <c r="I13" s="1932">
        <f>'[88]POS by sector'!$G$10</f>
        <v>7062</v>
      </c>
      <c r="J13" s="2298">
        <f>'[88]POS by sector'!$H$10</f>
        <v>2096584.6159999999</v>
      </c>
      <c r="K13" s="1932">
        <f>'[89]POS by sector'!$G$10</f>
        <v>12329</v>
      </c>
      <c r="L13" s="2298">
        <f>'[89]POS by sector'!$H$10</f>
        <v>4839353.852</v>
      </c>
      <c r="M13" s="1932">
        <f>'[90]POS by sector'!$G$10</f>
        <v>15247</v>
      </c>
      <c r="N13" s="2298">
        <f>'[90]POS by sector'!$H$10</f>
        <v>3898252.1060000001</v>
      </c>
      <c r="O13" s="1933" t="s">
        <v>939</v>
      </c>
      <c r="Q13" s="2308" t="e">
        <f>ROUND(#REF!,0)</f>
        <v>#REF!</v>
      </c>
    </row>
    <row r="14" spans="1:17" ht="43.5" customHeight="1">
      <c r="A14" s="2010">
        <v>2</v>
      </c>
      <c r="B14" s="1934" t="s">
        <v>1331</v>
      </c>
      <c r="C14" s="1932">
        <f>'[85]POS by sector'!$G$11</f>
        <v>14535</v>
      </c>
      <c r="D14" s="2298">
        <f>'[85]POS by sector'!$H$11</f>
        <v>1772306.3890000002</v>
      </c>
      <c r="E14" s="1932">
        <f>'[86]POS by sector'!$G$11</f>
        <v>11041</v>
      </c>
      <c r="F14" s="2298">
        <f>'[86]POS by sector'!$H$11</f>
        <v>1826842.9579999999</v>
      </c>
      <c r="G14" s="1932">
        <f>'[87]POS by sector'!$G$11</f>
        <v>11346</v>
      </c>
      <c r="H14" s="2298">
        <f>'[87]POS by sector'!$H$11</f>
        <v>1312723.0189999999</v>
      </c>
      <c r="I14" s="1932">
        <f>'[88]POS by sector'!$G$11</f>
        <v>7084</v>
      </c>
      <c r="J14" s="2298">
        <f>'[88]POS by sector'!$H$11</f>
        <v>776465.44799999986</v>
      </c>
      <c r="K14" s="1932">
        <f>'[89]POS by sector'!$G$11</f>
        <v>10340</v>
      </c>
      <c r="L14" s="2298">
        <f>'[89]POS by sector'!$H$11</f>
        <v>845907.52800000005</v>
      </c>
      <c r="M14" s="1932">
        <f>'[90]POS by sector'!$G$11</f>
        <v>16002</v>
      </c>
      <c r="N14" s="2298">
        <f>'[90]POS by sector'!$H$11</f>
        <v>1152381.8859999999</v>
      </c>
      <c r="O14" s="1935" t="s">
        <v>1332</v>
      </c>
      <c r="Q14" s="2308" t="e">
        <f>ROUND(#REF!,0)</f>
        <v>#REF!</v>
      </c>
    </row>
    <row r="15" spans="1:17" ht="31.5" customHeight="1">
      <c r="A15" s="2010">
        <v>3</v>
      </c>
      <c r="B15" s="1934" t="s">
        <v>1333</v>
      </c>
      <c r="C15" s="1932">
        <f>'[85]POS by sector'!$G$12</f>
        <v>1614067</v>
      </c>
      <c r="D15" s="1932">
        <f>'[85]POS by sector'!$H$12</f>
        <v>10997158.595000001</v>
      </c>
      <c r="E15" s="1932">
        <f>'[86]POS by sector'!$G$12</f>
        <v>1230479</v>
      </c>
      <c r="F15" s="1932">
        <f>'[86]POS by sector'!$H$12</f>
        <v>8758523.6090000011</v>
      </c>
      <c r="G15" s="1932">
        <f>'[87]POS by sector'!$G$12</f>
        <v>1228700</v>
      </c>
      <c r="H15" s="1932">
        <f>'[87]POS by sector'!$H$12</f>
        <v>8273652.8689999999</v>
      </c>
      <c r="I15" s="1932">
        <f>'[88]POS by sector'!$G$12</f>
        <v>1181672</v>
      </c>
      <c r="J15" s="1932">
        <f>'[88]POS by sector'!$H$12</f>
        <v>8180632.0160000008</v>
      </c>
      <c r="K15" s="1932">
        <f>'[89]POS by sector'!$G$12</f>
        <v>1475435</v>
      </c>
      <c r="L15" s="1932">
        <f>'[89]POS by sector'!$H$12</f>
        <v>9586451.1559999995</v>
      </c>
      <c r="M15" s="1932">
        <f>'[90]POS by sector'!$G$12</f>
        <v>1674827</v>
      </c>
      <c r="N15" s="1932">
        <f>'[90]POS by sector'!$H$12</f>
        <v>11747818.969999999</v>
      </c>
      <c r="O15" s="1935" t="s">
        <v>1334</v>
      </c>
      <c r="Q15" s="2308" t="e">
        <f>ROUND(#REF!,0)</f>
        <v>#REF!</v>
      </c>
    </row>
    <row r="16" spans="1:17" ht="31.5" customHeight="1">
      <c r="A16" s="2010">
        <v>4</v>
      </c>
      <c r="B16" s="1934" t="s">
        <v>1335</v>
      </c>
      <c r="C16" s="1932">
        <f>'[85]POS by sector'!$G$13</f>
        <v>252910</v>
      </c>
      <c r="D16" s="1932">
        <f>'[85]POS by sector'!$H$13</f>
        <v>5728724.4279999994</v>
      </c>
      <c r="E16" s="1932">
        <f>'[86]POS by sector'!$G$13</f>
        <v>168943</v>
      </c>
      <c r="F16" s="1932">
        <f>'[86]POS by sector'!$H$13</f>
        <v>4179352.1629999997</v>
      </c>
      <c r="G16" s="1932">
        <f>'[87]POS by sector'!$G$13</f>
        <v>233323</v>
      </c>
      <c r="H16" s="1932">
        <f>'[87]POS by sector'!$H$13</f>
        <v>5278834.0540000005</v>
      </c>
      <c r="I16" s="1932">
        <f>'[88]POS by sector'!$G$13</f>
        <v>210123</v>
      </c>
      <c r="J16" s="1932">
        <f>'[88]POS by sector'!$H$13</f>
        <v>4753512.5739999991</v>
      </c>
      <c r="K16" s="1932">
        <f>'[89]POS by sector'!$G$13</f>
        <v>230979</v>
      </c>
      <c r="L16" s="2451">
        <f>'[89]POS by sector'!$H$13+1</f>
        <v>5912483.4400000004</v>
      </c>
      <c r="M16" s="1932">
        <f>'[90]POS by sector'!$G$13</f>
        <v>242644</v>
      </c>
      <c r="N16" s="2298">
        <f>'[90]POS by sector'!$H$13</f>
        <v>5790702.7270000009</v>
      </c>
      <c r="O16" s="1935" t="s">
        <v>1336</v>
      </c>
      <c r="Q16" s="2308" t="e">
        <f>ROUND(#REF!,0)</f>
        <v>#REF!</v>
      </c>
    </row>
    <row r="17" spans="1:17" ht="31.5" customHeight="1">
      <c r="A17" s="2010">
        <v>5</v>
      </c>
      <c r="B17" s="1934" t="s">
        <v>1337</v>
      </c>
      <c r="C17" s="1932">
        <f>'[85]POS by sector'!$G$14</f>
        <v>284694</v>
      </c>
      <c r="D17" s="1932">
        <f>'[85]POS by sector'!$H$14</f>
        <v>87808297.050000012</v>
      </c>
      <c r="E17" s="1932">
        <f>'[86]POS by sector'!$G$14</f>
        <v>281005</v>
      </c>
      <c r="F17" s="1932">
        <f>'[86]POS by sector'!$H$14</f>
        <v>94060412.123999983</v>
      </c>
      <c r="G17" s="1932">
        <f>'[87]POS by sector'!$G$14</f>
        <v>270833</v>
      </c>
      <c r="H17" s="1932">
        <f>'[87]POS by sector'!$H$14</f>
        <v>88793454.766000003</v>
      </c>
      <c r="I17" s="1932">
        <f>'[88]POS by sector'!$G$14</f>
        <v>170523</v>
      </c>
      <c r="J17" s="1932">
        <f>'[88]POS by sector'!$H$14</f>
        <v>54630707.741999999</v>
      </c>
      <c r="K17" s="1932">
        <f>'[89]POS by sector'!$G$14</f>
        <v>251802</v>
      </c>
      <c r="L17" s="1932">
        <f>'[89]POS by sector'!$H$14</f>
        <v>70036967.928000003</v>
      </c>
      <c r="M17" s="1932">
        <f>'[90]POS by sector'!$G$14</f>
        <v>244631</v>
      </c>
      <c r="N17" s="1932">
        <f>'[90]POS by sector'!$H$14</f>
        <v>78964948.279999986</v>
      </c>
      <c r="O17" s="1935" t="s">
        <v>1338</v>
      </c>
      <c r="Q17" s="2308" t="e">
        <f>ROUND(#REF!,0)</f>
        <v>#REF!</v>
      </c>
    </row>
    <row r="18" spans="1:17" ht="46.5">
      <c r="A18" s="2010">
        <v>6</v>
      </c>
      <c r="B18" s="1934" t="s">
        <v>1339</v>
      </c>
      <c r="C18" s="1932">
        <f>'[85]POS by sector'!$G$15</f>
        <v>67603</v>
      </c>
      <c r="D18" s="2298">
        <f>'[85]POS by sector'!$H$15</f>
        <v>4147003.2549999999</v>
      </c>
      <c r="E18" s="1932">
        <f>'[86]POS by sector'!$G$15</f>
        <v>36489</v>
      </c>
      <c r="F18" s="2298">
        <f>'[86]POS by sector'!$H$15</f>
        <v>2892312.2549999999</v>
      </c>
      <c r="G18" s="1932">
        <f>'[87]POS by sector'!$G$15</f>
        <v>57010</v>
      </c>
      <c r="H18" s="2298">
        <f>'[87]POS by sector'!$H$15</f>
        <v>3450358.3309999998</v>
      </c>
      <c r="I18" s="1932">
        <f>'[88]POS by sector'!$G$15</f>
        <v>52339</v>
      </c>
      <c r="J18" s="2298">
        <f>'[88]POS by sector'!$H$15</f>
        <v>3397489.0160000003</v>
      </c>
      <c r="K18" s="1932">
        <f>'[89]POS by sector'!$G$15</f>
        <v>59887</v>
      </c>
      <c r="L18" s="2298">
        <f>'[89]POS by sector'!$H$15</f>
        <v>3949310.0869999998</v>
      </c>
      <c r="M18" s="1932">
        <f>'[90]POS by sector'!$G$15</f>
        <v>61215</v>
      </c>
      <c r="N18" s="2298">
        <f>'[90]POS by sector'!$H$15</f>
        <v>3410570.2919999999</v>
      </c>
      <c r="O18" s="1936" t="s">
        <v>1340</v>
      </c>
      <c r="Q18" s="2308" t="e">
        <f>ROUND(#REF!,0)</f>
        <v>#REF!</v>
      </c>
    </row>
    <row r="19" spans="1:17" ht="31.5" customHeight="1">
      <c r="A19" s="2010">
        <v>7</v>
      </c>
      <c r="B19" s="1934" t="s">
        <v>1341</v>
      </c>
      <c r="C19" s="1932">
        <f>'[85]POS by sector'!$G$16</f>
        <v>1360765</v>
      </c>
      <c r="D19" s="2298">
        <f>'[85]POS by sector'!$H$16</f>
        <v>14590291.872</v>
      </c>
      <c r="E19" s="1932">
        <f>'[86]POS by sector'!$G$16</f>
        <v>1091532</v>
      </c>
      <c r="F19" s="2298">
        <f>'[86]POS by sector'!$H$16</f>
        <v>12695627.238000002</v>
      </c>
      <c r="G19" s="1932">
        <f>'[87]POS by sector'!$G$16</f>
        <v>1337183</v>
      </c>
      <c r="H19" s="2298">
        <f>'[87]POS by sector'!$H$16</f>
        <v>15291860.943</v>
      </c>
      <c r="I19" s="1932">
        <f>'[88]POS by sector'!$G$16</f>
        <v>1345180</v>
      </c>
      <c r="J19" s="2298">
        <f>'[88]POS by sector'!$H$16</f>
        <v>16702013.827000001</v>
      </c>
      <c r="K19" s="1932">
        <f>'[89]POS by sector'!$G$16</f>
        <v>1310485</v>
      </c>
      <c r="L19" s="2298">
        <f>'[89]POS by sector'!$H$16</f>
        <v>14092060.911</v>
      </c>
      <c r="M19" s="1932">
        <f>'[90]POS by sector'!$G$16</f>
        <v>1426387</v>
      </c>
      <c r="N19" s="2298">
        <f>'[90]POS by sector'!$H$16</f>
        <v>15165113.005000001</v>
      </c>
      <c r="O19" s="1935" t="s">
        <v>1342</v>
      </c>
      <c r="Q19" s="2308" t="e">
        <f>ROUND(#REF!,0)</f>
        <v>#REF!</v>
      </c>
    </row>
    <row r="20" spans="1:17" ht="31.5" customHeight="1">
      <c r="A20" s="2010">
        <v>8</v>
      </c>
      <c r="B20" s="1934" t="s">
        <v>1343</v>
      </c>
      <c r="C20" s="1932">
        <f>'[85]POS by sector'!$G$17</f>
        <v>10819</v>
      </c>
      <c r="D20" s="1932">
        <f>'[85]POS by sector'!$H$17</f>
        <v>4676517.5690000001</v>
      </c>
      <c r="E20" s="1932">
        <f>'[86]POS by sector'!$G$17</f>
        <v>9501</v>
      </c>
      <c r="F20" s="1932">
        <f>'[86]POS by sector'!$H$17</f>
        <v>4758782.1830000002</v>
      </c>
      <c r="G20" s="1932">
        <f>'[87]POS by sector'!$G$17</f>
        <v>9250</v>
      </c>
      <c r="H20" s="2451">
        <f>'[87]POS by sector'!$H$17+0.1</f>
        <v>4984831.5640000002</v>
      </c>
      <c r="I20" s="1932">
        <f>'[88]POS by sector'!$G$17</f>
        <v>9249</v>
      </c>
      <c r="J20" s="2298">
        <f>'[88]POS by sector'!$H$17</f>
        <v>4396131.1950000003</v>
      </c>
      <c r="K20" s="1932">
        <f>'[89]POS by sector'!$G$17</f>
        <v>9317</v>
      </c>
      <c r="L20" s="2298">
        <f>'[89]POS by sector'!$H$17</f>
        <v>4489147.0649999995</v>
      </c>
      <c r="M20" s="1932">
        <f>'[90]POS by sector'!$G$17</f>
        <v>11257</v>
      </c>
      <c r="N20" s="2298">
        <f>'[90]POS by sector'!$H$17</f>
        <v>6855650.3219999997</v>
      </c>
      <c r="O20" s="1935" t="s">
        <v>1344</v>
      </c>
      <c r="Q20" s="2308" t="e">
        <f>ROUND(#REF!,0)</f>
        <v>#REF!</v>
      </c>
    </row>
    <row r="21" spans="1:17" ht="31.5" customHeight="1">
      <c r="A21" s="2010">
        <v>9</v>
      </c>
      <c r="B21" s="1934" t="s">
        <v>1345</v>
      </c>
      <c r="C21" s="1932">
        <f>'[85]POS by sector'!$G$18</f>
        <v>172022</v>
      </c>
      <c r="D21" s="1932">
        <f>'[85]POS by sector'!$H$18</f>
        <v>3928792.298</v>
      </c>
      <c r="E21" s="1932">
        <f>'[86]POS by sector'!$G$18</f>
        <v>125803</v>
      </c>
      <c r="F21" s="1932">
        <f>'[86]POS by sector'!$H$18</f>
        <v>2935348.7159999995</v>
      </c>
      <c r="G21" s="1932">
        <f>'[87]POS by sector'!$G$18</f>
        <v>138127</v>
      </c>
      <c r="H21" s="1932">
        <f>'[87]POS by sector'!$H$18</f>
        <v>3090478.8779999996</v>
      </c>
      <c r="I21" s="1932">
        <f>'[88]POS by sector'!$G$18</f>
        <v>114449</v>
      </c>
      <c r="J21" s="1932">
        <f>'[88]POS by sector'!$H$18</f>
        <v>2495668.5460000001</v>
      </c>
      <c r="K21" s="1932">
        <f>'[89]POS by sector'!$G$18</f>
        <v>122199</v>
      </c>
      <c r="L21" s="1932">
        <f>'[89]POS by sector'!$H$18</f>
        <v>2765946.3089999999</v>
      </c>
      <c r="M21" s="1932">
        <f>'[90]POS by sector'!$G$18</f>
        <v>154333</v>
      </c>
      <c r="N21" s="1932">
        <f>'[90]POS by sector'!$H$18</f>
        <v>3472792.1359999999</v>
      </c>
      <c r="O21" s="1935" t="s">
        <v>1346</v>
      </c>
      <c r="Q21" s="2308" t="e">
        <f>ROUND(#REF!,0)</f>
        <v>#REF!</v>
      </c>
    </row>
    <row r="22" spans="1:17" ht="31.5" customHeight="1">
      <c r="A22" s="2010">
        <v>10</v>
      </c>
      <c r="B22" s="1934" t="s">
        <v>1347</v>
      </c>
      <c r="C22" s="1932">
        <f>'[85]POS by sector'!$G$19</f>
        <v>199768</v>
      </c>
      <c r="D22" s="2298">
        <f>'[85]POS by sector'!$H$19</f>
        <v>5448923.8620000007</v>
      </c>
      <c r="E22" s="1932">
        <f>'[86]POS by sector'!$G$19</f>
        <v>149504</v>
      </c>
      <c r="F22" s="2298">
        <f>'[86]POS by sector'!$H$19</f>
        <v>3966390.8420000002</v>
      </c>
      <c r="G22" s="1932">
        <f>'[87]POS by sector'!$G$19</f>
        <v>128104</v>
      </c>
      <c r="H22" s="2298">
        <f>'[87]POS by sector'!$H$19</f>
        <v>3686811.3350000004</v>
      </c>
      <c r="I22" s="1932">
        <f>'[88]POS by sector'!$G$19</f>
        <v>162214</v>
      </c>
      <c r="J22" s="2298">
        <f>'[88]POS by sector'!$H$19</f>
        <v>4326129.7280000001</v>
      </c>
      <c r="K22" s="1932">
        <f>'[89]POS by sector'!$G$19</f>
        <v>140899</v>
      </c>
      <c r="L22" s="2298">
        <f>'[89]POS by sector'!$H$19</f>
        <v>3820575.9699999997</v>
      </c>
      <c r="M22" s="1932">
        <f>'[90]POS by sector'!$G$19</f>
        <v>204149</v>
      </c>
      <c r="N22" s="2298">
        <f>'[90]POS by sector'!$H$19</f>
        <v>5671332.2919999994</v>
      </c>
      <c r="O22" s="1935" t="s">
        <v>1348</v>
      </c>
      <c r="Q22" s="2308" t="e">
        <f>ROUND(#REF!,0)</f>
        <v>#REF!</v>
      </c>
    </row>
    <row r="23" spans="1:17" ht="31.5" customHeight="1">
      <c r="A23" s="2010">
        <v>11</v>
      </c>
      <c r="B23" s="1934" t="s">
        <v>1349</v>
      </c>
      <c r="C23" s="1932">
        <f>'[85]POS by sector'!$G$20</f>
        <v>54958</v>
      </c>
      <c r="D23" s="2298">
        <f>'[85]POS by sector'!$H$20</f>
        <v>3700031.5719999997</v>
      </c>
      <c r="E23" s="1932">
        <f>'[86]POS by sector'!$G$20</f>
        <v>32473</v>
      </c>
      <c r="F23" s="2298">
        <f>'[86]POS by sector'!$H$20</f>
        <v>2028308.1</v>
      </c>
      <c r="G23" s="1932">
        <f>'[87]POS by sector'!$G$20</f>
        <v>41982</v>
      </c>
      <c r="H23" s="2298">
        <f>'[87]POS by sector'!$H$20</f>
        <v>3007159.3260000004</v>
      </c>
      <c r="I23" s="1932">
        <f>'[88]POS by sector'!$G$20</f>
        <v>45181</v>
      </c>
      <c r="J23" s="2298">
        <f>'[88]POS by sector'!$H$20</f>
        <v>3146700.341</v>
      </c>
      <c r="K23" s="1932">
        <f>'[89]POS by sector'!$G$20</f>
        <v>46066</v>
      </c>
      <c r="L23" s="2298">
        <f>'[89]POS by sector'!$H$20</f>
        <v>3824032.2980000004</v>
      </c>
      <c r="M23" s="1932">
        <f>'[90]POS by sector'!$G$20</f>
        <v>46283</v>
      </c>
      <c r="N23" s="2298">
        <f>'[90]POS by sector'!$H$20</f>
        <v>3650765.8189999997</v>
      </c>
      <c r="O23" s="1935" t="s">
        <v>1350</v>
      </c>
      <c r="Q23" s="2308" t="e">
        <f>ROUND(#REF!,0)</f>
        <v>#REF!</v>
      </c>
    </row>
    <row r="24" spans="1:17" ht="30" customHeight="1">
      <c r="A24" s="2010">
        <v>12</v>
      </c>
      <c r="B24" s="1934" t="s">
        <v>1351</v>
      </c>
      <c r="C24" s="1932">
        <f>'[85]POS by sector'!$G$21</f>
        <v>44296</v>
      </c>
      <c r="D24" s="2298">
        <f>'[85]POS by sector'!$H$21</f>
        <v>3387509.9169999999</v>
      </c>
      <c r="E24" s="1932">
        <f>'[86]POS by sector'!$G$21</f>
        <v>33206</v>
      </c>
      <c r="F24" s="2298">
        <f>'[86]POS by sector'!$H$21</f>
        <v>2320886.5109999999</v>
      </c>
      <c r="G24" s="1932">
        <f>'[87]POS by sector'!$G$21</f>
        <v>37623</v>
      </c>
      <c r="H24" s="2298">
        <f>'[87]POS by sector'!$H$21</f>
        <v>2725438.8589999997</v>
      </c>
      <c r="I24" s="1932">
        <f>'[88]POS by sector'!$G$21</f>
        <v>33541</v>
      </c>
      <c r="J24" s="2298">
        <f>'[88]POS by sector'!$H$21</f>
        <v>2900915.2259999993</v>
      </c>
      <c r="K24" s="1932">
        <f>'[89]POS by sector'!$G$21</f>
        <v>41963</v>
      </c>
      <c r="L24" s="2298">
        <f>'[89]POS by sector'!$H$21</f>
        <v>3299203.2739999997</v>
      </c>
      <c r="M24" s="1932">
        <f>'[90]POS by sector'!$G$21</f>
        <v>46060</v>
      </c>
      <c r="N24" s="2298">
        <f>'[90]POS by sector'!$H$21</f>
        <v>3054555.0610000002</v>
      </c>
      <c r="O24" s="1935" t="s">
        <v>1352</v>
      </c>
      <c r="Q24" s="2308" t="e">
        <f>ROUND(#REF!,0)</f>
        <v>#REF!</v>
      </c>
    </row>
    <row r="25" spans="1:17" ht="31.5" customHeight="1">
      <c r="A25" s="2010">
        <v>13</v>
      </c>
      <c r="B25" s="1934" t="s">
        <v>1353</v>
      </c>
      <c r="C25" s="1932">
        <f>'[85]POS by sector'!$G$22</f>
        <v>223342</v>
      </c>
      <c r="D25" s="2298">
        <f>'[85]POS by sector'!$H$22</f>
        <v>6993189.4450000003</v>
      </c>
      <c r="E25" s="1932">
        <f>'[86]POS by sector'!$G$22</f>
        <v>182489</v>
      </c>
      <c r="F25" s="2298">
        <f>'[86]POS by sector'!$H$22</f>
        <v>5734751.5800000001</v>
      </c>
      <c r="G25" s="1932">
        <f>'[87]POS by sector'!$G$22</f>
        <v>197202</v>
      </c>
      <c r="H25" s="2298">
        <f>'[87]POS by sector'!$H$22</f>
        <v>5872458.0459999992</v>
      </c>
      <c r="I25" s="1932">
        <f>'[88]POS by sector'!$G$22</f>
        <v>220849</v>
      </c>
      <c r="J25" s="2298">
        <f>'[88]POS by sector'!$H$22</f>
        <v>6662882.0560000008</v>
      </c>
      <c r="K25" s="1932">
        <f>'[89]POS by sector'!$G$22</f>
        <v>206561</v>
      </c>
      <c r="L25" s="2298">
        <f>'[89]POS by sector'!$H$22</f>
        <v>6718203.5</v>
      </c>
      <c r="M25" s="1932">
        <f>'[90]POS by sector'!$G$22</f>
        <v>214538</v>
      </c>
      <c r="N25" s="2451">
        <f>'[90]POS by sector'!$H$22+0.1</f>
        <v>6840223.5719999988</v>
      </c>
      <c r="O25" s="1935" t="s">
        <v>1354</v>
      </c>
      <c r="Q25" s="2308" t="e">
        <f>ROUND(#REF!,0)</f>
        <v>#REF!</v>
      </c>
    </row>
    <row r="26" spans="1:17" ht="31.5" customHeight="1">
      <c r="A26" s="2010">
        <v>14</v>
      </c>
      <c r="B26" s="1934" t="s">
        <v>1355</v>
      </c>
      <c r="C26" s="1932">
        <f>'[85]POS by sector'!$G$23</f>
        <v>9191</v>
      </c>
      <c r="D26" s="2298">
        <f>'[85]POS by sector'!$H$23</f>
        <v>500981.962</v>
      </c>
      <c r="E26" s="1932">
        <f>'[86]POS by sector'!$G$23</f>
        <v>4697</v>
      </c>
      <c r="F26" s="2298">
        <f>'[86]POS by sector'!$H$23</f>
        <v>258719.21800000005</v>
      </c>
      <c r="G26" s="1932">
        <f>'[87]POS by sector'!$G$23</f>
        <v>6426</v>
      </c>
      <c r="H26" s="2298">
        <f>'[87]POS by sector'!$H$23</f>
        <v>431265.54300000001</v>
      </c>
      <c r="I26" s="1932">
        <f>'[88]POS by sector'!$G$23</f>
        <v>4174</v>
      </c>
      <c r="J26" s="2298">
        <f>'[88]POS by sector'!$H$23</f>
        <v>220899.22</v>
      </c>
      <c r="K26" s="1932">
        <f>'[89]POS by sector'!$G$23</f>
        <v>5835</v>
      </c>
      <c r="L26" s="2298">
        <f>'[89]POS by sector'!$H$23</f>
        <v>471362.63299999997</v>
      </c>
      <c r="M26" s="1932">
        <f>'[90]POS by sector'!$G$23</f>
        <v>7768</v>
      </c>
      <c r="N26" s="2298">
        <f>'[90]POS by sector'!$H$23</f>
        <v>639420.32900000014</v>
      </c>
      <c r="O26" s="1935" t="s">
        <v>1356</v>
      </c>
      <c r="Q26" s="2308" t="e">
        <f>ROUND(#REF!,0)</f>
        <v>#REF!</v>
      </c>
    </row>
    <row r="27" spans="1:17" ht="31">
      <c r="A27" s="2010">
        <v>15</v>
      </c>
      <c r="B27" s="1934" t="s">
        <v>1357</v>
      </c>
      <c r="C27" s="1932">
        <f>'[85]POS by sector'!$G$24</f>
        <v>414169</v>
      </c>
      <c r="D27" s="2298">
        <f>'[85]POS by sector'!$H$24</f>
        <v>11390368.005000001</v>
      </c>
      <c r="E27" s="1932">
        <f>'[86]POS by sector'!$G$24</f>
        <v>355838</v>
      </c>
      <c r="F27" s="2298">
        <f>'[86]POS by sector'!$H$24</f>
        <v>10858734.863000002</v>
      </c>
      <c r="G27" s="1932">
        <f>'[87]POS by sector'!$G$24</f>
        <v>391905</v>
      </c>
      <c r="H27" s="2298">
        <f>'[87]POS by sector'!$H$24</f>
        <v>11642449.988</v>
      </c>
      <c r="I27" s="1932">
        <f>'[88]POS by sector'!$G$24</f>
        <v>333635</v>
      </c>
      <c r="J27" s="2298">
        <f>'[88]POS by sector'!$H$24</f>
        <v>9808532.8990000002</v>
      </c>
      <c r="K27" s="1932">
        <f>'[89]POS by sector'!$G$24</f>
        <v>372541</v>
      </c>
      <c r="L27" s="2298">
        <f>'[89]POS by sector'!$H$24</f>
        <v>11314686.329</v>
      </c>
      <c r="M27" s="1932">
        <f>'[90]POS by sector'!$G$24</f>
        <v>426801</v>
      </c>
      <c r="N27" s="2298">
        <f>'[90]POS by sector'!$H$24</f>
        <v>10839382.138</v>
      </c>
      <c r="O27" s="1935" t="s">
        <v>1358</v>
      </c>
      <c r="Q27" s="2308" t="e">
        <f>ROUND(#REF!,0)</f>
        <v>#REF!</v>
      </c>
    </row>
    <row r="28" spans="1:17" ht="31.5" customHeight="1">
      <c r="A28" s="2010">
        <v>16</v>
      </c>
      <c r="B28" s="1934" t="s">
        <v>1359</v>
      </c>
      <c r="C28" s="1932">
        <f>'[85]POS by sector'!$G$25</f>
        <v>7193</v>
      </c>
      <c r="D28" s="2298">
        <f>'[85]POS by sector'!$H$25</f>
        <v>1878090.672</v>
      </c>
      <c r="E28" s="1932">
        <f>'[86]POS by sector'!$G$25</f>
        <v>4837</v>
      </c>
      <c r="F28" s="2298">
        <f>'[86]POS by sector'!$H$25</f>
        <v>1037210.6499999999</v>
      </c>
      <c r="G28" s="1932">
        <f>'[87]POS by sector'!$G$25</f>
        <v>5163</v>
      </c>
      <c r="H28" s="2298">
        <f>'[87]POS by sector'!$H$25</f>
        <v>1150123.5189999999</v>
      </c>
      <c r="I28" s="1932">
        <f>'[88]POS by sector'!$G$25</f>
        <v>1529</v>
      </c>
      <c r="J28" s="2298">
        <f>'[88]POS by sector'!$H$25</f>
        <v>596875.94699999993</v>
      </c>
      <c r="K28" s="1932">
        <f>'[89]POS by sector'!$G$25</f>
        <v>3460</v>
      </c>
      <c r="L28" s="2298">
        <f>'[89]POS by sector'!$H$25</f>
        <v>789467.57499999995</v>
      </c>
      <c r="M28" s="1932">
        <f>'[90]POS by sector'!$G$25</f>
        <v>5754</v>
      </c>
      <c r="N28" s="2451">
        <f>'[90]POS by sector'!$H$25+0.1</f>
        <v>1794241.5990000002</v>
      </c>
      <c r="O28" s="1936" t="s">
        <v>1360</v>
      </c>
      <c r="Q28" s="2308" t="e">
        <f>ROUND(#REF!,0)</f>
        <v>#REF!</v>
      </c>
    </row>
    <row r="29" spans="1:17" ht="31.5" customHeight="1">
      <c r="A29" s="2010">
        <v>17</v>
      </c>
      <c r="B29" s="1934" t="s">
        <v>1361</v>
      </c>
      <c r="C29" s="1932">
        <f>'[85]POS by sector'!$G$26</f>
        <v>96464</v>
      </c>
      <c r="D29" s="2298">
        <f>'[85]POS by sector'!$H$26</f>
        <v>2069441.3429999999</v>
      </c>
      <c r="E29" s="1932">
        <f>'[86]POS by sector'!$G$26</f>
        <v>65583</v>
      </c>
      <c r="F29" s="2298">
        <f>'[86]POS by sector'!$H$26</f>
        <v>1433495.47</v>
      </c>
      <c r="G29" s="1932">
        <f>'[87]POS by sector'!$G$26</f>
        <v>61408</v>
      </c>
      <c r="H29" s="2298">
        <f>'[87]POS by sector'!$H$26</f>
        <v>1790974.0829999999</v>
      </c>
      <c r="I29" s="1932">
        <f>'[88]POS by sector'!$G$26</f>
        <v>57843</v>
      </c>
      <c r="J29" s="2298">
        <f>'[88]POS by sector'!$H$26</f>
        <v>999965.299</v>
      </c>
      <c r="K29" s="1932">
        <f>'[89]POS by sector'!$G$26</f>
        <v>84096</v>
      </c>
      <c r="L29" s="2298">
        <f>'[89]POS by sector'!$H$26</f>
        <v>1036817.464</v>
      </c>
      <c r="M29" s="1932">
        <f>'[90]POS by sector'!$G$26</f>
        <v>112357</v>
      </c>
      <c r="N29" s="2298">
        <f>'[90]POS by sector'!$H$26+0.2</f>
        <v>1967924.615</v>
      </c>
      <c r="O29" s="1935" t="s">
        <v>1362</v>
      </c>
      <c r="Q29" s="2308" t="e">
        <f>ROUND(#REF!,0)</f>
        <v>#REF!</v>
      </c>
    </row>
    <row r="30" spans="1:17" ht="46.5" customHeight="1">
      <c r="A30" s="2010">
        <v>18</v>
      </c>
      <c r="B30" s="1934" t="s">
        <v>1363</v>
      </c>
      <c r="C30" s="1932">
        <f>'[85]POS by sector'!$G$27</f>
        <v>27828</v>
      </c>
      <c r="D30" s="2451">
        <f>'[85]POS by sector'!$H$27+0.1</f>
        <v>2311373.5780000002</v>
      </c>
      <c r="E30" s="1932">
        <f>'[86]POS by sector'!$G$27</f>
        <v>24266</v>
      </c>
      <c r="F30" s="2298">
        <f>'[86]POS by sector'!$H$27</f>
        <v>1661003.0560000001</v>
      </c>
      <c r="G30" s="1932">
        <f>'[87]POS by sector'!$G$27</f>
        <v>24995</v>
      </c>
      <c r="H30" s="2298">
        <f>'[87]POS by sector'!$H$27</f>
        <v>2140434.9620000003</v>
      </c>
      <c r="I30" s="1932">
        <f>'[88]POS by sector'!$G$27</f>
        <v>20036</v>
      </c>
      <c r="J30" s="2298">
        <f>'[88]POS by sector'!$H$27</f>
        <v>1800053.868</v>
      </c>
      <c r="K30" s="1932">
        <f>'[89]POS by sector'!$G$27</f>
        <v>26712</v>
      </c>
      <c r="L30" s="2298">
        <f>'[89]POS by sector'!$H$27</f>
        <v>2116393.727</v>
      </c>
      <c r="M30" s="1932">
        <f>'[90]POS by sector'!$G$27</f>
        <v>26092</v>
      </c>
      <c r="N30" s="2298">
        <f>'[90]POS by sector'!$H$27</f>
        <v>1971037.409</v>
      </c>
      <c r="O30" s="1935" t="s">
        <v>1364</v>
      </c>
      <c r="Q30" s="2308" t="e">
        <f>ROUND(#REF!,0)</f>
        <v>#REF!</v>
      </c>
    </row>
    <row r="31" spans="1:17" ht="31.5" customHeight="1">
      <c r="A31" s="2010">
        <v>19</v>
      </c>
      <c r="B31" s="1934" t="s">
        <v>1365</v>
      </c>
      <c r="C31" s="1932">
        <f>'[85]POS by sector'!$G$28</f>
        <v>12122</v>
      </c>
      <c r="D31" s="2298">
        <f>'[85]POS by sector'!$H$28</f>
        <v>444721.26</v>
      </c>
      <c r="E31" s="1932">
        <f>'[86]POS by sector'!$G$28</f>
        <v>8835</v>
      </c>
      <c r="F31" s="2298">
        <f>'[86]POS by sector'!$H$28</f>
        <v>312055.69700000004</v>
      </c>
      <c r="G31" s="1932">
        <f>'[87]POS by sector'!$G$28</f>
        <v>14586</v>
      </c>
      <c r="H31" s="2298">
        <f>'[87]POS by sector'!$H$28</f>
        <v>378335.82199999999</v>
      </c>
      <c r="I31" s="1932">
        <f>'[88]POS by sector'!$G$28</f>
        <v>7698</v>
      </c>
      <c r="J31" s="2298">
        <f>'[88]POS by sector'!$H$28</f>
        <v>371854.40900000004</v>
      </c>
      <c r="K31" s="1932">
        <f>'[89]POS by sector'!$G$28</f>
        <v>11022</v>
      </c>
      <c r="L31" s="2298">
        <f>'[89]POS by sector'!$H$28</f>
        <v>378022.42599999998</v>
      </c>
      <c r="M31" s="1932">
        <f>'[90]POS by sector'!$G$28</f>
        <v>11698</v>
      </c>
      <c r="N31" s="2298">
        <f>'[90]POS by sector'!$H$28+0.02</f>
        <v>363046.75599999999</v>
      </c>
      <c r="O31" s="1935" t="s">
        <v>1366</v>
      </c>
      <c r="Q31" s="2308" t="e">
        <f>ROUND(#REF!,0)</f>
        <v>#REF!</v>
      </c>
    </row>
    <row r="32" spans="1:17" ht="31.5" customHeight="1">
      <c r="A32" s="2010">
        <v>20</v>
      </c>
      <c r="B32" s="1934" t="s">
        <v>1367</v>
      </c>
      <c r="C32" s="2298">
        <f>'[85]POS by sector'!$G$29</f>
        <v>342999</v>
      </c>
      <c r="D32" s="1932">
        <f>'[85]POS by sector'!$H$29</f>
        <v>18468790.056000005</v>
      </c>
      <c r="E32" s="2298">
        <f>'[86]POS by sector'!$G$29</f>
        <v>436248</v>
      </c>
      <c r="F32" s="2298">
        <f>'[86]POS by sector'!$H$29</f>
        <v>15235773.716000002</v>
      </c>
      <c r="G32" s="2298">
        <f>'[87]POS by sector'!$G$29</f>
        <v>470954</v>
      </c>
      <c r="H32" s="2298">
        <f>'[87]POS by sector'!$H$29</f>
        <v>16428265.325000001</v>
      </c>
      <c r="I32" s="2298">
        <f>'[88]POS by sector'!$G$29</f>
        <v>477408</v>
      </c>
      <c r="J32" s="2298">
        <f>'[88]POS by sector'!$H$29</f>
        <v>13530068.173</v>
      </c>
      <c r="K32" s="2298">
        <f>'[89]POS by sector'!$G$29</f>
        <v>470975</v>
      </c>
      <c r="L32" s="2298">
        <f>'[89]POS by sector'!$H$29</f>
        <v>16324781.26</v>
      </c>
      <c r="M32" s="2298">
        <f>'[90]POS by sector'!$G$29</f>
        <v>538286</v>
      </c>
      <c r="N32" s="2298">
        <f>'[90]POS by sector'!$H$29</f>
        <v>17715223.729000002</v>
      </c>
      <c r="O32" s="1935" t="s">
        <v>1368</v>
      </c>
      <c r="Q32" s="2308" t="e">
        <f>ROUND(#REF!,0)</f>
        <v>#REF!</v>
      </c>
    </row>
    <row r="33" spans="1:17" s="1940" customFormat="1" ht="31.5" customHeight="1">
      <c r="A33" s="2012"/>
      <c r="B33" s="1937" t="s">
        <v>400</v>
      </c>
      <c r="C33" s="2161">
        <f>'[85]POS by sector'!$G$30</f>
        <v>5221965</v>
      </c>
      <c r="D33" s="2161">
        <f>'[85]POS by sector'!$H$30</f>
        <v>193635734.91099995</v>
      </c>
      <c r="E33" s="2161">
        <f>'[86]POS by sector'!$G$30</f>
        <v>4268093</v>
      </c>
      <c r="F33" s="2161">
        <f>'[86]POS by sector'!$H$30</f>
        <v>182943194.53099999</v>
      </c>
      <c r="G33" s="2161">
        <f>'[87]POS by sector'!$G$30</f>
        <v>4681342</v>
      </c>
      <c r="H33" s="2161">
        <f>'[87]POS by sector'!$H$30</f>
        <v>184666590.55300003</v>
      </c>
      <c r="I33" s="2161">
        <f>'[88]POS by sector'!$G$30</f>
        <v>4461789</v>
      </c>
      <c r="J33" s="2161">
        <f>'[88]POS by sector'!$H$30</f>
        <v>141794082.146</v>
      </c>
      <c r="K33" s="2161">
        <f>'[89]POS by sector'!$G$30</f>
        <v>4892903</v>
      </c>
      <c r="L33" s="2161">
        <f>'[89]POS by sector'!$H$30</f>
        <v>166611173.73199996</v>
      </c>
      <c r="M33" s="2161">
        <f>'[90]POS by sector'!$G$30</f>
        <v>5486329</v>
      </c>
      <c r="N33" s="2161">
        <f>'[90]POS by sector'!$H$30</f>
        <v>184965382.623</v>
      </c>
      <c r="O33" s="1939" t="s">
        <v>390</v>
      </c>
      <c r="Q33" s="2308" t="e">
        <f>ROUND(#REF!,0)</f>
        <v>#REF!</v>
      </c>
    </row>
    <row r="34" spans="1:17" ht="27.75" customHeight="1">
      <c r="A34" s="1941" t="s">
        <v>1369</v>
      </c>
      <c r="B34" s="1942"/>
      <c r="C34" s="1943"/>
      <c r="D34" s="1943"/>
      <c r="E34" s="1943"/>
      <c r="F34" s="1943"/>
      <c r="G34" s="1943"/>
      <c r="H34" s="1943"/>
      <c r="I34" s="1943"/>
      <c r="J34" s="1943"/>
      <c r="K34" s="1943"/>
      <c r="L34" s="1943"/>
      <c r="M34" s="1943"/>
      <c r="N34" s="1943"/>
      <c r="O34" s="1944" t="s">
        <v>1370</v>
      </c>
    </row>
    <row r="35" spans="1:17" ht="17.5">
      <c r="A35" s="1941" t="s">
        <v>1371</v>
      </c>
      <c r="B35" s="1942"/>
      <c r="C35" s="1943"/>
      <c r="D35" s="1943"/>
      <c r="E35" s="1943"/>
      <c r="F35" s="1943"/>
      <c r="G35" s="1943"/>
      <c r="H35" s="1943"/>
      <c r="I35" s="1943"/>
      <c r="J35" s="1943"/>
      <c r="K35" s="1943"/>
      <c r="L35" s="1943"/>
      <c r="M35" s="1943"/>
      <c r="N35" s="1943"/>
      <c r="O35" s="1944" t="s">
        <v>1372</v>
      </c>
    </row>
    <row r="36" spans="1:17">
      <c r="A36" s="1622"/>
      <c r="B36" s="1622"/>
      <c r="C36" s="1622"/>
      <c r="D36" s="1622"/>
      <c r="E36" s="1622"/>
      <c r="F36" s="1622"/>
      <c r="G36" s="1622"/>
      <c r="H36" s="1622"/>
      <c r="I36" s="1622"/>
      <c r="J36" s="1622"/>
      <c r="K36" s="1622"/>
      <c r="L36" s="1622"/>
      <c r="M36" s="1622"/>
      <c r="N36" s="1622"/>
    </row>
    <row r="37" spans="1:17">
      <c r="A37" s="1945" t="s">
        <v>1373</v>
      </c>
      <c r="B37" s="1945"/>
      <c r="C37" s="1945"/>
      <c r="D37" s="1945"/>
      <c r="E37" s="1945"/>
      <c r="F37" s="1945"/>
      <c r="G37" s="1945"/>
      <c r="H37" s="1945"/>
      <c r="I37" s="1945"/>
      <c r="J37" s="1945"/>
      <c r="K37" s="1945"/>
      <c r="L37" s="1945"/>
      <c r="M37" s="1945"/>
      <c r="N37" s="1945"/>
      <c r="O37" s="1945"/>
    </row>
    <row r="38" spans="1:17">
      <c r="C38" s="2310">
        <f t="shared" ref="C38:F38" si="0">ROUND(C33,0)-ROUND(C13,0)-ROUND(C14,0)-ROUND(C15,0)-ROUND(C16,0)-ROUND(C17,0)-ROUND(C18,0)-ROUND(C19,0)-ROUND(C20,0)-ROUND(C21,0)-ROUND(C22,0)-ROUND(C23,0)-ROUND(C24,0)-ROUND(C25,0)-ROUND(C26,0)-ROUND(C27,0)-ROUND(C28,0)-ROUND(C29,0)-ROUND(C30,0)-ROUND(C31,0)-ROUND(C32,0)</f>
        <v>0</v>
      </c>
      <c r="D38" s="2310">
        <f t="shared" si="0"/>
        <v>0</v>
      </c>
      <c r="E38" s="2310">
        <f t="shared" si="0"/>
        <v>0</v>
      </c>
      <c r="F38" s="2310">
        <f t="shared" si="0"/>
        <v>0</v>
      </c>
      <c r="G38" s="2310">
        <f t="shared" ref="G38:H38" si="1">ROUND(G33,0)-ROUND(G13,0)-ROUND(G14,0)-ROUND(G15,0)-ROUND(G16,0)-ROUND(G17,0)-ROUND(G18,0)-ROUND(G19,0)-ROUND(G20,0)-ROUND(G21,0)-ROUND(G22,0)-ROUND(G23,0)-ROUND(G24,0)-ROUND(G25,0)-ROUND(G26,0)-ROUND(G27,0)-ROUND(G28,0)-ROUND(G29,0)-ROUND(G30,0)-ROUND(G31,0)-ROUND(G32,0)</f>
        <v>0</v>
      </c>
      <c r="H38" s="2310">
        <f t="shared" si="1"/>
        <v>0</v>
      </c>
      <c r="I38" s="2310">
        <f t="shared" ref="I38:J38" si="2">ROUND(I33,0)-ROUND(I13,0)-ROUND(I14,0)-ROUND(I15,0)-ROUND(I16,0)-ROUND(I17,0)-ROUND(I18,0)-ROUND(I19,0)-ROUND(I20,0)-ROUND(I21,0)-ROUND(I22,0)-ROUND(I23,0)-ROUND(I24,0)-ROUND(I25,0)-ROUND(I26,0)-ROUND(I27,0)-ROUND(I28,0)-ROUND(I29,0)-ROUND(I30,0)-ROUND(I31,0)-ROUND(I32,0)</f>
        <v>0</v>
      </c>
      <c r="J38" s="2310">
        <f t="shared" si="2"/>
        <v>0</v>
      </c>
      <c r="K38" s="2310">
        <f t="shared" ref="K38:L38" si="3">ROUND(K33,0)-ROUND(K13,0)-ROUND(K14,0)-ROUND(K15,0)-ROUND(K16,0)-ROUND(K17,0)-ROUND(K18,0)-ROUND(K19,0)-ROUND(K20,0)-ROUND(K21,0)-ROUND(K22,0)-ROUND(K23,0)-ROUND(K24,0)-ROUND(K25,0)-ROUND(K26,0)-ROUND(K27,0)-ROUND(K28,0)-ROUND(K29,0)-ROUND(K30,0)-ROUND(K31,0)-ROUND(K32,0)</f>
        <v>0</v>
      </c>
      <c r="L38" s="2310">
        <f t="shared" si="3"/>
        <v>0</v>
      </c>
      <c r="M38" s="2310">
        <f t="shared" ref="M38:N38" si="4">ROUND(M33,0)-ROUND(M13,0)-ROUND(M14,0)-ROUND(M15,0)-ROUND(M16,0)-ROUND(M17,0)-ROUND(M18,0)-ROUND(M19,0)-ROUND(M20,0)-ROUND(M21,0)-ROUND(M22,0)-ROUND(M23,0)-ROUND(M24,0)-ROUND(M25,0)-ROUND(M26,0)-ROUND(M27,0)-ROUND(M28,0)-ROUND(M29,0)-ROUND(M30,0)-ROUND(M31,0)-ROUND(M32,0)</f>
        <v>0</v>
      </c>
      <c r="N38" s="2310">
        <f t="shared" si="4"/>
        <v>0</v>
      </c>
    </row>
    <row r="39" spans="1:17">
      <c r="C39" s="1947"/>
      <c r="D39" s="1947"/>
      <c r="E39" s="1947"/>
      <c r="F39" s="1947"/>
      <c r="G39" s="1947"/>
      <c r="H39" s="1947"/>
      <c r="I39" s="1947"/>
      <c r="J39" s="1947"/>
      <c r="K39" s="1947"/>
      <c r="L39" s="1947"/>
      <c r="M39" s="1947"/>
      <c r="N39" s="1947"/>
    </row>
    <row r="41" spans="1:17">
      <c r="C41" s="1948"/>
      <c r="D41" s="1948"/>
      <c r="E41" s="1948"/>
      <c r="F41" s="1948"/>
      <c r="G41" s="1948"/>
      <c r="H41" s="1948"/>
      <c r="I41" s="1948"/>
      <c r="J41" s="1948"/>
      <c r="K41" s="1948"/>
      <c r="L41" s="1948"/>
      <c r="M41" s="1948"/>
      <c r="N41" s="1948"/>
      <c r="O41" s="1948"/>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5">
    <tabColor theme="9" tint="-0.249977111117893"/>
    <pageSetUpPr fitToPage="1"/>
  </sheetPr>
  <dimension ref="A1:O41"/>
  <sheetViews>
    <sheetView topLeftCell="C25" zoomScale="70" zoomScaleNormal="70" workbookViewId="0">
      <selection activeCell="N29" sqref="N29"/>
    </sheetView>
  </sheetViews>
  <sheetFormatPr defaultColWidth="18.26953125" defaultRowHeight="15.5"/>
  <cols>
    <col min="1" max="1" width="6.1796875" style="1946" customWidth="1"/>
    <col min="2" max="2" width="45.81640625" style="1925" customWidth="1"/>
    <col min="3" max="3" width="15" style="1925" bestFit="1" customWidth="1"/>
    <col min="4" max="4" width="14.26953125" style="1925" bestFit="1" customWidth="1"/>
    <col min="5" max="5" width="14.7265625" style="1925" customWidth="1"/>
    <col min="6" max="6" width="14.26953125" style="1925" customWidth="1"/>
    <col min="7" max="7" width="14.7265625" style="1925" customWidth="1"/>
    <col min="8" max="8" width="14.26953125" style="1925" customWidth="1"/>
    <col min="9" max="9" width="14.7265625" style="1925" customWidth="1"/>
    <col min="10" max="10" width="14.26953125" style="1925" customWidth="1"/>
    <col min="11" max="11" width="14.7265625" style="1925" customWidth="1"/>
    <col min="12" max="12" width="14.26953125" style="1925" customWidth="1"/>
    <col min="13" max="13" width="14.7265625" style="1925" customWidth="1"/>
    <col min="14" max="14" width="14.26953125" style="1925" customWidth="1"/>
    <col min="15" max="15" width="46.7265625" style="1925" customWidth="1"/>
    <col min="16" max="16384" width="18.26953125" style="1925"/>
  </cols>
  <sheetData>
    <row r="1" spans="1:15" ht="18" customHeight="1">
      <c r="A1" s="1838" t="s">
        <v>1374</v>
      </c>
      <c r="B1" s="1635"/>
      <c r="C1" s="1635"/>
      <c r="D1" s="1635"/>
      <c r="E1" s="1635"/>
      <c r="F1" s="1635"/>
      <c r="G1" s="1635"/>
      <c r="H1" s="1635"/>
      <c r="I1" s="1635"/>
      <c r="J1" s="1635"/>
      <c r="K1" s="1635"/>
      <c r="L1" s="1635"/>
      <c r="M1" s="1635"/>
      <c r="N1" s="1635"/>
      <c r="O1" s="1635"/>
    </row>
    <row r="2" spans="1:15" ht="18" customHeight="1">
      <c r="A2" s="1838" t="s">
        <v>1375</v>
      </c>
      <c r="B2" s="1926"/>
      <c r="C2" s="1926"/>
      <c r="D2" s="1926"/>
      <c r="E2" s="1926"/>
      <c r="F2" s="1926"/>
      <c r="G2" s="1926"/>
      <c r="H2" s="1926"/>
      <c r="I2" s="1926"/>
      <c r="J2" s="1926"/>
      <c r="K2" s="1926"/>
      <c r="L2" s="1926"/>
      <c r="M2" s="1926"/>
      <c r="N2" s="1926"/>
      <c r="O2" s="1926"/>
    </row>
    <row r="3" spans="1:15" ht="18">
      <c r="A3" s="1838" t="s">
        <v>1376</v>
      </c>
      <c r="B3" s="1635"/>
      <c r="C3" s="1635"/>
      <c r="D3" s="1635"/>
      <c r="E3" s="1635"/>
      <c r="F3" s="1635"/>
      <c r="G3" s="1635"/>
      <c r="H3" s="1635"/>
      <c r="I3" s="1635"/>
      <c r="J3" s="1635"/>
      <c r="K3" s="1635"/>
      <c r="L3" s="1635"/>
      <c r="M3" s="1635"/>
      <c r="N3" s="1635"/>
      <c r="O3" s="1635"/>
    </row>
    <row r="4" spans="1:15" ht="4.5" customHeight="1">
      <c r="A4" s="1635"/>
      <c r="B4" s="1635"/>
      <c r="C4" s="2142"/>
      <c r="D4" s="2142"/>
      <c r="E4" s="2142"/>
      <c r="F4" s="2142"/>
      <c r="G4" s="2142"/>
      <c r="H4" s="2142"/>
      <c r="I4" s="2142"/>
      <c r="J4" s="2142"/>
      <c r="K4" s="2142"/>
      <c r="L4" s="2142"/>
      <c r="M4" s="2142"/>
      <c r="N4" s="2142"/>
      <c r="O4" s="1635"/>
    </row>
    <row r="5" spans="1:15" ht="15.75" hidden="1" customHeight="1">
      <c r="A5" s="1635"/>
      <c r="B5" s="1635"/>
      <c r="C5" s="2142"/>
      <c r="D5" s="2142"/>
      <c r="E5" s="2142"/>
      <c r="F5" s="2142"/>
      <c r="G5" s="2142"/>
      <c r="H5" s="2142"/>
      <c r="I5" s="2142"/>
      <c r="J5" s="2142"/>
      <c r="K5" s="2142"/>
      <c r="L5" s="2142"/>
      <c r="M5" s="2142"/>
      <c r="N5" s="2142"/>
      <c r="O5" s="1635"/>
    </row>
    <row r="6" spans="1:15" ht="15.75" hidden="1" customHeight="1">
      <c r="A6" s="1635"/>
      <c r="B6" s="1635"/>
      <c r="C6" s="2142"/>
      <c r="D6" s="2142"/>
      <c r="E6" s="2142"/>
      <c r="F6" s="2142"/>
      <c r="G6" s="2142"/>
      <c r="H6" s="2142"/>
      <c r="I6" s="2142"/>
      <c r="J6" s="2142"/>
      <c r="K6" s="2142"/>
      <c r="L6" s="2142"/>
      <c r="M6" s="2142"/>
      <c r="N6" s="2142"/>
      <c r="O6" s="1635"/>
    </row>
    <row r="7" spans="1:15" ht="15.75" hidden="1" customHeight="1">
      <c r="A7" s="1635"/>
      <c r="B7" s="1635"/>
      <c r="C7" s="2142"/>
      <c r="D7" s="2142"/>
      <c r="E7" s="2142"/>
      <c r="F7" s="2142"/>
      <c r="G7" s="2142"/>
      <c r="H7" s="2142"/>
      <c r="I7" s="2142"/>
      <c r="J7" s="2142"/>
      <c r="K7" s="2142"/>
      <c r="L7" s="2142"/>
      <c r="M7" s="2142"/>
      <c r="N7" s="2142"/>
      <c r="O7" s="1635"/>
    </row>
    <row r="8" spans="1:15">
      <c r="A8" s="1927" t="s">
        <v>1328</v>
      </c>
      <c r="D8" s="1927"/>
      <c r="E8" s="1927"/>
      <c r="F8" s="1927"/>
      <c r="G8" s="1927"/>
      <c r="H8" s="1927"/>
      <c r="I8" s="1927"/>
      <c r="J8" s="1927"/>
      <c r="K8" s="1927"/>
      <c r="L8" s="1927"/>
      <c r="M8" s="1927"/>
      <c r="N8" s="1927"/>
      <c r="O8" s="1927" t="s">
        <v>1329</v>
      </c>
    </row>
    <row r="9" spans="1:15" s="1929" customFormat="1" ht="20.25" customHeight="1">
      <c r="A9" s="2703"/>
      <c r="B9" s="2703" t="s">
        <v>903</v>
      </c>
      <c r="C9" s="1928">
        <v>2025</v>
      </c>
      <c r="D9" s="1928"/>
      <c r="E9" s="1928">
        <v>2026</v>
      </c>
      <c r="F9" s="1928"/>
      <c r="G9" s="1928"/>
      <c r="H9" s="1928"/>
      <c r="I9" s="1928"/>
      <c r="J9" s="1928"/>
      <c r="K9" s="1928"/>
      <c r="L9" s="1928"/>
      <c r="M9" s="1928"/>
      <c r="N9" s="1928"/>
      <c r="O9" s="2703" t="s">
        <v>904</v>
      </c>
    </row>
    <row r="10" spans="1:15" s="1929" customFormat="1" ht="20.25" customHeight="1">
      <c r="A10" s="2721"/>
      <c r="B10" s="2721"/>
      <c r="C10" s="2728" t="s">
        <v>1731</v>
      </c>
      <c r="D10" s="2729"/>
      <c r="E10" s="2728" t="s">
        <v>1742</v>
      </c>
      <c r="F10" s="2729"/>
      <c r="G10" s="2728" t="s">
        <v>1744</v>
      </c>
      <c r="H10" s="2729"/>
      <c r="I10" s="2728" t="s">
        <v>1765</v>
      </c>
      <c r="J10" s="2729"/>
      <c r="K10" s="2728" t="s">
        <v>1784</v>
      </c>
      <c r="L10" s="2729"/>
      <c r="M10" s="2728" t="s">
        <v>427</v>
      </c>
      <c r="N10" s="2729"/>
      <c r="O10" s="2721"/>
    </row>
    <row r="11" spans="1:15" s="1929" customFormat="1">
      <c r="A11" s="2721"/>
      <c r="B11" s="2721"/>
      <c r="C11" s="2008" t="s">
        <v>1311</v>
      </c>
      <c r="D11" s="2008" t="s">
        <v>1275</v>
      </c>
      <c r="E11" s="2008" t="s">
        <v>1311</v>
      </c>
      <c r="F11" s="2008" t="s">
        <v>1275</v>
      </c>
      <c r="G11" s="2008" t="s">
        <v>1311</v>
      </c>
      <c r="H11" s="2008" t="s">
        <v>1275</v>
      </c>
      <c r="I11" s="2008" t="s">
        <v>1311</v>
      </c>
      <c r="J11" s="2008" t="s">
        <v>1275</v>
      </c>
      <c r="K11" s="2008" t="s">
        <v>1311</v>
      </c>
      <c r="L11" s="2008" t="s">
        <v>1275</v>
      </c>
      <c r="M11" s="2008" t="s">
        <v>1311</v>
      </c>
      <c r="N11" s="2008" t="s">
        <v>1275</v>
      </c>
      <c r="O11" s="2721"/>
    </row>
    <row r="12" spans="1:15" s="1930" customFormat="1">
      <c r="A12" s="2712"/>
      <c r="B12" s="2712"/>
      <c r="C12" s="2009" t="s">
        <v>1330</v>
      </c>
      <c r="D12" s="2009" t="s">
        <v>1277</v>
      </c>
      <c r="E12" s="2009" t="s">
        <v>1330</v>
      </c>
      <c r="F12" s="2009" t="s">
        <v>1277</v>
      </c>
      <c r="G12" s="2009" t="s">
        <v>1330</v>
      </c>
      <c r="H12" s="2009" t="s">
        <v>1277</v>
      </c>
      <c r="I12" s="2009" t="s">
        <v>1330</v>
      </c>
      <c r="J12" s="2009" t="s">
        <v>1277</v>
      </c>
      <c r="K12" s="2009" t="s">
        <v>1330</v>
      </c>
      <c r="L12" s="2009" t="s">
        <v>1277</v>
      </c>
      <c r="M12" s="2009" t="s">
        <v>1330</v>
      </c>
      <c r="N12" s="2009" t="s">
        <v>1277</v>
      </c>
      <c r="O12" s="2712"/>
    </row>
    <row r="13" spans="1:15" ht="31.5" customHeight="1">
      <c r="A13" s="2010">
        <v>1</v>
      </c>
      <c r="B13" s="1931" t="s">
        <v>938</v>
      </c>
      <c r="C13" s="1932">
        <f>'[85]POS by sector'!$I$10</f>
        <v>3432</v>
      </c>
      <c r="D13" s="2298">
        <f>'[85]POS by sector'!$J$10</f>
        <v>988904.76599999995</v>
      </c>
      <c r="E13" s="1932">
        <f>'[86]POS by sector'!$I$10</f>
        <v>3027</v>
      </c>
      <c r="F13" s="2298">
        <f>'[86]POS by sector'!$J$10</f>
        <v>1105560.4350000001</v>
      </c>
      <c r="G13" s="1932">
        <f>'[87]POS by sector'!$I$10</f>
        <v>3203</v>
      </c>
      <c r="H13" s="2298">
        <f>'[87]POS by sector'!$J$10</f>
        <v>981535.23899999994</v>
      </c>
      <c r="I13" s="1932">
        <f>'[88]POS by sector'!$I$10</f>
        <v>2554</v>
      </c>
      <c r="J13" s="2451">
        <f>'[88]POS by sector'!$J$10-0.2</f>
        <v>810085.41100000008</v>
      </c>
      <c r="K13" s="1932">
        <f>'[89]POS by sector'!$I$10</f>
        <v>3677</v>
      </c>
      <c r="L13" s="2298">
        <f>'[89]POS by sector'!$J$10</f>
        <v>1331822.7609999999</v>
      </c>
      <c r="M13" s="1932">
        <f>'[90]POS by sector'!$I$10</f>
        <v>4376</v>
      </c>
      <c r="N13" s="2298">
        <f>'[90]POS by sector'!$J$10</f>
        <v>1320993.2249999999</v>
      </c>
      <c r="O13" s="1933" t="s">
        <v>939</v>
      </c>
    </row>
    <row r="14" spans="1:15" ht="43.5" customHeight="1">
      <c r="A14" s="2010">
        <v>2</v>
      </c>
      <c r="B14" s="1934" t="s">
        <v>1331</v>
      </c>
      <c r="C14" s="1932">
        <f>'[85]POS by sector'!$I$11</f>
        <v>90269</v>
      </c>
      <c r="D14" s="2298">
        <f>'[85]POS by sector'!$J$11</f>
        <v>9440737.029000001</v>
      </c>
      <c r="E14" s="1932">
        <f>'[86]POS by sector'!$I$11</f>
        <v>65919</v>
      </c>
      <c r="F14" s="2298">
        <f>'[86]POS by sector'!$J$11</f>
        <v>6775177.4219999993</v>
      </c>
      <c r="G14" s="1932">
        <f>'[87]POS by sector'!$I$11</f>
        <v>67113</v>
      </c>
      <c r="H14" s="2298">
        <f>'[87]POS by sector'!$J$11</f>
        <v>6752678.2050000001</v>
      </c>
      <c r="I14" s="1932">
        <f>'[88]POS by sector'!$I$11</f>
        <v>17198</v>
      </c>
      <c r="J14" s="2298">
        <f>'[88]POS by sector'!$J$11</f>
        <v>2095832.7550000001</v>
      </c>
      <c r="K14" s="1932">
        <f>'[89]POS by sector'!$I$11</f>
        <v>28132</v>
      </c>
      <c r="L14" s="2298">
        <f>'[89]POS by sector'!$J$11</f>
        <v>2045904.5079999999</v>
      </c>
      <c r="M14" s="1932">
        <f>'[90]POS by sector'!$I$11</f>
        <v>81472</v>
      </c>
      <c r="N14" s="2298">
        <f>'[90]POS by sector'!$J$11</f>
        <v>7426553.6349999998</v>
      </c>
      <c r="O14" s="1935" t="s">
        <v>1332</v>
      </c>
    </row>
    <row r="15" spans="1:15" ht="31.5" customHeight="1">
      <c r="A15" s="2010">
        <v>3</v>
      </c>
      <c r="B15" s="1934" t="s">
        <v>1333</v>
      </c>
      <c r="C15" s="1932">
        <f>'[85]POS by sector'!$I$12</f>
        <v>912892</v>
      </c>
      <c r="D15" s="2298">
        <f>'[85]POS by sector'!$J$12</f>
        <v>9917298.0869999994</v>
      </c>
      <c r="E15" s="1932">
        <f>'[86]POS by sector'!$I$12</f>
        <v>772347</v>
      </c>
      <c r="F15" s="2298">
        <f>'[86]POS by sector'!$J$12</f>
        <v>8676850.9690000005</v>
      </c>
      <c r="G15" s="1932">
        <f>'[87]POS by sector'!$I$12</f>
        <v>642349</v>
      </c>
      <c r="H15" s="2298">
        <f>'[87]POS by sector'!$J$12</f>
        <v>6837505.3030000003</v>
      </c>
      <c r="I15" s="1932">
        <f>'[88]POS by sector'!$I$12</f>
        <v>359013</v>
      </c>
      <c r="J15" s="2298">
        <f>'[88]POS by sector'!$J$12</f>
        <v>2844671.8569999998</v>
      </c>
      <c r="K15" s="1932">
        <f>'[89]POS by sector'!$I$12</f>
        <v>486917</v>
      </c>
      <c r="L15" s="2298">
        <f>'[89]POS by sector'!$J$12</f>
        <v>4444297.1450000005</v>
      </c>
      <c r="M15" s="1932">
        <f>'[90]POS by sector'!$I$12</f>
        <v>792732</v>
      </c>
      <c r="N15" s="2298">
        <f>'[90]POS by sector'!$J$12</f>
        <v>8976101.7920000013</v>
      </c>
      <c r="O15" s="1935" t="s">
        <v>1334</v>
      </c>
    </row>
    <row r="16" spans="1:15" ht="31.5" customHeight="1">
      <c r="A16" s="2010">
        <v>4</v>
      </c>
      <c r="B16" s="1934" t="s">
        <v>1335</v>
      </c>
      <c r="C16" s="1932">
        <f>'[85]POS by sector'!$I$13</f>
        <v>35276</v>
      </c>
      <c r="D16" s="2298">
        <f>'[85]POS by sector'!$J$13</f>
        <v>1054699.727</v>
      </c>
      <c r="E16" s="1932">
        <f>'[86]POS by sector'!$I$13</f>
        <v>25975</v>
      </c>
      <c r="F16" s="2298">
        <f>'[86]POS by sector'!$J$13</f>
        <v>862195.40800000005</v>
      </c>
      <c r="G16" s="1932">
        <f>'[87]POS by sector'!$I$13</f>
        <v>27050</v>
      </c>
      <c r="H16" s="2298">
        <f>'[87]POS by sector'!$J$13</f>
        <v>895849.54499999993</v>
      </c>
      <c r="I16" s="1932">
        <f>'[88]POS by sector'!$I$13</f>
        <v>12518</v>
      </c>
      <c r="J16" s="2298">
        <f>'[88]POS by sector'!$J$13</f>
        <v>443613.96799999999</v>
      </c>
      <c r="K16" s="1932">
        <f>'[89]POS by sector'!$I$13</f>
        <v>15871</v>
      </c>
      <c r="L16" s="2298">
        <f>'[89]POS by sector'!$J$13</f>
        <v>535601.28099999996</v>
      </c>
      <c r="M16" s="1932">
        <f>'[90]POS by sector'!$I$13</f>
        <v>29574</v>
      </c>
      <c r="N16" s="2298">
        <f>'[90]POS by sector'!$J$13</f>
        <v>825807.24100000004</v>
      </c>
      <c r="O16" s="1935" t="s">
        <v>1336</v>
      </c>
    </row>
    <row r="17" spans="1:15" ht="31.5" customHeight="1">
      <c r="A17" s="2010">
        <v>5</v>
      </c>
      <c r="B17" s="1934" t="s">
        <v>1337</v>
      </c>
      <c r="C17" s="1932">
        <f>'[85]POS by sector'!$I$14</f>
        <v>46880</v>
      </c>
      <c r="D17" s="1932">
        <f>'[85]POS by sector'!$J$14</f>
        <v>1438210.2719999999</v>
      </c>
      <c r="E17" s="1932">
        <f>'[86]POS by sector'!$I$14</f>
        <v>41005</v>
      </c>
      <c r="F17" s="1932">
        <f>'[86]POS by sector'!$J$14</f>
        <v>1502059.294</v>
      </c>
      <c r="G17" s="1932">
        <f>'[87]POS by sector'!$I$14</f>
        <v>35429</v>
      </c>
      <c r="H17" s="2451">
        <f>'[87]POS by sector'!$J$14+0.1</f>
        <v>1554184.5940000003</v>
      </c>
      <c r="I17" s="1932">
        <f>'[88]POS by sector'!$I$14</f>
        <v>9627</v>
      </c>
      <c r="J17" s="2298">
        <f>'[88]POS by sector'!$J$14</f>
        <v>847760.12099999993</v>
      </c>
      <c r="K17" s="1932">
        <f>'[89]POS by sector'!$I$14</f>
        <v>11385</v>
      </c>
      <c r="L17" s="2298">
        <f>'[89]POS by sector'!$J$14</f>
        <v>1006822.343</v>
      </c>
      <c r="M17" s="1932">
        <f>'[90]POS by sector'!$I$14</f>
        <v>20082</v>
      </c>
      <c r="N17" s="2298">
        <f>'[90]POS by sector'!$J$14</f>
        <v>789900.29700000002</v>
      </c>
      <c r="O17" s="1935" t="s">
        <v>1338</v>
      </c>
    </row>
    <row r="18" spans="1:15" ht="46.5">
      <c r="A18" s="2010">
        <v>6</v>
      </c>
      <c r="B18" s="1934" t="s">
        <v>1339</v>
      </c>
      <c r="C18" s="1932">
        <f>'[85]POS by sector'!$I$15</f>
        <v>16402</v>
      </c>
      <c r="D18" s="2298">
        <f>'[85]POS by sector'!$J$15</f>
        <v>445811.40600000002</v>
      </c>
      <c r="E18" s="1932">
        <f>'[86]POS by sector'!$I$15</f>
        <v>6654</v>
      </c>
      <c r="F18" s="2298">
        <f>'[86]POS by sector'!$J$15</f>
        <v>304607.24400000006</v>
      </c>
      <c r="G18" s="1932">
        <f>'[87]POS by sector'!$I$15</f>
        <v>9755</v>
      </c>
      <c r="H18" s="2298">
        <f>'[87]POS by sector'!$J$15</f>
        <v>333947.54000000004</v>
      </c>
      <c r="I18" s="1932">
        <f>'[88]POS by sector'!$I$15</f>
        <v>2250</v>
      </c>
      <c r="J18" s="2298">
        <f>'[88]POS by sector'!$J$15</f>
        <v>252089.101</v>
      </c>
      <c r="K18" s="1932">
        <f>'[89]POS by sector'!$I$15</f>
        <v>4712</v>
      </c>
      <c r="L18" s="2298">
        <f>'[89]POS by sector'!$J$15</f>
        <v>267809.75399999996</v>
      </c>
      <c r="M18" s="1932">
        <f>'[90]POS by sector'!$I$15</f>
        <v>10542</v>
      </c>
      <c r="N18" s="2298">
        <f>'[90]POS by sector'!$J$15</f>
        <v>355697.34499999997</v>
      </c>
      <c r="O18" s="1936" t="s">
        <v>1340</v>
      </c>
    </row>
    <row r="19" spans="1:15" ht="31.5" customHeight="1">
      <c r="A19" s="2010">
        <v>7</v>
      </c>
      <c r="B19" s="1934" t="s">
        <v>1341</v>
      </c>
      <c r="C19" s="1932">
        <f>'[85]POS by sector'!$I$16</f>
        <v>315193</v>
      </c>
      <c r="D19" s="1932">
        <f>'[85]POS by sector'!$J$16</f>
        <v>3205420.463</v>
      </c>
      <c r="E19" s="1932">
        <f>'[86]POS by sector'!$I$16</f>
        <v>261046</v>
      </c>
      <c r="F19" s="1932">
        <f>'[86]POS by sector'!$J$16</f>
        <v>2649008.764</v>
      </c>
      <c r="G19" s="1932">
        <f>'[87]POS by sector'!$I$16</f>
        <v>263111</v>
      </c>
      <c r="H19" s="1932">
        <f>'[87]POS by sector'!$J$16</f>
        <v>2839200.6180000002</v>
      </c>
      <c r="I19" s="1932">
        <f>'[88]POS by sector'!$I$16</f>
        <v>168439</v>
      </c>
      <c r="J19" s="1932">
        <f>'[88]POS by sector'!$J$16</f>
        <v>1884846.6919999998</v>
      </c>
      <c r="K19" s="1932">
        <f>'[89]POS by sector'!$I$16</f>
        <v>194475</v>
      </c>
      <c r="L19" s="2451">
        <f>'[89]POS by sector'!$J$16+1</f>
        <v>1992721.3640000001</v>
      </c>
      <c r="M19" s="1932">
        <f>'[90]POS by sector'!$I$16</f>
        <v>301379</v>
      </c>
      <c r="N19" s="2298">
        <f>'[90]POS by sector'!$J$16</f>
        <v>3017382.2620000001</v>
      </c>
      <c r="O19" s="1935" t="s">
        <v>1342</v>
      </c>
    </row>
    <row r="20" spans="1:15" ht="31.5" customHeight="1">
      <c r="A20" s="2010">
        <v>8</v>
      </c>
      <c r="B20" s="1934" t="s">
        <v>1343</v>
      </c>
      <c r="C20" s="1932">
        <f>'[85]POS by sector'!$I$17</f>
        <v>7731</v>
      </c>
      <c r="D20" s="2298">
        <f>'[85]POS by sector'!$J$17</f>
        <v>5340418.9839999992</v>
      </c>
      <c r="E20" s="1932">
        <f>'[86]POS by sector'!$I$17</f>
        <v>7264</v>
      </c>
      <c r="F20" s="2298">
        <f>'[86]POS by sector'!$J$17</f>
        <v>5122119.1400000006</v>
      </c>
      <c r="G20" s="1932">
        <f>'[87]POS by sector'!$I$17</f>
        <v>6267</v>
      </c>
      <c r="H20" s="2298">
        <f>'[87]POS by sector'!$J$17</f>
        <v>5763018.2420000006</v>
      </c>
      <c r="I20" s="1932">
        <f>'[88]POS by sector'!$I$17</f>
        <v>1297</v>
      </c>
      <c r="J20" s="2298">
        <f>'[88]POS by sector'!$J$17</f>
        <v>1168112.4639999999</v>
      </c>
      <c r="K20" s="1932">
        <f>'[89]POS by sector'!$I$17</f>
        <v>2279</v>
      </c>
      <c r="L20" s="2298">
        <f>'[89]POS by sector'!$J$17</f>
        <v>2058030.176</v>
      </c>
      <c r="M20" s="1932">
        <f>'[90]POS by sector'!$I$17</f>
        <v>6289</v>
      </c>
      <c r="N20" s="2298">
        <f>'[90]POS by sector'!$J$17</f>
        <v>4993353.8119999999</v>
      </c>
      <c r="O20" s="1935" t="s">
        <v>1344</v>
      </c>
    </row>
    <row r="21" spans="1:15" ht="31.5" customHeight="1">
      <c r="A21" s="2010">
        <v>9</v>
      </c>
      <c r="B21" s="1934" t="s">
        <v>1345</v>
      </c>
      <c r="C21" s="1932">
        <f>'[85]POS by sector'!$I$18</f>
        <v>80233</v>
      </c>
      <c r="D21" s="2298">
        <f>'[85]POS by sector'!$J$18</f>
        <v>2334841.787</v>
      </c>
      <c r="E21" s="1932">
        <f>'[86]POS by sector'!$I$18</f>
        <v>74827</v>
      </c>
      <c r="F21" s="2298">
        <f>'[86]POS by sector'!$J$18</f>
        <v>2032406.5009999997</v>
      </c>
      <c r="G21" s="1932">
        <f>'[87]POS by sector'!$I$18</f>
        <v>58243</v>
      </c>
      <c r="H21" s="2298">
        <f>'[87]POS by sector'!$J$18</f>
        <v>1752637.7990000003</v>
      </c>
      <c r="I21" s="1932">
        <f>'[88]POS by sector'!$I$18</f>
        <v>7733</v>
      </c>
      <c r="J21" s="2298">
        <f>'[88]POS by sector'!$J$18</f>
        <v>225322.334</v>
      </c>
      <c r="K21" s="1932">
        <f>'[89]POS by sector'!$I$18</f>
        <v>13345</v>
      </c>
      <c r="L21" s="2298">
        <f>'[89]POS by sector'!$J$18</f>
        <v>303193.84999999998</v>
      </c>
      <c r="M21" s="1932">
        <f>'[90]POS by sector'!$I$18</f>
        <v>47172</v>
      </c>
      <c r="N21" s="2298">
        <f>'[90]POS by sector'!$J$18</f>
        <v>1174477.5610000002</v>
      </c>
      <c r="O21" s="1935" t="s">
        <v>1346</v>
      </c>
    </row>
    <row r="22" spans="1:15" ht="31.5" customHeight="1">
      <c r="A22" s="2010">
        <v>10</v>
      </c>
      <c r="B22" s="1934" t="s">
        <v>1347</v>
      </c>
      <c r="C22" s="1932">
        <f>'[85]POS by sector'!$I$19</f>
        <v>110367</v>
      </c>
      <c r="D22" s="1932">
        <f>'[85]POS by sector'!$J$19</f>
        <v>5380558.3520000009</v>
      </c>
      <c r="E22" s="1932">
        <f>'[86]POS by sector'!$I$19</f>
        <v>97489</v>
      </c>
      <c r="F22" s="1932">
        <f>'[86]POS by sector'!$J$19</f>
        <v>4709907.716</v>
      </c>
      <c r="G22" s="1932">
        <f>'[87]POS by sector'!$I$19</f>
        <v>75487</v>
      </c>
      <c r="H22" s="1932">
        <f>'[87]POS by sector'!$J$19</f>
        <v>4161455.6569999997</v>
      </c>
      <c r="I22" s="1932">
        <f>'[88]POS by sector'!$I$19</f>
        <v>14499</v>
      </c>
      <c r="J22" s="1932">
        <f>'[88]POS by sector'!$J$19</f>
        <v>921625.86300000001</v>
      </c>
      <c r="K22" s="1932">
        <f>'[89]POS by sector'!$I$19</f>
        <v>31198</v>
      </c>
      <c r="L22" s="1932">
        <f>'[89]POS by sector'!$J$19</f>
        <v>1923043.6679999998</v>
      </c>
      <c r="M22" s="1932">
        <f>'[90]POS by sector'!$I$19</f>
        <v>106273</v>
      </c>
      <c r="N22" s="1932">
        <f>'[90]POS by sector'!$J$19</f>
        <v>5358492.5510000009</v>
      </c>
      <c r="O22" s="1935" t="s">
        <v>1348</v>
      </c>
    </row>
    <row r="23" spans="1:15" ht="31.5" customHeight="1">
      <c r="A23" s="2010">
        <v>11</v>
      </c>
      <c r="B23" s="1934" t="s">
        <v>1349</v>
      </c>
      <c r="C23" s="1932">
        <f>'[85]POS by sector'!$I$20</f>
        <v>13806</v>
      </c>
      <c r="D23" s="2298">
        <f>'[85]POS by sector'!$J$20</f>
        <v>632650.63300000003</v>
      </c>
      <c r="E23" s="1932">
        <f>'[86]POS by sector'!$I$20</f>
        <v>10153</v>
      </c>
      <c r="F23" s="2298">
        <f>'[86]POS by sector'!$J$20</f>
        <v>364998.25</v>
      </c>
      <c r="G23" s="1932">
        <f>'[87]POS by sector'!$I$20</f>
        <v>8850</v>
      </c>
      <c r="H23" s="2298">
        <f>'[87]POS by sector'!$J$20</f>
        <v>354151.15299999999</v>
      </c>
      <c r="I23" s="1932">
        <f>'[88]POS by sector'!$I$20</f>
        <v>4506</v>
      </c>
      <c r="J23" s="2298">
        <f>'[88]POS by sector'!$J$20</f>
        <v>219474.24299999999</v>
      </c>
      <c r="K23" s="1932">
        <f>'[89]POS by sector'!$I$20</f>
        <v>5894</v>
      </c>
      <c r="L23" s="2451">
        <f>'[89]POS by sector'!$J$20+1</f>
        <v>266668.45</v>
      </c>
      <c r="M23" s="1932">
        <f>'[90]POS by sector'!$I$20</f>
        <v>11025</v>
      </c>
      <c r="N23" s="2298">
        <f>'[90]POS by sector'!$J$20</f>
        <v>397138.908</v>
      </c>
      <c r="O23" s="1935" t="s">
        <v>1350</v>
      </c>
    </row>
    <row r="24" spans="1:15" ht="30" customHeight="1">
      <c r="A24" s="2010">
        <v>12</v>
      </c>
      <c r="B24" s="1934" t="s">
        <v>1351</v>
      </c>
      <c r="C24" s="1932">
        <f>'[85]POS by sector'!$I$21</f>
        <v>133781</v>
      </c>
      <c r="D24" s="2298">
        <f>'[85]POS by sector'!$J$21</f>
        <v>586756.06799999997</v>
      </c>
      <c r="E24" s="1932">
        <f>'[86]POS by sector'!$I$21</f>
        <v>122171</v>
      </c>
      <c r="F24" s="2298">
        <f>'[86]POS by sector'!$J$21</f>
        <v>433535.36599999998</v>
      </c>
      <c r="G24" s="1932">
        <f>'[87]POS by sector'!$I$21</f>
        <v>85612</v>
      </c>
      <c r="H24" s="2298">
        <f>'[87]POS by sector'!$J$21</f>
        <v>410070.39600000007</v>
      </c>
      <c r="I24" s="1932">
        <f>'[88]POS by sector'!$I$21</f>
        <v>23492</v>
      </c>
      <c r="J24" s="2298">
        <f>'[88]POS by sector'!$J$21</f>
        <v>182165.652</v>
      </c>
      <c r="K24" s="1932">
        <f>'[89]POS by sector'!$I$21</f>
        <v>63730</v>
      </c>
      <c r="L24" s="2298">
        <f>'[89]POS by sector'!$J$21</f>
        <v>322596.38299999997</v>
      </c>
      <c r="M24" s="1932">
        <f>'[90]POS by sector'!$I$21</f>
        <v>126304</v>
      </c>
      <c r="N24" s="2298">
        <f>'[90]POS by sector'!$J$21</f>
        <v>556796.22</v>
      </c>
      <c r="O24" s="1935" t="s">
        <v>1352</v>
      </c>
    </row>
    <row r="25" spans="1:15" ht="31.5" customHeight="1">
      <c r="A25" s="2010">
        <v>13</v>
      </c>
      <c r="B25" s="1934" t="s">
        <v>1353</v>
      </c>
      <c r="C25" s="1932">
        <f>'[85]POS by sector'!$I$22</f>
        <v>36207</v>
      </c>
      <c r="D25" s="2298">
        <f>'[85]POS by sector'!$J$22</f>
        <v>499493.37000000005</v>
      </c>
      <c r="E25" s="1932">
        <f>'[86]POS by sector'!$I$22</f>
        <v>32781</v>
      </c>
      <c r="F25" s="2298">
        <f>'[86]POS by sector'!$J$22</f>
        <v>399542.27600000007</v>
      </c>
      <c r="G25" s="1932">
        <f>'[87]POS by sector'!$I$22</f>
        <v>27779</v>
      </c>
      <c r="H25" s="2298">
        <f>'[87]POS by sector'!$J$22</f>
        <v>418250.28300000005</v>
      </c>
      <c r="I25" s="1932">
        <f>'[88]POS by sector'!$I$22</f>
        <v>16476</v>
      </c>
      <c r="J25" s="2298">
        <f>'[88]POS by sector'!$J$22</f>
        <v>300368.06799999997</v>
      </c>
      <c r="K25" s="1932">
        <f>'[89]POS by sector'!$I$22</f>
        <v>25370</v>
      </c>
      <c r="L25" s="2298">
        <f>'[89]POS by sector'!$J$22</f>
        <v>368866.95499999996</v>
      </c>
      <c r="M25" s="1932">
        <f>'[90]POS by sector'!$I$22</f>
        <v>48314</v>
      </c>
      <c r="N25" s="2298">
        <f>'[90]POS by sector'!$J$22</f>
        <v>522530.41699999996</v>
      </c>
      <c r="O25" s="1935" t="s">
        <v>1354</v>
      </c>
    </row>
    <row r="26" spans="1:15" ht="31.5" customHeight="1">
      <c r="A26" s="2010">
        <v>14</v>
      </c>
      <c r="B26" s="1934" t="s">
        <v>1355</v>
      </c>
      <c r="C26" s="1932">
        <f>'[85]POS by sector'!$I$23</f>
        <v>12706</v>
      </c>
      <c r="D26" s="2298">
        <f>'[85]POS by sector'!$J$23</f>
        <v>162492.37400000001</v>
      </c>
      <c r="E26" s="1932">
        <f>'[86]POS by sector'!$I$23</f>
        <v>10965</v>
      </c>
      <c r="F26" s="2298">
        <f>'[86]POS by sector'!$J$23</f>
        <v>126187.90000000001</v>
      </c>
      <c r="G26" s="1932">
        <f>'[87]POS by sector'!$I$23</f>
        <v>9507</v>
      </c>
      <c r="H26" s="2298">
        <f>'[87]POS by sector'!$J$23</f>
        <v>161885.057</v>
      </c>
      <c r="I26" s="1932">
        <f>'[88]POS by sector'!$I$23</f>
        <v>1086</v>
      </c>
      <c r="J26" s="2298">
        <f>'[88]POS by sector'!$J$23</f>
        <v>32626.898999999998</v>
      </c>
      <c r="K26" s="1932">
        <f>'[89]POS by sector'!$I$23</f>
        <v>1941</v>
      </c>
      <c r="L26" s="2298">
        <f>'[89]POS by sector'!$J$23</f>
        <v>46201.376000000004</v>
      </c>
      <c r="M26" s="1932">
        <f>'[90]POS by sector'!$I$23</f>
        <v>6081</v>
      </c>
      <c r="N26" s="2298">
        <f>'[90]POS by sector'!$J$23</f>
        <v>106661.18700000001</v>
      </c>
      <c r="O26" s="1935" t="s">
        <v>1356</v>
      </c>
    </row>
    <row r="27" spans="1:15" ht="31">
      <c r="A27" s="2010">
        <v>15</v>
      </c>
      <c r="B27" s="1934" t="s">
        <v>1357</v>
      </c>
      <c r="C27" s="1932">
        <f>'[85]POS by sector'!$I$24</f>
        <v>104937</v>
      </c>
      <c r="D27" s="1932">
        <f>'[85]POS by sector'!$J$24</f>
        <v>2014028.0789999999</v>
      </c>
      <c r="E27" s="1932">
        <f>'[86]POS by sector'!$I$24</f>
        <v>67716</v>
      </c>
      <c r="F27" s="1932">
        <f>'[86]POS by sector'!$J$24</f>
        <v>1672963.531</v>
      </c>
      <c r="G27" s="1932">
        <f>'[87]POS by sector'!$I$24</f>
        <v>56050</v>
      </c>
      <c r="H27" s="1932">
        <f>'[87]POS by sector'!$J$24</f>
        <v>1429308.8470000001</v>
      </c>
      <c r="I27" s="1932">
        <f>'[88]POS by sector'!$I$24</f>
        <v>20987</v>
      </c>
      <c r="J27" s="1932">
        <f>'[88]POS by sector'!$J$24</f>
        <v>852852.45299999998</v>
      </c>
      <c r="K27" s="1932">
        <f>'[89]POS by sector'!$I$24</f>
        <v>29732</v>
      </c>
      <c r="L27" s="1932">
        <f>'[89]POS by sector'!$J$24</f>
        <v>851860.76699999999</v>
      </c>
      <c r="M27" s="1932">
        <f>'[90]POS by sector'!$I$24</f>
        <v>55634</v>
      </c>
      <c r="N27" s="1932">
        <f>'[90]POS by sector'!$J$24</f>
        <v>1318680.121</v>
      </c>
      <c r="O27" s="1935" t="s">
        <v>1358</v>
      </c>
    </row>
    <row r="28" spans="1:15" ht="31.5" customHeight="1">
      <c r="A28" s="2010">
        <v>16</v>
      </c>
      <c r="B28" s="1934" t="s">
        <v>1359</v>
      </c>
      <c r="C28" s="1932">
        <f>'[85]POS by sector'!$I$25</f>
        <v>2944</v>
      </c>
      <c r="D28" s="1932">
        <f>'[85]POS by sector'!$J$25</f>
        <v>473323.05700000003</v>
      </c>
      <c r="E28" s="1932">
        <f>'[86]POS by sector'!$I$25</f>
        <v>1629</v>
      </c>
      <c r="F28" s="1932">
        <f>'[86]POS by sector'!$J$25</f>
        <v>226141.58299999998</v>
      </c>
      <c r="G28" s="1932">
        <f>'[87]POS by sector'!$I$25</f>
        <v>2212</v>
      </c>
      <c r="H28" s="1932">
        <f>'[87]POS by sector'!$J$25</f>
        <v>352468.67500000005</v>
      </c>
      <c r="I28" s="1932">
        <f>'[88]POS by sector'!$I$25</f>
        <v>479</v>
      </c>
      <c r="J28" s="1932">
        <f>'[88]POS by sector'!$J$25</f>
        <v>111571.95800000001</v>
      </c>
      <c r="K28" s="1932">
        <f>'[89]POS by sector'!$I$25</f>
        <v>656</v>
      </c>
      <c r="L28" s="1932">
        <f>'[89]POS by sector'!$J$25</f>
        <v>176432.253</v>
      </c>
      <c r="M28" s="1932">
        <f>'[90]POS by sector'!$I$25</f>
        <v>2006</v>
      </c>
      <c r="N28" s="1932">
        <f>'[90]POS by sector'!$J$25</f>
        <v>321305.30200000003</v>
      </c>
      <c r="O28" s="1936" t="s">
        <v>1360</v>
      </c>
    </row>
    <row r="29" spans="1:15" ht="31.5" customHeight="1">
      <c r="A29" s="2010">
        <v>17</v>
      </c>
      <c r="B29" s="1934" t="s">
        <v>1361</v>
      </c>
      <c r="C29" s="1932">
        <f>'[85]POS by sector'!$I$26</f>
        <v>51375</v>
      </c>
      <c r="D29" s="2298">
        <f>'[85]POS by sector'!$J$26</f>
        <v>947072.53899999999</v>
      </c>
      <c r="E29" s="1932">
        <f>'[86]POS by sector'!$I$26</f>
        <v>33967</v>
      </c>
      <c r="F29" s="2298">
        <f>'[86]POS by sector'!$J$26</f>
        <v>787772.79600000021</v>
      </c>
      <c r="G29" s="1932">
        <f>'[87]POS by sector'!$I$26</f>
        <v>28492</v>
      </c>
      <c r="H29" s="2298">
        <f>'[87]POS by sector'!$J$26</f>
        <v>822480.14600000007</v>
      </c>
      <c r="I29" s="1932">
        <f>'[88]POS by sector'!$I$26</f>
        <v>8048</v>
      </c>
      <c r="J29" s="2298">
        <f>'[88]POS by sector'!$J$26</f>
        <v>170303.58899999998</v>
      </c>
      <c r="K29" s="1932">
        <f>'[89]POS by sector'!$I$26</f>
        <v>17856</v>
      </c>
      <c r="L29" s="2298">
        <f>'[89]POS by sector'!$J$26</f>
        <v>-396359.61400000012</v>
      </c>
      <c r="M29" s="1932">
        <f>'[90]POS by sector'!$I$26</f>
        <v>39316</v>
      </c>
      <c r="N29" s="2451">
        <f>'[90]POS by sector'!$J$26+0.1</f>
        <v>745299.56699999992</v>
      </c>
      <c r="O29" s="1935" t="s">
        <v>1362</v>
      </c>
    </row>
    <row r="30" spans="1:15" ht="46.5" customHeight="1">
      <c r="A30" s="2010">
        <v>18</v>
      </c>
      <c r="B30" s="1934" t="s">
        <v>1363</v>
      </c>
      <c r="C30" s="1932">
        <f>'[85]POS by sector'!$I$27</f>
        <v>8832</v>
      </c>
      <c r="D30" s="2298">
        <f>'[85]POS by sector'!$J$27</f>
        <v>473483.663</v>
      </c>
      <c r="E30" s="1932">
        <f>'[86]POS by sector'!$I$27</f>
        <v>7307</v>
      </c>
      <c r="F30" s="2298">
        <f>'[86]POS by sector'!$J$27</f>
        <v>420947.51599999995</v>
      </c>
      <c r="G30" s="1932">
        <f>'[87]POS by sector'!$I$27</f>
        <v>7087</v>
      </c>
      <c r="H30" s="2298">
        <f>'[87]POS by sector'!$J$27</f>
        <v>437094.12400000001</v>
      </c>
      <c r="I30" s="1932">
        <f>'[88]POS by sector'!$I$27</f>
        <v>1276</v>
      </c>
      <c r="J30" s="2298">
        <f>'[88]POS by sector'!$J$27</f>
        <v>146771.87599999999</v>
      </c>
      <c r="K30" s="1932">
        <f>'[89]POS by sector'!$I$27</f>
        <v>2860</v>
      </c>
      <c r="L30" s="2298">
        <f>'[89]POS by sector'!$J$27</f>
        <v>286635.76399999997</v>
      </c>
      <c r="M30" s="1932">
        <f>'[90]POS by sector'!$I$27</f>
        <v>6071</v>
      </c>
      <c r="N30" s="2298">
        <f>'[90]POS by sector'!$J$27</f>
        <v>372238.64400000003</v>
      </c>
      <c r="O30" s="1935" t="s">
        <v>1364</v>
      </c>
    </row>
    <row r="31" spans="1:15" ht="31.5" customHeight="1">
      <c r="A31" s="2010">
        <v>19</v>
      </c>
      <c r="B31" s="1934" t="s">
        <v>1365</v>
      </c>
      <c r="C31" s="1932">
        <f>'[85]POS by sector'!$I$28</f>
        <v>4515</v>
      </c>
      <c r="D31" s="2298">
        <f>'[85]POS by sector'!$J$28</f>
        <v>108733.58</v>
      </c>
      <c r="E31" s="1932">
        <f>'[86]POS by sector'!$I$28</f>
        <v>3418</v>
      </c>
      <c r="F31" s="2298">
        <f>'[86]POS by sector'!$J$28</f>
        <v>92249.769</v>
      </c>
      <c r="G31" s="1932">
        <f>'[87]POS by sector'!$I$28</f>
        <v>3240</v>
      </c>
      <c r="H31" s="2298">
        <f>'[87]POS by sector'!$J$28</f>
        <v>87502.357000000004</v>
      </c>
      <c r="I31" s="1932">
        <f>'[88]POS by sector'!$I$28</f>
        <v>562</v>
      </c>
      <c r="J31" s="2298">
        <f>'[88]POS by sector'!$J$28</f>
        <v>33018.741999999998</v>
      </c>
      <c r="K31" s="1932">
        <f>'[89]POS by sector'!$I$28</f>
        <v>1047</v>
      </c>
      <c r="L31" s="2298">
        <f>'[89]POS by sector'!$J$28</f>
        <v>39831.188999999998</v>
      </c>
      <c r="M31" s="1932">
        <f>'[90]POS by sector'!$I$28</f>
        <v>2957</v>
      </c>
      <c r="N31" s="2298">
        <f>'[90]POS by sector'!$J$28</f>
        <v>80845.027999999991</v>
      </c>
      <c r="O31" s="1935" t="s">
        <v>1366</v>
      </c>
    </row>
    <row r="32" spans="1:15" ht="31.5" customHeight="1">
      <c r="A32" s="2010">
        <v>20</v>
      </c>
      <c r="B32" s="1934" t="s">
        <v>1367</v>
      </c>
      <c r="C32" s="1932">
        <f>'[85]POS by sector'!$I$29</f>
        <v>185032</v>
      </c>
      <c r="D32" s="2298">
        <f>'[85]POS by sector'!$J$29</f>
        <v>5497149.9009999987</v>
      </c>
      <c r="E32" s="1932">
        <f>'[86]POS by sector'!$I$29</f>
        <v>183452</v>
      </c>
      <c r="F32" s="2298">
        <f>'[86]POS by sector'!$J$29</f>
        <v>4247296.091</v>
      </c>
      <c r="G32" s="1932">
        <f>'[87]POS by sector'!$I$29</f>
        <v>265178</v>
      </c>
      <c r="H32" s="2298">
        <f>'[87]POS by sector'!$J$29</f>
        <v>4826919.4230000013</v>
      </c>
      <c r="I32" s="1932">
        <f>'[88]POS by sector'!$I$29</f>
        <v>223920</v>
      </c>
      <c r="J32" s="2298">
        <f>'[88]POS by sector'!$J$29</f>
        <v>2664926.2389999991</v>
      </c>
      <c r="K32" s="1932">
        <f>'[89]POS by sector'!$I$29</f>
        <v>232706</v>
      </c>
      <c r="L32" s="2298">
        <f>'[89]POS by sector'!$J$29</f>
        <v>3313708.3289999999</v>
      </c>
      <c r="M32" s="1932">
        <f>'[90]POS by sector'!$I$29</f>
        <v>317149</v>
      </c>
      <c r="N32" s="2298">
        <f>'[90]POS by sector'!$J$29</f>
        <v>5772865.2630000003</v>
      </c>
      <c r="O32" s="1935" t="s">
        <v>1368</v>
      </c>
    </row>
    <row r="33" spans="1:15" s="1940" customFormat="1" ht="31.5" customHeight="1">
      <c r="A33" s="2012"/>
      <c r="B33" s="1937" t="s">
        <v>400</v>
      </c>
      <c r="C33" s="1938">
        <f>'[85]POS by sector'!$I$30</f>
        <v>2172810</v>
      </c>
      <c r="D33" s="2161">
        <f>'[85]POS by sector'!$J$30</f>
        <v>50942084.136999995</v>
      </c>
      <c r="E33" s="1938">
        <f>'[86]POS by sector'!$I$30</f>
        <v>1829112</v>
      </c>
      <c r="F33" s="2161">
        <f>'[86]POS by sector'!$J$30</f>
        <v>42511527.971000001</v>
      </c>
      <c r="G33" s="1938">
        <f>'[87]POS by sector'!$I$30</f>
        <v>1682014</v>
      </c>
      <c r="H33" s="2161">
        <f>'[87]POS by sector'!$J$30</f>
        <v>41172143.103</v>
      </c>
      <c r="I33" s="1938">
        <f>'[88]POS by sector'!$I$30</f>
        <v>895960</v>
      </c>
      <c r="J33" s="2161">
        <f>'[88]POS by sector'!$J$30</f>
        <v>16208040.485000003</v>
      </c>
      <c r="K33" s="1938">
        <f>'[89]POS by sector'!$I$30</f>
        <v>1173783</v>
      </c>
      <c r="L33" s="2161">
        <f>'[89]POS by sector'!$J$30</f>
        <v>21185686.701999996</v>
      </c>
      <c r="M33" s="1938">
        <f>'[90]POS by sector'!$I$30</f>
        <v>2014748</v>
      </c>
      <c r="N33" s="2161">
        <f>'[90]POS by sector'!$J$30</f>
        <v>44433120.277999997</v>
      </c>
      <c r="O33" s="1939" t="s">
        <v>390</v>
      </c>
    </row>
    <row r="34" spans="1:15" ht="27.75" customHeight="1">
      <c r="A34" s="1941" t="s">
        <v>1369</v>
      </c>
      <c r="B34" s="1942"/>
      <c r="C34" s="1943"/>
      <c r="D34" s="1943"/>
      <c r="E34" s="1943"/>
      <c r="F34" s="1943"/>
      <c r="G34" s="1943"/>
      <c r="H34" s="1943"/>
      <c r="I34" s="1943"/>
      <c r="J34" s="1943"/>
      <c r="K34" s="1943"/>
      <c r="L34" s="1943"/>
      <c r="M34" s="1943"/>
      <c r="N34" s="1943"/>
      <c r="O34" s="1944" t="s">
        <v>1370</v>
      </c>
    </row>
    <row r="35" spans="1:15" ht="17.5">
      <c r="A35" s="1941" t="s">
        <v>1371</v>
      </c>
      <c r="B35" s="1942"/>
      <c r="C35" s="1943"/>
      <c r="D35" s="1943"/>
      <c r="E35" s="1943"/>
      <c r="F35" s="1943"/>
      <c r="G35" s="1943"/>
      <c r="H35" s="1943"/>
      <c r="I35" s="1943"/>
      <c r="J35" s="1943"/>
      <c r="K35" s="1943"/>
      <c r="L35" s="1943"/>
      <c r="M35" s="1943"/>
      <c r="N35" s="1943"/>
      <c r="O35" s="1944" t="s">
        <v>1372</v>
      </c>
    </row>
    <row r="36" spans="1:15" ht="17.5">
      <c r="A36" s="1941"/>
      <c r="B36" s="1942"/>
      <c r="C36" s="1943"/>
      <c r="D36" s="1943"/>
      <c r="E36" s="1943"/>
      <c r="F36" s="1943"/>
      <c r="G36" s="1943"/>
      <c r="H36" s="1943"/>
      <c r="I36" s="1943"/>
      <c r="J36" s="1943"/>
      <c r="K36" s="1943"/>
      <c r="L36" s="1943"/>
      <c r="M36" s="1943"/>
      <c r="N36" s="1943"/>
      <c r="O36" s="1944"/>
    </row>
    <row r="37" spans="1:15">
      <c r="A37" s="1945" t="s">
        <v>1377</v>
      </c>
      <c r="B37" s="1945"/>
      <c r="C37" s="1945"/>
      <c r="D37" s="1945"/>
      <c r="E37" s="1945"/>
      <c r="F37" s="1945"/>
      <c r="G37" s="1945"/>
      <c r="H37" s="1945"/>
      <c r="I37" s="1945"/>
      <c r="J37" s="1945"/>
      <c r="K37" s="1945"/>
      <c r="L37" s="1945"/>
      <c r="M37" s="1945"/>
      <c r="N37" s="1945"/>
      <c r="O37" s="1945"/>
    </row>
    <row r="38" spans="1:15">
      <c r="C38" s="2310">
        <f t="shared" ref="C38:F38" si="0">ROUND(C33,0)-ROUND(C13,0)-ROUND(C14,0)-ROUND(C15,0)-ROUND(C16,0)-ROUND(C17,0)-ROUND(C18,0)-ROUND(C19,0)-ROUND(C20,0)-ROUND(C21,0)-ROUND(C22,0)-ROUND(C23,0)-ROUND(C24,0)-ROUND(C25,0)-ROUND(C26,0)-ROUND(C27,0)-ROUND(C28,0)-ROUND(C29,0)-ROUND(C30,0)-ROUND(C31,0)-ROUND(C32,0)</f>
        <v>0</v>
      </c>
      <c r="D38" s="2310">
        <f t="shared" si="0"/>
        <v>0</v>
      </c>
      <c r="E38" s="2310">
        <f t="shared" si="0"/>
        <v>0</v>
      </c>
      <c r="F38" s="2310">
        <f t="shared" si="0"/>
        <v>0</v>
      </c>
      <c r="G38" s="2310">
        <f t="shared" ref="G38:H38" si="1">ROUND(G33,0)-ROUND(G13,0)-ROUND(G14,0)-ROUND(G15,0)-ROUND(G16,0)-ROUND(G17,0)-ROUND(G18,0)-ROUND(G19,0)-ROUND(G20,0)-ROUND(G21,0)-ROUND(G22,0)-ROUND(G23,0)-ROUND(G24,0)-ROUND(G25,0)-ROUND(G26,0)-ROUND(G27,0)-ROUND(G28,0)-ROUND(G29,0)-ROUND(G30,0)-ROUND(G31,0)-ROUND(G32,0)</f>
        <v>0</v>
      </c>
      <c r="H38" s="2310">
        <f t="shared" si="1"/>
        <v>0</v>
      </c>
      <c r="I38" s="2310">
        <f t="shared" ref="I38:J38" si="2">ROUND(I33,0)-ROUND(I13,0)-ROUND(I14,0)-ROUND(I15,0)-ROUND(I16,0)-ROUND(I17,0)-ROUND(I18,0)-ROUND(I19,0)-ROUND(I20,0)-ROUND(I21,0)-ROUND(I22,0)-ROUND(I23,0)-ROUND(I24,0)-ROUND(I25,0)-ROUND(I26,0)-ROUND(I27,0)-ROUND(I28,0)-ROUND(I29,0)-ROUND(I30,0)-ROUND(I31,0)-ROUND(I32,0)</f>
        <v>0</v>
      </c>
      <c r="J38" s="2310">
        <f t="shared" si="2"/>
        <v>0</v>
      </c>
      <c r="K38" s="2310">
        <f t="shared" ref="K38:L38" si="3">ROUND(K33,0)-ROUND(K13,0)-ROUND(K14,0)-ROUND(K15,0)-ROUND(K16,0)-ROUND(K17,0)-ROUND(K18,0)-ROUND(K19,0)-ROUND(K20,0)-ROUND(K21,0)-ROUND(K22,0)-ROUND(K23,0)-ROUND(K24,0)-ROUND(K25,0)-ROUND(K26,0)-ROUND(K27,0)-ROUND(K28,0)-ROUND(K29,0)-ROUND(K30,0)-ROUND(K31,0)-ROUND(K32,0)</f>
        <v>0</v>
      </c>
      <c r="L38" s="2310">
        <f t="shared" si="3"/>
        <v>0</v>
      </c>
      <c r="M38" s="2310">
        <f t="shared" ref="M38:N38" si="4">ROUND(M33,0)-ROUND(M13,0)-ROUND(M14,0)-ROUND(M15,0)-ROUND(M16,0)-ROUND(M17,0)-ROUND(M18,0)-ROUND(M19,0)-ROUND(M20,0)-ROUND(M21,0)-ROUND(M22,0)-ROUND(M23,0)-ROUND(M24,0)-ROUND(M25,0)-ROUND(M26,0)-ROUND(M27,0)-ROUND(M28,0)-ROUND(M29,0)-ROUND(M30,0)-ROUND(M31,0)-ROUND(M32,0)</f>
        <v>0</v>
      </c>
      <c r="N38" s="2310">
        <f t="shared" si="4"/>
        <v>0</v>
      </c>
    </row>
    <row r="39" spans="1:15">
      <c r="C39" s="1947"/>
      <c r="D39" s="1947"/>
      <c r="E39" s="1947"/>
      <c r="F39" s="1947"/>
      <c r="G39" s="1947"/>
      <c r="H39" s="1947"/>
      <c r="I39" s="1947"/>
      <c r="J39" s="1947"/>
      <c r="K39" s="1947"/>
      <c r="L39" s="1947"/>
      <c r="M39" s="1947"/>
      <c r="N39" s="1947"/>
    </row>
    <row r="41" spans="1:15">
      <c r="C41" s="1948"/>
      <c r="D41" s="1948"/>
      <c r="E41" s="1948"/>
      <c r="F41" s="1948"/>
      <c r="G41" s="1948"/>
      <c r="H41" s="1948"/>
      <c r="I41" s="1948"/>
      <c r="J41" s="1948"/>
      <c r="K41" s="1948"/>
      <c r="L41" s="1948"/>
      <c r="M41" s="1948"/>
      <c r="N41" s="1948"/>
      <c r="O41" s="1948"/>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scale="4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V47"/>
  <sheetViews>
    <sheetView zoomScale="90" zoomScaleNormal="90" workbookViewId="0">
      <pane ySplit="12" topLeftCell="A41" activePane="bottomLeft" state="frozen"/>
      <selection activeCell="B43" sqref="B43"/>
      <selection pane="bottomLeft" activeCell="M43" sqref="M43"/>
    </sheetView>
  </sheetViews>
  <sheetFormatPr defaultColWidth="7.81640625" defaultRowHeight="12.5"/>
  <cols>
    <col min="1" max="2" width="9.7265625" customWidth="1"/>
    <col min="3" max="11" width="14.7265625" style="27" customWidth="1"/>
    <col min="12" max="12" width="14.7265625" style="160" customWidth="1"/>
    <col min="13" max="16384" width="7.81640625" style="27"/>
  </cols>
  <sheetData>
    <row r="1" spans="1:13" s="1076" customFormat="1" ht="18">
      <c r="A1" s="1073" t="s">
        <v>433</v>
      </c>
      <c r="B1" s="1074"/>
      <c r="C1" s="1074"/>
      <c r="D1" s="1074"/>
      <c r="E1" s="1074"/>
      <c r="F1" s="1074"/>
      <c r="G1" s="1074"/>
      <c r="H1" s="1074"/>
      <c r="I1" s="1074"/>
      <c r="J1" s="1074"/>
      <c r="K1" s="1074"/>
      <c r="L1" s="1079"/>
    </row>
    <row r="2" spans="1:13" s="1076" customFormat="1" ht="18">
      <c r="A2" s="1080" t="s">
        <v>9</v>
      </c>
      <c r="B2" s="1074"/>
      <c r="C2" s="1074"/>
      <c r="D2" s="1074"/>
      <c r="E2" s="1074"/>
      <c r="F2" s="1074"/>
      <c r="G2" s="1074"/>
      <c r="H2" s="1074"/>
      <c r="I2" s="1074"/>
      <c r="J2" s="1074"/>
      <c r="K2" s="1074"/>
      <c r="L2" s="1079"/>
    </row>
    <row r="3" spans="1:13" s="1076" customFormat="1" ht="18">
      <c r="A3" s="1073" t="s">
        <v>8</v>
      </c>
      <c r="B3" s="1074"/>
      <c r="C3" s="1074"/>
      <c r="D3" s="1074"/>
      <c r="E3" s="1074"/>
      <c r="F3" s="1074"/>
      <c r="G3" s="1074"/>
      <c r="H3" s="1074"/>
      <c r="I3" s="1074"/>
      <c r="J3" s="1074"/>
      <c r="K3" s="1081"/>
      <c r="L3" s="1082"/>
    </row>
    <row r="4" spans="1:13" s="25" customFormat="1" ht="0.65" customHeight="1">
      <c r="A4" s="17"/>
      <c r="B4" s="5"/>
      <c r="C4" s="5"/>
      <c r="D4" s="5"/>
      <c r="E4" s="5"/>
      <c r="F4" s="5"/>
      <c r="G4" s="5"/>
      <c r="H4" s="5"/>
      <c r="I4" s="5"/>
      <c r="J4" s="5"/>
      <c r="K4" s="4"/>
      <c r="L4" s="154"/>
    </row>
    <row r="5" spans="1:13" s="25" customFormat="1" ht="0.65" customHeight="1">
      <c r="A5" s="17"/>
      <c r="B5" s="5"/>
      <c r="C5" s="5"/>
      <c r="D5" s="5"/>
      <c r="E5" s="5"/>
      <c r="F5" s="5"/>
      <c r="G5" s="5"/>
      <c r="H5" s="5"/>
      <c r="I5" s="5"/>
      <c r="J5" s="5"/>
      <c r="K5" s="4"/>
      <c r="L5" s="154"/>
    </row>
    <row r="6" spans="1:13" s="14" customFormat="1" ht="14.9" customHeight="1">
      <c r="A6" s="39" t="s">
        <v>377</v>
      </c>
      <c r="L6" s="155" t="s">
        <v>378</v>
      </c>
    </row>
    <row r="7" spans="1:13" s="43" customFormat="1" ht="18" customHeight="1">
      <c r="A7" s="30"/>
      <c r="B7" s="45"/>
      <c r="C7" s="304" t="s">
        <v>434</v>
      </c>
      <c r="D7" s="42"/>
      <c r="E7" s="42"/>
      <c r="F7" s="125"/>
      <c r="G7" s="125"/>
      <c r="H7" s="220"/>
      <c r="I7" s="233"/>
      <c r="J7" s="307" t="s">
        <v>435</v>
      </c>
      <c r="K7" s="368"/>
      <c r="L7" s="221"/>
    </row>
    <row r="8" spans="1:13" s="43" customFormat="1" ht="18" customHeight="1">
      <c r="A8" s="163"/>
      <c r="B8" s="106"/>
      <c r="C8" s="305" t="s">
        <v>436</v>
      </c>
      <c r="D8" s="42"/>
      <c r="E8" s="125"/>
      <c r="F8" s="266"/>
      <c r="G8" s="125"/>
      <c r="H8" s="306" t="s">
        <v>437</v>
      </c>
      <c r="I8" s="97"/>
      <c r="J8" s="74"/>
      <c r="K8" s="81" t="s">
        <v>438</v>
      </c>
      <c r="L8" s="156" t="s">
        <v>435</v>
      </c>
    </row>
    <row r="9" spans="1:13" s="36" customFormat="1" ht="18" customHeight="1">
      <c r="A9" s="26" t="s">
        <v>387</v>
      </c>
      <c r="B9" s="76"/>
      <c r="C9" s="41"/>
      <c r="D9" s="77"/>
      <c r="E9" s="77"/>
      <c r="F9" s="78"/>
      <c r="G9" s="79"/>
      <c r="H9" s="80" t="s">
        <v>439</v>
      </c>
      <c r="I9" s="310" t="s">
        <v>440</v>
      </c>
      <c r="J9" s="311" t="s">
        <v>390</v>
      </c>
      <c r="K9" s="81" t="s">
        <v>441</v>
      </c>
      <c r="L9" s="156" t="s">
        <v>442</v>
      </c>
    </row>
    <row r="10" spans="1:13" s="43" customFormat="1" ht="18" customHeight="1">
      <c r="A10" s="82" t="s">
        <v>395</v>
      </c>
      <c r="B10" s="83"/>
      <c r="C10" s="75" t="s">
        <v>443</v>
      </c>
      <c r="D10" s="81" t="s">
        <v>444</v>
      </c>
      <c r="E10" s="81" t="s">
        <v>445</v>
      </c>
      <c r="F10" s="81" t="s">
        <v>446</v>
      </c>
      <c r="G10" s="1490" t="s">
        <v>447</v>
      </c>
      <c r="H10" s="81" t="s">
        <v>448</v>
      </c>
      <c r="I10" s="309" t="s">
        <v>449</v>
      </c>
      <c r="J10" s="308" t="s">
        <v>400</v>
      </c>
      <c r="K10" s="66" t="s">
        <v>8</v>
      </c>
      <c r="L10" s="157" t="s">
        <v>8</v>
      </c>
    </row>
    <row r="11" spans="1:13" s="52" customFormat="1" ht="18" customHeight="1">
      <c r="A11" s="84"/>
      <c r="B11" s="85"/>
      <c r="C11" s="86" t="s">
        <v>450</v>
      </c>
      <c r="D11" s="86" t="s">
        <v>451</v>
      </c>
      <c r="E11" s="86" t="s">
        <v>452</v>
      </c>
      <c r="F11" s="86" t="s">
        <v>453</v>
      </c>
      <c r="G11" s="87" t="s">
        <v>454</v>
      </c>
      <c r="H11" s="88" t="s">
        <v>400</v>
      </c>
      <c r="I11" s="86"/>
      <c r="J11" s="86"/>
      <c r="K11" s="66" t="s">
        <v>455</v>
      </c>
      <c r="L11" s="158" t="s">
        <v>456</v>
      </c>
    </row>
    <row r="12" spans="1:13" s="52" customFormat="1" ht="18" customHeight="1">
      <c r="A12" s="89"/>
      <c r="B12" s="90"/>
      <c r="C12" s="50"/>
      <c r="D12" s="91"/>
      <c r="E12" s="92"/>
      <c r="F12" s="92"/>
      <c r="G12" s="93"/>
      <c r="H12" s="94" t="s">
        <v>457</v>
      </c>
      <c r="I12" s="95"/>
      <c r="J12" s="92"/>
      <c r="K12" s="92" t="s">
        <v>458</v>
      </c>
      <c r="L12" s="159" t="s">
        <v>413</v>
      </c>
    </row>
    <row r="13" spans="1:13" s="274" customFormat="1" ht="20.25" customHeight="1">
      <c r="A13" s="263">
        <v>2016</v>
      </c>
      <c r="B13" s="406"/>
      <c r="C13" s="407">
        <v>529.29999999999995</v>
      </c>
      <c r="D13" s="408">
        <v>69.7</v>
      </c>
      <c r="E13" s="409">
        <v>20.6</v>
      </c>
      <c r="F13" s="409">
        <v>23.2</v>
      </c>
      <c r="G13" s="409">
        <v>8</v>
      </c>
      <c r="H13" s="410">
        <v>650.80000000000007</v>
      </c>
      <c r="I13" s="409">
        <v>19.8</v>
      </c>
      <c r="J13" s="410">
        <v>670.6</v>
      </c>
      <c r="K13" s="408">
        <v>135.30073358308633</v>
      </c>
      <c r="L13" s="411">
        <v>535.29926641691372</v>
      </c>
      <c r="M13" s="412">
        <v>-4.6185277824406512E-14</v>
      </c>
    </row>
    <row r="14" spans="1:13" s="276" customFormat="1" ht="14.25" customHeight="1">
      <c r="A14" s="265">
        <v>2017</v>
      </c>
      <c r="B14" s="321"/>
      <c r="C14" s="413">
        <v>517.6</v>
      </c>
      <c r="D14" s="414">
        <v>71.099999999999994</v>
      </c>
      <c r="E14" s="415">
        <v>21.8</v>
      </c>
      <c r="F14" s="415">
        <v>23.4</v>
      </c>
      <c r="G14" s="415">
        <v>8.1999999999999993</v>
      </c>
      <c r="H14" s="413">
        <v>642.1</v>
      </c>
      <c r="I14" s="415">
        <v>20.6</v>
      </c>
      <c r="J14" s="413">
        <v>662.7</v>
      </c>
      <c r="K14" s="414">
        <v>135.87010868949105</v>
      </c>
      <c r="L14" s="413">
        <v>526.82989131050897</v>
      </c>
      <c r="M14" s="412">
        <v>0</v>
      </c>
    </row>
    <row r="15" spans="1:13" s="889" customFormat="1" ht="14.25" customHeight="1">
      <c r="A15" s="884">
        <v>2018</v>
      </c>
      <c r="B15" s="885"/>
      <c r="C15" s="914">
        <v>522.29999999999995</v>
      </c>
      <c r="D15" s="918">
        <v>79.400000000000006</v>
      </c>
      <c r="E15" s="919">
        <v>24.4</v>
      </c>
      <c r="F15" s="919">
        <v>24.9</v>
      </c>
      <c r="G15" s="919">
        <v>9.1999999999999993</v>
      </c>
      <c r="H15" s="914">
        <v>660.19999999999993</v>
      </c>
      <c r="I15" s="919">
        <v>21.5</v>
      </c>
      <c r="J15" s="914">
        <v>681.7</v>
      </c>
      <c r="K15" s="918">
        <v>153.61401866671198</v>
      </c>
      <c r="L15" s="920">
        <v>528.08598133328803</v>
      </c>
      <c r="M15" s="1803">
        <v>1.1368683772161603E-13</v>
      </c>
    </row>
    <row r="16" spans="1:13" s="889" customFormat="1" ht="14.25" customHeight="1">
      <c r="A16" s="884">
        <v>2019</v>
      </c>
      <c r="B16" s="885"/>
      <c r="C16" s="914">
        <v>521.5</v>
      </c>
      <c r="D16" s="918">
        <v>81</v>
      </c>
      <c r="E16" s="919">
        <v>28.2</v>
      </c>
      <c r="F16" s="919">
        <v>24.9</v>
      </c>
      <c r="G16" s="919">
        <v>9.1</v>
      </c>
      <c r="H16" s="914">
        <v>664.7</v>
      </c>
      <c r="I16" s="919">
        <v>22.4</v>
      </c>
      <c r="J16" s="914">
        <v>687.1</v>
      </c>
      <c r="K16" s="918">
        <v>152.01815108439322</v>
      </c>
      <c r="L16" s="920">
        <v>535.08184891560677</v>
      </c>
      <c r="M16" s="1803">
        <v>0</v>
      </c>
    </row>
    <row r="17" spans="1:22" s="889" customFormat="1" ht="14.25" customHeight="1">
      <c r="A17" s="884">
        <v>2020</v>
      </c>
      <c r="B17" s="885"/>
      <c r="C17" s="914">
        <v>575.9</v>
      </c>
      <c r="D17" s="918">
        <v>82.1</v>
      </c>
      <c r="E17" s="919">
        <v>29.8</v>
      </c>
      <c r="F17" s="919">
        <v>24.5</v>
      </c>
      <c r="G17" s="919">
        <v>9.8000000000000007</v>
      </c>
      <c r="H17" s="914">
        <v>722.09999999999991</v>
      </c>
      <c r="I17" s="919">
        <v>23</v>
      </c>
      <c r="J17" s="914">
        <v>745.1</v>
      </c>
      <c r="K17" s="918">
        <v>152.14040643960661</v>
      </c>
      <c r="L17" s="920">
        <v>592.95959356039339</v>
      </c>
      <c r="M17" s="1803">
        <v>1.1368683772161603E-13</v>
      </c>
    </row>
    <row r="18" spans="1:22" s="889" customFormat="1" ht="14.25" customHeight="1">
      <c r="A18" s="884">
        <v>2021</v>
      </c>
      <c r="B18" s="885"/>
      <c r="C18" s="914">
        <v>539.70000000000005</v>
      </c>
      <c r="D18" s="918">
        <v>76.599999999999994</v>
      </c>
      <c r="E18" s="919">
        <v>31.4</v>
      </c>
      <c r="F18" s="919">
        <v>24.6</v>
      </c>
      <c r="G18" s="919">
        <v>8.9</v>
      </c>
      <c r="H18" s="914">
        <v>681.2</v>
      </c>
      <c r="I18" s="919">
        <v>22.8</v>
      </c>
      <c r="J18" s="914">
        <v>704</v>
      </c>
      <c r="K18" s="918">
        <v>145.95841701867218</v>
      </c>
      <c r="L18" s="920">
        <v>558.04158298132779</v>
      </c>
      <c r="M18" s="1803">
        <v>-4.6185277824406512E-14</v>
      </c>
    </row>
    <row r="19" spans="1:22" s="483" customFormat="1" ht="14.25" customHeight="1">
      <c r="A19" s="1782">
        <v>2022</v>
      </c>
      <c r="B19" s="1783"/>
      <c r="C19" s="2389">
        <v>515.9</v>
      </c>
      <c r="D19" s="2413">
        <v>72.7</v>
      </c>
      <c r="E19" s="2414">
        <v>37.299999999999997</v>
      </c>
      <c r="F19" s="2414">
        <v>25.8</v>
      </c>
      <c r="G19" s="2414">
        <v>9.8000000000000007</v>
      </c>
      <c r="H19" s="2389">
        <v>661.49999999999989</v>
      </c>
      <c r="I19" s="2414">
        <v>22.9</v>
      </c>
      <c r="J19" s="2389">
        <v>684.4</v>
      </c>
      <c r="K19" s="2413">
        <v>177.85355717154039</v>
      </c>
      <c r="L19" s="2415">
        <v>506.54644282845959</v>
      </c>
      <c r="M19" s="1803">
        <v>9.2370555648813024E-14</v>
      </c>
    </row>
    <row r="20" spans="1:22" s="483" customFormat="1" ht="14.25" customHeight="1">
      <c r="A20" s="1782">
        <v>2023</v>
      </c>
      <c r="B20" s="1783"/>
      <c r="C20" s="2389">
        <v>502.4</v>
      </c>
      <c r="D20" s="2413">
        <v>69.7</v>
      </c>
      <c r="E20" s="2414">
        <v>35.9</v>
      </c>
      <c r="F20" s="2414">
        <v>26.3</v>
      </c>
      <c r="G20" s="2414">
        <v>10.4</v>
      </c>
      <c r="H20" s="2389">
        <v>644.69999999999993</v>
      </c>
      <c r="I20" s="2414">
        <v>23.1</v>
      </c>
      <c r="J20" s="2389">
        <v>667.8</v>
      </c>
      <c r="K20" s="2413">
        <v>135.90690119702001</v>
      </c>
      <c r="L20" s="2415">
        <v>531.89309880297992</v>
      </c>
      <c r="M20" s="1803">
        <v>0</v>
      </c>
    </row>
    <row r="21" spans="1:22" s="483" customFormat="1" ht="14.25" customHeight="1">
      <c r="A21" s="1782">
        <v>2024</v>
      </c>
      <c r="B21" s="1783"/>
      <c r="C21" s="2389">
        <v>508.5</v>
      </c>
      <c r="D21" s="2413">
        <v>66.7</v>
      </c>
      <c r="E21" s="2414">
        <v>34</v>
      </c>
      <c r="F21" s="2414">
        <v>26.5</v>
      </c>
      <c r="G21" s="2414">
        <v>11.9</v>
      </c>
      <c r="H21" s="2389">
        <v>647.6</v>
      </c>
      <c r="I21" s="2414">
        <v>23.2</v>
      </c>
      <c r="J21" s="2389">
        <v>670.8</v>
      </c>
      <c r="K21" s="2413">
        <v>136.80272008418029</v>
      </c>
      <c r="L21" s="2415">
        <v>533.99727991581972</v>
      </c>
      <c r="M21" s="1803">
        <v>-6.7501559897209518E-14</v>
      </c>
    </row>
    <row r="22" spans="1:22" s="483" customFormat="1" ht="14.25" customHeight="1">
      <c r="A22" s="2058">
        <v>2025</v>
      </c>
      <c r="B22" s="2200"/>
      <c r="C22" s="2259">
        <f t="shared" ref="C22:L22" si="0">C29</f>
        <v>516.9</v>
      </c>
      <c r="D22" s="2288">
        <f t="shared" si="0"/>
        <v>65.599999999999994</v>
      </c>
      <c r="E22" s="2289">
        <f t="shared" si="0"/>
        <v>33.4</v>
      </c>
      <c r="F22" s="2289">
        <f t="shared" si="0"/>
        <v>27</v>
      </c>
      <c r="G22" s="2289">
        <f t="shared" si="0"/>
        <v>11.6</v>
      </c>
      <c r="H22" s="2259">
        <f t="shared" si="0"/>
        <v>654.5</v>
      </c>
      <c r="I22" s="2289">
        <f t="shared" si="0"/>
        <v>23.4</v>
      </c>
      <c r="J22" s="2259">
        <f t="shared" si="0"/>
        <v>677.9</v>
      </c>
      <c r="K22" s="2288">
        <f t="shared" si="0"/>
        <v>174.48180280008069</v>
      </c>
      <c r="L22" s="2290">
        <f t="shared" si="0"/>
        <v>503.41819719991929</v>
      </c>
      <c r="M22" s="1803">
        <f>J22-H22-I22</f>
        <v>0</v>
      </c>
    </row>
    <row r="23" spans="1:22" s="889" customFormat="1" ht="21" customHeight="1">
      <c r="A23" s="884">
        <v>2024</v>
      </c>
      <c r="B23" s="885" t="s">
        <v>243</v>
      </c>
      <c r="C23" s="914">
        <v>515.29999999999995</v>
      </c>
      <c r="D23" s="918">
        <v>73.2</v>
      </c>
      <c r="E23" s="919">
        <v>38.9</v>
      </c>
      <c r="F23" s="919">
        <v>30.9</v>
      </c>
      <c r="G23" s="919">
        <v>13.5</v>
      </c>
      <c r="H23" s="914">
        <v>671.8</v>
      </c>
      <c r="I23" s="919">
        <v>23.2</v>
      </c>
      <c r="J23" s="914">
        <v>695</v>
      </c>
      <c r="K23" s="918">
        <v>156.66274595305768</v>
      </c>
      <c r="L23" s="914">
        <v>538.33725404694235</v>
      </c>
      <c r="M23" s="1803">
        <v>4.6185277824406512E-14</v>
      </c>
    </row>
    <row r="24" spans="1:22" s="889" customFormat="1" ht="15" customHeight="1">
      <c r="A24" s="884"/>
      <c r="B24" s="885" t="s">
        <v>240</v>
      </c>
      <c r="C24" s="914">
        <v>506.1</v>
      </c>
      <c r="D24" s="918">
        <v>67.900000000000006</v>
      </c>
      <c r="E24" s="919">
        <v>35.1</v>
      </c>
      <c r="F24" s="919">
        <v>28</v>
      </c>
      <c r="G24" s="919">
        <v>12.4</v>
      </c>
      <c r="H24" s="914">
        <v>649.5</v>
      </c>
      <c r="I24" s="919">
        <v>23.2</v>
      </c>
      <c r="J24" s="914">
        <v>672.7</v>
      </c>
      <c r="K24" s="918">
        <v>128.34604386187928</v>
      </c>
      <c r="L24" s="914">
        <v>544.35395613812079</v>
      </c>
      <c r="M24" s="1803">
        <v>4.6185277824406512E-14</v>
      </c>
    </row>
    <row r="25" spans="1:22" s="889" customFormat="1" ht="15" customHeight="1">
      <c r="A25" s="884"/>
      <c r="B25" s="885" t="s">
        <v>241</v>
      </c>
      <c r="C25" s="914">
        <v>508.5</v>
      </c>
      <c r="D25" s="918">
        <v>66.7</v>
      </c>
      <c r="E25" s="919">
        <v>34</v>
      </c>
      <c r="F25" s="919">
        <v>26.5</v>
      </c>
      <c r="G25" s="919">
        <v>11.9</v>
      </c>
      <c r="H25" s="914">
        <v>647.6</v>
      </c>
      <c r="I25" s="919">
        <v>23.2</v>
      </c>
      <c r="J25" s="914">
        <v>670.8</v>
      </c>
      <c r="K25" s="918">
        <v>136.80272008418029</v>
      </c>
      <c r="L25" s="914">
        <v>533.99727991581972</v>
      </c>
      <c r="M25" s="1803">
        <v>-6.7501559897209518E-14</v>
      </c>
    </row>
    <row r="26" spans="1:22" s="889" customFormat="1" ht="21" customHeight="1">
      <c r="A26" s="884">
        <v>2025</v>
      </c>
      <c r="B26" s="885" t="s">
        <v>242</v>
      </c>
      <c r="C26" s="914">
        <v>529.4</v>
      </c>
      <c r="D26" s="918">
        <v>70.400000000000006</v>
      </c>
      <c r="E26" s="919">
        <v>37.1</v>
      </c>
      <c r="F26" s="919">
        <v>30.4</v>
      </c>
      <c r="G26" s="919">
        <v>13.8</v>
      </c>
      <c r="H26" s="914">
        <v>681.09999999999991</v>
      </c>
      <c r="I26" s="919">
        <v>23.4</v>
      </c>
      <c r="J26" s="914">
        <v>704.5</v>
      </c>
      <c r="K26" s="918">
        <v>112.65437204347867</v>
      </c>
      <c r="L26" s="914">
        <v>591.8456279565213</v>
      </c>
      <c r="M26" s="1803">
        <f>J26-H26-I26</f>
        <v>9.2370555648813024E-14</v>
      </c>
    </row>
    <row r="27" spans="1:22" s="889" customFormat="1" ht="15" customHeight="1">
      <c r="A27" s="884"/>
      <c r="B27" s="885" t="s">
        <v>243</v>
      </c>
      <c r="C27" s="914">
        <v>530.29999999999995</v>
      </c>
      <c r="D27" s="918">
        <v>69.8</v>
      </c>
      <c r="E27" s="919">
        <v>35.9</v>
      </c>
      <c r="F27" s="919">
        <v>31.7</v>
      </c>
      <c r="G27" s="919">
        <v>14.8</v>
      </c>
      <c r="H27" s="914">
        <v>682.49999999999989</v>
      </c>
      <c r="I27" s="919">
        <v>23.4</v>
      </c>
      <c r="J27" s="914">
        <v>705.9</v>
      </c>
      <c r="K27" s="918">
        <v>127.21298189242717</v>
      </c>
      <c r="L27" s="914">
        <v>578.68701810757284</v>
      </c>
      <c r="M27" s="1803">
        <v>9.2370555648813024E-14</v>
      </c>
    </row>
    <row r="28" spans="1:22" s="889" customFormat="1" ht="15" customHeight="1">
      <c r="A28" s="884"/>
      <c r="B28" s="885" t="s">
        <v>240</v>
      </c>
      <c r="C28" s="914">
        <f t="shared" ref="C28:L28" si="1">C35</f>
        <v>515.4</v>
      </c>
      <c r="D28" s="918">
        <f t="shared" si="1"/>
        <v>65.400000000000006</v>
      </c>
      <c r="E28" s="919">
        <f t="shared" si="1"/>
        <v>33.700000000000003</v>
      </c>
      <c r="F28" s="919">
        <f t="shared" si="1"/>
        <v>28.9</v>
      </c>
      <c r="G28" s="919">
        <f t="shared" si="1"/>
        <v>12.8</v>
      </c>
      <c r="H28" s="914">
        <f t="shared" si="1"/>
        <v>656.19999999999993</v>
      </c>
      <c r="I28" s="919">
        <f t="shared" si="1"/>
        <v>23.3</v>
      </c>
      <c r="J28" s="914">
        <f t="shared" si="1"/>
        <v>679.5</v>
      </c>
      <c r="K28" s="918">
        <f t="shared" si="1"/>
        <v>220.8016936297899</v>
      </c>
      <c r="L28" s="914">
        <f t="shared" si="1"/>
        <v>458.6983063702101</v>
      </c>
      <c r="M28" s="1803">
        <f>J28-H28-I28</f>
        <v>6.7501559897209518E-14</v>
      </c>
    </row>
    <row r="29" spans="1:22" s="889" customFormat="1" ht="15" customHeight="1">
      <c r="A29" s="884"/>
      <c r="B29" s="885" t="s">
        <v>241</v>
      </c>
      <c r="C29" s="914">
        <f t="shared" ref="C29:L29" si="2">C38</f>
        <v>516.9</v>
      </c>
      <c r="D29" s="918">
        <f t="shared" si="2"/>
        <v>65.599999999999994</v>
      </c>
      <c r="E29" s="919">
        <f t="shared" si="2"/>
        <v>33.4</v>
      </c>
      <c r="F29" s="919">
        <f t="shared" si="2"/>
        <v>27</v>
      </c>
      <c r="G29" s="919">
        <f t="shared" si="2"/>
        <v>11.6</v>
      </c>
      <c r="H29" s="914">
        <f t="shared" si="2"/>
        <v>654.5</v>
      </c>
      <c r="I29" s="919">
        <f t="shared" si="2"/>
        <v>23.4</v>
      </c>
      <c r="J29" s="914">
        <f t="shared" si="2"/>
        <v>677.9</v>
      </c>
      <c r="K29" s="918">
        <f t="shared" si="2"/>
        <v>174.48180280008069</v>
      </c>
      <c r="L29" s="914">
        <f t="shared" si="2"/>
        <v>503.41819719991929</v>
      </c>
      <c r="M29" s="1803">
        <f>J29-H29-I29</f>
        <v>0</v>
      </c>
    </row>
    <row r="30" spans="1:22" s="889" customFormat="1" ht="21" customHeight="1">
      <c r="A30" s="1681">
        <v>2026</v>
      </c>
      <c r="B30" s="1687" t="s">
        <v>242</v>
      </c>
      <c r="C30" s="1688">
        <f t="shared" ref="C30:L30" si="3">C41</f>
        <v>605.4</v>
      </c>
      <c r="D30" s="1689">
        <f t="shared" si="3"/>
        <v>80.7</v>
      </c>
      <c r="E30" s="1690">
        <f t="shared" si="3"/>
        <v>38.799999999999997</v>
      </c>
      <c r="F30" s="1690">
        <f t="shared" si="3"/>
        <v>29.6</v>
      </c>
      <c r="G30" s="1690">
        <f t="shared" si="3"/>
        <v>13.2</v>
      </c>
      <c r="H30" s="1688">
        <f t="shared" si="3"/>
        <v>767.7</v>
      </c>
      <c r="I30" s="1690">
        <f t="shared" si="3"/>
        <v>23.6</v>
      </c>
      <c r="J30" s="1688">
        <f t="shared" si="3"/>
        <v>791.3</v>
      </c>
      <c r="K30" s="1689">
        <f t="shared" si="3"/>
        <v>229.9947986622667</v>
      </c>
      <c r="L30" s="1688">
        <f t="shared" si="3"/>
        <v>561.30520133773325</v>
      </c>
      <c r="M30" s="1803">
        <f>J30-H30-I30</f>
        <v>-9.2370555648813024E-14</v>
      </c>
    </row>
    <row r="31" spans="1:22" s="372" customFormat="1" ht="21" customHeight="1">
      <c r="A31" s="704">
        <v>2025</v>
      </c>
      <c r="B31" s="705" t="s">
        <v>427</v>
      </c>
      <c r="C31" s="2389">
        <v>525.70000000000005</v>
      </c>
      <c r="D31" s="2413">
        <v>70.2</v>
      </c>
      <c r="E31" s="2414">
        <v>37.299999999999997</v>
      </c>
      <c r="F31" s="2414">
        <v>32.1</v>
      </c>
      <c r="G31" s="2414">
        <v>14.8</v>
      </c>
      <c r="H31" s="2389">
        <v>680.1</v>
      </c>
      <c r="I31" s="2414">
        <v>23.4</v>
      </c>
      <c r="J31" s="2389">
        <v>703.5</v>
      </c>
      <c r="K31" s="2413">
        <v>125.46282625978367</v>
      </c>
      <c r="L31" s="2415">
        <v>578.0371737402163</v>
      </c>
      <c r="M31" s="1855">
        <v>0</v>
      </c>
      <c r="N31" s="483"/>
      <c r="O31" s="483"/>
      <c r="P31" s="483"/>
      <c r="Q31" s="483"/>
      <c r="R31" s="483"/>
      <c r="S31" s="483"/>
      <c r="T31" s="483"/>
      <c r="U31" s="483"/>
      <c r="V31" s="483"/>
    </row>
    <row r="32" spans="1:22" s="372" customFormat="1" ht="15" customHeight="1">
      <c r="A32" s="704"/>
      <c r="B32" s="705" t="s">
        <v>428</v>
      </c>
      <c r="C32" s="2389">
        <v>530.29999999999995</v>
      </c>
      <c r="D32" s="2413">
        <v>69.8</v>
      </c>
      <c r="E32" s="2414">
        <v>35.9</v>
      </c>
      <c r="F32" s="2414">
        <v>31.7</v>
      </c>
      <c r="G32" s="2414">
        <v>14.8</v>
      </c>
      <c r="H32" s="2389">
        <f t="shared" ref="H32" si="4">SUM(C32:G32)</f>
        <v>682.49999999999989</v>
      </c>
      <c r="I32" s="2414">
        <v>23.4</v>
      </c>
      <c r="J32" s="2389">
        <f>'1'!J32</f>
        <v>705.9</v>
      </c>
      <c r="K32" s="2413">
        <f>'14'!C32</f>
        <v>127.21298189242717</v>
      </c>
      <c r="L32" s="2415">
        <f t="shared" ref="L32" si="5">J32-K32</f>
        <v>578.68701810757284</v>
      </c>
      <c r="M32" s="1855">
        <f t="shared" ref="M32:M42" si="6">ROUND(J32,1)-ROUND(H32,1)-ROUND(I32,1)</f>
        <v>0</v>
      </c>
      <c r="N32" s="483"/>
      <c r="O32" s="483"/>
      <c r="P32" s="483"/>
      <c r="Q32" s="483"/>
      <c r="R32" s="483"/>
      <c r="S32" s="483"/>
      <c r="T32" s="483"/>
      <c r="U32" s="483"/>
      <c r="V32" s="483"/>
    </row>
    <row r="33" spans="1:22" s="372" customFormat="1" ht="15" customHeight="1">
      <c r="A33" s="704"/>
      <c r="B33" s="705" t="s">
        <v>429</v>
      </c>
      <c r="C33" s="2389">
        <v>523</v>
      </c>
      <c r="D33" s="2413">
        <v>66.7</v>
      </c>
      <c r="E33" s="2414">
        <v>34.200000000000003</v>
      </c>
      <c r="F33" s="2414">
        <v>30.6</v>
      </c>
      <c r="G33" s="2414">
        <v>14</v>
      </c>
      <c r="H33" s="2389">
        <f t="shared" ref="H33" si="7">SUM(C33:G33)</f>
        <v>668.50000000000011</v>
      </c>
      <c r="I33" s="2414">
        <v>23.4</v>
      </c>
      <c r="J33" s="2389">
        <f>'1'!J33</f>
        <v>691.9</v>
      </c>
      <c r="K33" s="2413">
        <f>'14'!C33</f>
        <v>184.00138336706829</v>
      </c>
      <c r="L33" s="2415">
        <f t="shared" ref="L33" si="8">J33-K33</f>
        <v>507.89861663293169</v>
      </c>
      <c r="M33" s="1855">
        <f t="shared" si="6"/>
        <v>0</v>
      </c>
      <c r="N33" s="483"/>
      <c r="O33" s="483"/>
      <c r="P33" s="483"/>
      <c r="Q33" s="483"/>
      <c r="R33" s="483"/>
      <c r="S33" s="483"/>
      <c r="T33" s="483"/>
      <c r="U33" s="483"/>
      <c r="V33" s="483"/>
    </row>
    <row r="34" spans="1:22" s="372" customFormat="1" ht="15" customHeight="1">
      <c r="A34" s="704"/>
      <c r="B34" s="705" t="s">
        <v>430</v>
      </c>
      <c r="C34" s="2389">
        <v>515.4</v>
      </c>
      <c r="D34" s="2413">
        <v>64.900000000000006</v>
      </c>
      <c r="E34" s="2414">
        <v>33.6</v>
      </c>
      <c r="F34" s="2414">
        <v>29.8</v>
      </c>
      <c r="G34" s="2414">
        <v>13.4</v>
      </c>
      <c r="H34" s="2389">
        <f t="shared" ref="H34" si="9">SUM(C34:G34)</f>
        <v>657.09999999999991</v>
      </c>
      <c r="I34" s="2414">
        <v>23.4</v>
      </c>
      <c r="J34" s="2389">
        <f>'1'!J34</f>
        <v>680.5</v>
      </c>
      <c r="K34" s="2413">
        <f>'14'!C34</f>
        <v>172.37130876621356</v>
      </c>
      <c r="L34" s="2415">
        <f t="shared" ref="L34" si="10">J34-K34</f>
        <v>508.12869123378641</v>
      </c>
      <c r="M34" s="1855">
        <f t="shared" si="6"/>
        <v>0</v>
      </c>
      <c r="N34" s="483"/>
      <c r="O34" s="483"/>
      <c r="P34" s="483"/>
      <c r="Q34" s="483"/>
      <c r="R34" s="483"/>
      <c r="S34" s="483"/>
      <c r="T34" s="483"/>
      <c r="U34" s="483"/>
      <c r="V34" s="483"/>
    </row>
    <row r="35" spans="1:22" s="372" customFormat="1" ht="15" customHeight="1">
      <c r="A35" s="704"/>
      <c r="B35" s="705" t="s">
        <v>431</v>
      </c>
      <c r="C35" s="2389">
        <v>515.4</v>
      </c>
      <c r="D35" s="2413">
        <v>65.400000000000006</v>
      </c>
      <c r="E35" s="2414">
        <v>33.700000000000003</v>
      </c>
      <c r="F35" s="2414">
        <v>28.9</v>
      </c>
      <c r="G35" s="2414">
        <v>12.8</v>
      </c>
      <c r="H35" s="2389">
        <f t="shared" ref="H35" si="11">SUM(C35:G35)</f>
        <v>656.19999999999993</v>
      </c>
      <c r="I35" s="2489">
        <v>23.3</v>
      </c>
      <c r="J35" s="2389">
        <f>'1'!J35</f>
        <v>679.5</v>
      </c>
      <c r="K35" s="2413">
        <f>'14'!C35</f>
        <v>220.8016936297899</v>
      </c>
      <c r="L35" s="2415">
        <f t="shared" ref="L35" si="12">J35-K35</f>
        <v>458.6983063702101</v>
      </c>
      <c r="M35" s="1855">
        <f t="shared" si="6"/>
        <v>-4.6185277824406512E-14</v>
      </c>
      <c r="N35" s="483"/>
      <c r="O35" s="483"/>
      <c r="P35" s="483"/>
      <c r="Q35" s="483"/>
      <c r="R35" s="483"/>
      <c r="S35" s="483"/>
      <c r="T35" s="483"/>
      <c r="U35" s="483"/>
      <c r="V35" s="483"/>
    </row>
    <row r="36" spans="1:22" s="372" customFormat="1" ht="15" customHeight="1">
      <c r="A36" s="704"/>
      <c r="B36" s="705" t="s">
        <v>420</v>
      </c>
      <c r="C36" s="2389">
        <v>511.7</v>
      </c>
      <c r="D36" s="2413">
        <v>64.599999999999994</v>
      </c>
      <c r="E36" s="2414">
        <v>33.5</v>
      </c>
      <c r="F36" s="2414">
        <v>28.2</v>
      </c>
      <c r="G36" s="2414">
        <v>12.3</v>
      </c>
      <c r="H36" s="2389">
        <f t="shared" ref="H36" si="13">SUM(C36:G36)</f>
        <v>650.29999999999995</v>
      </c>
      <c r="I36" s="2414">
        <v>23.4</v>
      </c>
      <c r="J36" s="2389">
        <f>'1'!J36</f>
        <v>673.7</v>
      </c>
      <c r="K36" s="2413">
        <f>'14'!C36</f>
        <v>176.86320916793096</v>
      </c>
      <c r="L36" s="2415">
        <f t="shared" ref="L36" si="14">J36-K36</f>
        <v>496.83679083206908</v>
      </c>
      <c r="M36" s="1855">
        <f t="shared" si="6"/>
        <v>9.2370555648813024E-14</v>
      </c>
      <c r="N36" s="483"/>
      <c r="O36" s="483"/>
      <c r="P36" s="483"/>
      <c r="Q36" s="483"/>
      <c r="R36" s="483"/>
      <c r="S36" s="483"/>
      <c r="T36" s="483"/>
      <c r="U36" s="483"/>
      <c r="V36" s="483"/>
    </row>
    <row r="37" spans="1:22" s="372" customFormat="1" ht="15" customHeight="1">
      <c r="A37" s="704"/>
      <c r="B37" s="705" t="s">
        <v>421</v>
      </c>
      <c r="C37" s="2389">
        <v>520.70000000000005</v>
      </c>
      <c r="D37" s="2413">
        <v>65.400000000000006</v>
      </c>
      <c r="E37" s="2414">
        <v>33.1</v>
      </c>
      <c r="F37" s="2489">
        <v>27.7</v>
      </c>
      <c r="G37" s="2414">
        <v>12.2</v>
      </c>
      <c r="H37" s="2389">
        <f t="shared" ref="H37" si="15">SUM(C37:G37)</f>
        <v>659.10000000000014</v>
      </c>
      <c r="I37" s="2414">
        <v>23.4</v>
      </c>
      <c r="J37" s="2389">
        <f>'1'!J37</f>
        <v>682.5</v>
      </c>
      <c r="K37" s="2413">
        <f>'14'!C37</f>
        <v>177.79739423573886</v>
      </c>
      <c r="L37" s="2415">
        <f t="shared" ref="L37" si="16">J37-K37</f>
        <v>504.70260576426114</v>
      </c>
      <c r="M37" s="1855">
        <f t="shared" si="6"/>
        <v>0</v>
      </c>
      <c r="N37" s="483"/>
      <c r="O37" s="483"/>
      <c r="P37" s="483"/>
      <c r="Q37" s="483"/>
      <c r="R37" s="483"/>
      <c r="S37" s="483"/>
      <c r="T37" s="483"/>
      <c r="U37" s="483"/>
      <c r="V37" s="483"/>
    </row>
    <row r="38" spans="1:22" s="372" customFormat="1" ht="15" customHeight="1">
      <c r="A38" s="704"/>
      <c r="B38" s="705" t="s">
        <v>422</v>
      </c>
      <c r="C38" s="2389">
        <v>516.9</v>
      </c>
      <c r="D38" s="2413">
        <v>65.599999999999994</v>
      </c>
      <c r="E38" s="2414">
        <v>33.4</v>
      </c>
      <c r="F38" s="2414">
        <v>27</v>
      </c>
      <c r="G38" s="2414">
        <v>11.6</v>
      </c>
      <c r="H38" s="2389">
        <f t="shared" ref="H38" si="17">SUM(C38:G38)</f>
        <v>654.5</v>
      </c>
      <c r="I38" s="2414">
        <v>23.4</v>
      </c>
      <c r="J38" s="2389">
        <f>'1'!J38</f>
        <v>677.9</v>
      </c>
      <c r="K38" s="2413">
        <f>'14'!C38</f>
        <v>174.48180280008069</v>
      </c>
      <c r="L38" s="2415">
        <f t="shared" ref="L38" si="18">J38-K38</f>
        <v>503.41819719991929</v>
      </c>
      <c r="M38" s="1855">
        <f t="shared" si="6"/>
        <v>0</v>
      </c>
      <c r="N38" s="483"/>
      <c r="O38" s="483"/>
      <c r="P38" s="483"/>
      <c r="Q38" s="483"/>
      <c r="R38" s="483"/>
      <c r="S38" s="483"/>
      <c r="T38" s="483"/>
      <c r="U38" s="483"/>
      <c r="V38" s="483"/>
    </row>
    <row r="39" spans="1:22" s="372" customFormat="1" ht="21" customHeight="1">
      <c r="A39" s="704">
        <v>2026</v>
      </c>
      <c r="B39" s="705" t="s">
        <v>423</v>
      </c>
      <c r="C39" s="2389">
        <v>519.20000000000005</v>
      </c>
      <c r="D39" s="2413">
        <v>65.8</v>
      </c>
      <c r="E39" s="2489">
        <v>33.1</v>
      </c>
      <c r="F39" s="2414">
        <v>26.9</v>
      </c>
      <c r="G39" s="2414">
        <v>11.6</v>
      </c>
      <c r="H39" s="2389">
        <f t="shared" ref="H39" si="19">SUM(C39:G39)</f>
        <v>656.6</v>
      </c>
      <c r="I39" s="2414">
        <v>23.5</v>
      </c>
      <c r="J39" s="2389">
        <f>'1'!J39</f>
        <v>680.1</v>
      </c>
      <c r="K39" s="2413">
        <f>'14'!C39</f>
        <v>148.71714707124693</v>
      </c>
      <c r="L39" s="2415">
        <f t="shared" ref="L39" si="20">J39-K39</f>
        <v>531.3828529287531</v>
      </c>
      <c r="M39" s="1855">
        <f t="shared" si="6"/>
        <v>0</v>
      </c>
      <c r="N39" s="483"/>
      <c r="O39" s="483"/>
      <c r="P39" s="483"/>
      <c r="Q39" s="483"/>
      <c r="R39" s="483"/>
      <c r="S39" s="483"/>
      <c r="T39" s="483"/>
      <c r="U39" s="483"/>
      <c r="V39" s="483"/>
    </row>
    <row r="40" spans="1:22" s="372" customFormat="1" ht="15" customHeight="1">
      <c r="A40" s="704"/>
      <c r="B40" s="705" t="s">
        <v>424</v>
      </c>
      <c r="C40" s="2389">
        <v>520.5</v>
      </c>
      <c r="D40" s="2507">
        <v>65.8</v>
      </c>
      <c r="E40" s="2414">
        <v>33.1</v>
      </c>
      <c r="F40" s="2414">
        <v>26.7</v>
      </c>
      <c r="G40" s="2414">
        <v>11.5</v>
      </c>
      <c r="H40" s="2389">
        <f t="shared" ref="H40" si="21">SUM(C40:G40)</f>
        <v>657.6</v>
      </c>
      <c r="I40" s="2414">
        <v>23.6</v>
      </c>
      <c r="J40" s="2389">
        <f>'1'!J40</f>
        <v>681.2</v>
      </c>
      <c r="K40" s="2413">
        <f>'14'!C40</f>
        <v>152.51064858497352</v>
      </c>
      <c r="L40" s="2415">
        <f t="shared" ref="L40" si="22">J40-K40</f>
        <v>528.68935141502652</v>
      </c>
      <c r="M40" s="1855">
        <f t="shared" si="6"/>
        <v>0</v>
      </c>
      <c r="N40" s="483"/>
      <c r="O40" s="483"/>
      <c r="P40" s="483"/>
      <c r="Q40" s="483"/>
      <c r="R40" s="483"/>
      <c r="S40" s="483"/>
      <c r="T40" s="483"/>
      <c r="U40" s="483"/>
      <c r="V40" s="483"/>
    </row>
    <row r="41" spans="1:22" s="372" customFormat="1" ht="15" customHeight="1">
      <c r="A41" s="704"/>
      <c r="B41" s="705" t="s">
        <v>425</v>
      </c>
      <c r="C41" s="2529">
        <v>605.4</v>
      </c>
      <c r="D41" s="2413">
        <v>80.7</v>
      </c>
      <c r="E41" s="2414">
        <v>38.799999999999997</v>
      </c>
      <c r="F41" s="2414">
        <v>29.6</v>
      </c>
      <c r="G41" s="2414">
        <v>13.2</v>
      </c>
      <c r="H41" s="2389">
        <f t="shared" ref="H41" si="23">SUM(C41:G41)</f>
        <v>767.7</v>
      </c>
      <c r="I41" s="2414">
        <v>23.6</v>
      </c>
      <c r="J41" s="2389">
        <f>'1'!J41</f>
        <v>791.3</v>
      </c>
      <c r="K41" s="2413">
        <f>'14'!C41</f>
        <v>229.9947986622667</v>
      </c>
      <c r="L41" s="2415">
        <f t="shared" ref="L41" si="24">J41-K41</f>
        <v>561.30520133773325</v>
      </c>
      <c r="M41" s="1855">
        <f t="shared" si="6"/>
        <v>-9.2370555648813024E-14</v>
      </c>
      <c r="N41" s="483"/>
      <c r="O41" s="483"/>
      <c r="P41" s="483"/>
      <c r="Q41" s="483"/>
      <c r="R41" s="483"/>
      <c r="S41" s="483"/>
      <c r="T41" s="483"/>
      <c r="U41" s="483"/>
      <c r="V41" s="483"/>
    </row>
    <row r="42" spans="1:22" s="372" customFormat="1" ht="15" customHeight="1">
      <c r="A42" s="704"/>
      <c r="B42" s="705" t="s">
        <v>426</v>
      </c>
      <c r="C42" s="2389">
        <v>612.6</v>
      </c>
      <c r="D42" s="2413">
        <v>77.7</v>
      </c>
      <c r="E42" s="2489">
        <v>36.299999999999997</v>
      </c>
      <c r="F42" s="2414">
        <v>29.2</v>
      </c>
      <c r="G42" s="2414">
        <v>13.1</v>
      </c>
      <c r="H42" s="2389">
        <f t="shared" ref="H42" si="25">SUM(C42:G42)</f>
        <v>768.90000000000009</v>
      </c>
      <c r="I42" s="2414">
        <v>23.6</v>
      </c>
      <c r="J42" s="2389">
        <f>'1'!J42</f>
        <v>792.5</v>
      </c>
      <c r="K42" s="2413">
        <f>'14'!C42</f>
        <v>235.77267743399887</v>
      </c>
      <c r="L42" s="2415">
        <f t="shared" ref="L42" si="26">J42-K42</f>
        <v>556.72732256600113</v>
      </c>
      <c r="M42" s="1855">
        <f t="shared" si="6"/>
        <v>0</v>
      </c>
      <c r="N42" s="483"/>
      <c r="O42" s="483"/>
      <c r="P42" s="483"/>
      <c r="Q42" s="483"/>
      <c r="R42" s="483"/>
      <c r="S42" s="483"/>
      <c r="T42" s="483"/>
      <c r="U42" s="483"/>
      <c r="V42" s="483"/>
    </row>
    <row r="43" spans="1:22" s="372" customFormat="1" ht="15" customHeight="1">
      <c r="A43" s="704"/>
      <c r="B43" s="705" t="s">
        <v>1790</v>
      </c>
      <c r="C43" s="2389">
        <v>602.9</v>
      </c>
      <c r="D43" s="2507">
        <v>78.099999999999994</v>
      </c>
      <c r="E43" s="2414">
        <v>39</v>
      </c>
      <c r="F43" s="2414">
        <v>32.5</v>
      </c>
      <c r="G43" s="2414">
        <v>14.9</v>
      </c>
      <c r="H43" s="2389">
        <f t="shared" ref="H43" si="27">SUM(C43:G43)</f>
        <v>767.4</v>
      </c>
      <c r="I43" s="2414">
        <v>23.6</v>
      </c>
      <c r="J43" s="2389">
        <f>'1'!J43</f>
        <v>791</v>
      </c>
      <c r="K43" s="2413">
        <f>'14'!C43</f>
        <v>346.25538439750238</v>
      </c>
      <c r="L43" s="2415">
        <f t="shared" ref="L43" si="28">J43-K43</f>
        <v>444.74461560249762</v>
      </c>
      <c r="M43" s="1855">
        <f t="shared" ref="M43" si="29">ROUND(J43,1)-ROUND(H43,1)-ROUND(I43,1)</f>
        <v>0</v>
      </c>
      <c r="N43" s="483"/>
      <c r="O43" s="483"/>
      <c r="P43" s="483"/>
      <c r="Q43" s="483"/>
      <c r="R43" s="483"/>
      <c r="S43" s="483"/>
      <c r="T43" s="483"/>
      <c r="U43" s="483"/>
      <c r="V43" s="483"/>
    </row>
    <row r="44" spans="1:22" ht="19.5" customHeight="1">
      <c r="A44" s="231" t="s">
        <v>459</v>
      </c>
      <c r="B44" s="230"/>
      <c r="C44" s="230"/>
      <c r="D44" s="230"/>
      <c r="E44" s="230"/>
      <c r="F44" s="230"/>
      <c r="G44" s="230"/>
      <c r="H44" s="230"/>
      <c r="I44" s="230"/>
      <c r="J44" s="230"/>
      <c r="K44" s="230"/>
      <c r="L44" s="251" t="s">
        <v>460</v>
      </c>
    </row>
    <row r="45" spans="1:22" ht="14">
      <c r="A45" s="27"/>
      <c r="B45" s="27"/>
      <c r="C45" s="360"/>
      <c r="H45" s="360"/>
      <c r="I45" s="150"/>
      <c r="J45" s="369"/>
      <c r="K45"/>
      <c r="L45" s="161"/>
    </row>
    <row r="46" spans="1:22" ht="14">
      <c r="A46" s="27"/>
      <c r="B46" s="27"/>
      <c r="C46" s="360"/>
      <c r="H46" s="360"/>
      <c r="K46"/>
      <c r="L46" s="162"/>
    </row>
    <row r="47" spans="1:22" ht="14">
      <c r="A47" s="476" t="s">
        <v>461</v>
      </c>
      <c r="B47" s="1"/>
      <c r="C47" s="472"/>
      <c r="D47" s="4"/>
      <c r="E47" s="4"/>
      <c r="F47" s="4"/>
      <c r="G47" s="4"/>
      <c r="H47" s="472"/>
      <c r="I47" s="4"/>
      <c r="J47" s="4"/>
      <c r="K47" s="4"/>
      <c r="L47" s="154"/>
    </row>
  </sheetData>
  <phoneticPr fontId="0" type="noConversion"/>
  <printOptions horizontalCentered="1" verticalCentered="1"/>
  <pageMargins left="0" right="0" top="0" bottom="0" header="0.51181102362204722" footer="0.51181102362204722"/>
  <pageSetup scale="83"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6">
    <tabColor theme="9" tint="-0.249977111117893"/>
    <pageSetUpPr fitToPage="1"/>
  </sheetPr>
  <dimension ref="A1:O41"/>
  <sheetViews>
    <sheetView topLeftCell="B27" zoomScale="70" zoomScaleNormal="70" workbookViewId="0">
      <selection activeCell="M11" sqref="M11"/>
    </sheetView>
  </sheetViews>
  <sheetFormatPr defaultColWidth="18.26953125" defaultRowHeight="15.5"/>
  <cols>
    <col min="1" max="1" width="6.1796875" style="1946" customWidth="1"/>
    <col min="2" max="2" width="45.81640625" style="1925" customWidth="1"/>
    <col min="3" max="3" width="15" style="1925" bestFit="1" customWidth="1"/>
    <col min="4" max="4" width="15.453125" style="1925" bestFit="1" customWidth="1"/>
    <col min="5" max="5" width="14.7265625" style="1925" customWidth="1"/>
    <col min="6" max="6" width="15.453125" style="1925" customWidth="1"/>
    <col min="7" max="7" width="14.7265625" style="1925" customWidth="1"/>
    <col min="8" max="8" width="15.453125" style="1925" customWidth="1"/>
    <col min="9" max="9" width="14.7265625" style="1925" customWidth="1"/>
    <col min="10" max="10" width="15.453125" style="1925" customWidth="1"/>
    <col min="11" max="11" width="14.7265625" style="1925" customWidth="1"/>
    <col min="12" max="12" width="15.453125" style="1925" customWidth="1"/>
    <col min="13" max="13" width="14.7265625" style="1925" customWidth="1"/>
    <col min="14" max="14" width="15.453125" style="1925" customWidth="1"/>
    <col min="15" max="15" width="46.7265625" style="1925" customWidth="1"/>
    <col min="16" max="16384" width="18.26953125" style="1925"/>
  </cols>
  <sheetData>
    <row r="1" spans="1:15" ht="18" customHeight="1">
      <c r="A1" s="1838" t="s">
        <v>1378</v>
      </c>
      <c r="B1" s="1635"/>
      <c r="C1" s="1635"/>
      <c r="D1" s="1635"/>
      <c r="E1" s="1635"/>
      <c r="F1" s="1635"/>
      <c r="G1" s="1635"/>
      <c r="H1" s="1635"/>
      <c r="I1" s="1635"/>
      <c r="J1" s="1635"/>
      <c r="K1" s="1635"/>
      <c r="L1" s="1635"/>
      <c r="M1" s="1635"/>
      <c r="N1" s="1635"/>
      <c r="O1" s="1635"/>
    </row>
    <row r="2" spans="1:15" ht="18" customHeight="1">
      <c r="A2" s="1838" t="s">
        <v>1379</v>
      </c>
      <c r="B2" s="1926"/>
      <c r="C2" s="1926"/>
      <c r="D2" s="1926"/>
      <c r="E2" s="1926"/>
      <c r="F2" s="1926"/>
      <c r="G2" s="1926"/>
      <c r="H2" s="1926"/>
      <c r="I2" s="1926"/>
      <c r="J2" s="1926"/>
      <c r="K2" s="1926"/>
      <c r="L2" s="1926"/>
      <c r="M2" s="1926"/>
      <c r="N2" s="1926"/>
      <c r="O2" s="1926"/>
    </row>
    <row r="3" spans="1:15" ht="18">
      <c r="A3" s="1838" t="s">
        <v>1380</v>
      </c>
      <c r="B3" s="1635"/>
      <c r="C3" s="1635"/>
      <c r="D3" s="1635"/>
      <c r="E3" s="1635"/>
      <c r="F3" s="1635"/>
      <c r="G3" s="1635"/>
      <c r="H3" s="1635"/>
      <c r="I3" s="1635"/>
      <c r="J3" s="1635"/>
      <c r="K3" s="1635"/>
      <c r="L3" s="1635"/>
      <c r="M3" s="1635"/>
      <c r="N3" s="1635"/>
      <c r="O3" s="1635"/>
    </row>
    <row r="4" spans="1:15" ht="4.5" customHeight="1">
      <c r="A4" s="1635"/>
      <c r="B4" s="1635"/>
      <c r="C4" s="2142"/>
      <c r="D4" s="2142"/>
      <c r="E4" s="2142"/>
      <c r="F4" s="2142"/>
      <c r="G4" s="2142"/>
      <c r="H4" s="2142"/>
      <c r="I4" s="2142"/>
      <c r="J4" s="2142"/>
      <c r="K4" s="2142"/>
      <c r="L4" s="2142"/>
      <c r="M4" s="2142"/>
      <c r="N4" s="2142"/>
      <c r="O4" s="1635"/>
    </row>
    <row r="5" spans="1:15" ht="15.75" hidden="1" customHeight="1">
      <c r="A5" s="1635"/>
      <c r="B5" s="1635"/>
      <c r="C5" s="2142"/>
      <c r="D5" s="2142"/>
      <c r="E5" s="2142"/>
      <c r="F5" s="2142"/>
      <c r="G5" s="2142"/>
      <c r="H5" s="2142"/>
      <c r="I5" s="2142"/>
      <c r="J5" s="2142"/>
      <c r="K5" s="2142"/>
      <c r="L5" s="2142"/>
      <c r="M5" s="2142"/>
      <c r="N5" s="2142"/>
      <c r="O5" s="1635"/>
    </row>
    <row r="6" spans="1:15" ht="15.75" hidden="1" customHeight="1">
      <c r="A6" s="1635"/>
      <c r="B6" s="1635"/>
      <c r="C6" s="2142"/>
      <c r="D6" s="2142"/>
      <c r="E6" s="2142"/>
      <c r="F6" s="2142"/>
      <c r="G6" s="2142"/>
      <c r="H6" s="2142"/>
      <c r="I6" s="2142"/>
      <c r="J6" s="2142"/>
      <c r="K6" s="2142"/>
      <c r="L6" s="2142"/>
      <c r="M6" s="2142"/>
      <c r="N6" s="2142"/>
      <c r="O6" s="1635"/>
    </row>
    <row r="7" spans="1:15" ht="15.75" hidden="1" customHeight="1">
      <c r="A7" s="1635"/>
      <c r="B7" s="1635"/>
      <c r="C7" s="2142"/>
      <c r="D7" s="2142"/>
      <c r="E7" s="2142"/>
      <c r="F7" s="2142"/>
      <c r="G7" s="2142"/>
      <c r="H7" s="2142"/>
      <c r="I7" s="2142"/>
      <c r="J7" s="2142"/>
      <c r="K7" s="2142"/>
      <c r="L7" s="2142"/>
      <c r="M7" s="2142"/>
      <c r="N7" s="2142"/>
      <c r="O7" s="1635"/>
    </row>
    <row r="8" spans="1:15">
      <c r="A8" s="1927" t="s">
        <v>1328</v>
      </c>
      <c r="D8" s="1927"/>
      <c r="E8" s="1927"/>
      <c r="F8" s="1927"/>
      <c r="G8" s="1927"/>
      <c r="H8" s="1927"/>
      <c r="I8" s="1927"/>
      <c r="J8" s="1927"/>
      <c r="K8" s="1927"/>
      <c r="L8" s="1927"/>
      <c r="M8" s="1927"/>
      <c r="N8" s="1927"/>
      <c r="O8" s="1927" t="s">
        <v>1329</v>
      </c>
    </row>
    <row r="9" spans="1:15" s="1929" customFormat="1" ht="20.25" customHeight="1">
      <c r="A9" s="2703"/>
      <c r="B9" s="2703" t="s">
        <v>903</v>
      </c>
      <c r="C9" s="1928">
        <v>2025</v>
      </c>
      <c r="D9" s="1928"/>
      <c r="E9" s="1928">
        <v>2026</v>
      </c>
      <c r="F9" s="1928"/>
      <c r="G9" s="1928"/>
      <c r="H9" s="1928"/>
      <c r="I9" s="1928"/>
      <c r="J9" s="1928"/>
      <c r="K9" s="1928"/>
      <c r="L9" s="1928"/>
      <c r="M9" s="1928"/>
      <c r="N9" s="1928"/>
      <c r="O9" s="2703" t="s">
        <v>904</v>
      </c>
    </row>
    <row r="10" spans="1:15" s="1929" customFormat="1" ht="20.25" customHeight="1">
      <c r="A10" s="2721"/>
      <c r="B10" s="2721"/>
      <c r="C10" s="2728" t="s">
        <v>1731</v>
      </c>
      <c r="D10" s="2729"/>
      <c r="E10" s="2728" t="s">
        <v>1742</v>
      </c>
      <c r="F10" s="2729"/>
      <c r="G10" s="2728" t="s">
        <v>1744</v>
      </c>
      <c r="H10" s="2729"/>
      <c r="I10" s="2728" t="s">
        <v>1765</v>
      </c>
      <c r="J10" s="2729"/>
      <c r="K10" s="2728" t="s">
        <v>1784</v>
      </c>
      <c r="L10" s="2729"/>
      <c r="M10" s="2728" t="s">
        <v>427</v>
      </c>
      <c r="N10" s="2729"/>
      <c r="O10" s="2721"/>
    </row>
    <row r="11" spans="1:15" s="1929" customFormat="1">
      <c r="A11" s="2721"/>
      <c r="B11" s="2721"/>
      <c r="C11" s="2008" t="s">
        <v>1311</v>
      </c>
      <c r="D11" s="2008" t="s">
        <v>1275</v>
      </c>
      <c r="E11" s="2008" t="s">
        <v>1311</v>
      </c>
      <c r="F11" s="2008" t="s">
        <v>1275</v>
      </c>
      <c r="G11" s="2008" t="s">
        <v>1311</v>
      </c>
      <c r="H11" s="2008" t="s">
        <v>1275</v>
      </c>
      <c r="I11" s="2008" t="s">
        <v>1311</v>
      </c>
      <c r="J11" s="2008" t="s">
        <v>1275</v>
      </c>
      <c r="K11" s="2008" t="s">
        <v>1311</v>
      </c>
      <c r="L11" s="2008" t="s">
        <v>1275</v>
      </c>
      <c r="M11" s="2008" t="s">
        <v>1311</v>
      </c>
      <c r="N11" s="2008" t="s">
        <v>1275</v>
      </c>
      <c r="O11" s="2721"/>
    </row>
    <row r="12" spans="1:15" s="1930" customFormat="1">
      <c r="A12" s="2712"/>
      <c r="B12" s="2712"/>
      <c r="C12" s="2009" t="s">
        <v>1330</v>
      </c>
      <c r="D12" s="2009" t="s">
        <v>1277</v>
      </c>
      <c r="E12" s="2009" t="s">
        <v>1330</v>
      </c>
      <c r="F12" s="2009" t="s">
        <v>1277</v>
      </c>
      <c r="G12" s="2009" t="s">
        <v>1330</v>
      </c>
      <c r="H12" s="2009" t="s">
        <v>1277</v>
      </c>
      <c r="I12" s="2009" t="s">
        <v>1330</v>
      </c>
      <c r="J12" s="2009" t="s">
        <v>1277</v>
      </c>
      <c r="K12" s="2009" t="s">
        <v>1330</v>
      </c>
      <c r="L12" s="2009" t="s">
        <v>1277</v>
      </c>
      <c r="M12" s="2009" t="s">
        <v>1330</v>
      </c>
      <c r="N12" s="2009" t="s">
        <v>1277</v>
      </c>
      <c r="O12" s="2712"/>
    </row>
    <row r="13" spans="1:15" ht="31.5" customHeight="1">
      <c r="A13" s="2010">
        <v>1</v>
      </c>
      <c r="B13" s="1931" t="s">
        <v>938</v>
      </c>
      <c r="C13" s="1932">
        <f>'[85]POS by sector'!$C$10</f>
        <v>17869</v>
      </c>
      <c r="D13" s="2298">
        <f>'[85]POS by sector'!$D$10</f>
        <v>1719658.79</v>
      </c>
      <c r="E13" s="1932">
        <f>'[86]POS by sector'!$C$10</f>
        <v>16488</v>
      </c>
      <c r="F13" s="2298">
        <f>'[86]POS by sector'!$D$10</f>
        <v>1648145.7149999999</v>
      </c>
      <c r="G13" s="1932">
        <f>'[87]POS by sector'!$C$10</f>
        <v>20894</v>
      </c>
      <c r="H13" s="2298">
        <f>'[87]POS by sector'!$D$10</f>
        <v>2247244.4089999995</v>
      </c>
      <c r="I13" s="1932">
        <f>'[88]POS by sector'!$C$10</f>
        <v>10176</v>
      </c>
      <c r="J13" s="2298">
        <f>'[88]POS by sector'!$D$10</f>
        <v>1162381.3530000001</v>
      </c>
      <c r="K13" s="1932">
        <f>'[89]POS by sector'!$C$10</f>
        <v>18707</v>
      </c>
      <c r="L13" s="2298">
        <f>'[89]POS by sector'!$D$10</f>
        <v>2049522.0349999999</v>
      </c>
      <c r="M13" s="1932">
        <f>'[90]POS by sector'!$C$10</f>
        <v>21436</v>
      </c>
      <c r="N13" s="2298">
        <f>'[90]POS by sector'!$D$10</f>
        <v>1817666.3309999998</v>
      </c>
      <c r="O13" s="1933" t="s">
        <v>939</v>
      </c>
    </row>
    <row r="14" spans="1:15" ht="43.5" customHeight="1">
      <c r="A14" s="2010">
        <v>2</v>
      </c>
      <c r="B14" s="1934" t="s">
        <v>1331</v>
      </c>
      <c r="C14" s="1932">
        <f>'[85]POS by sector'!$C$11</f>
        <v>23322</v>
      </c>
      <c r="D14" s="1932">
        <f>'[85]POS by sector'!$D$11</f>
        <v>805801.38300000003</v>
      </c>
      <c r="E14" s="1932">
        <f>'[86]POS by sector'!$C$11</f>
        <v>19286</v>
      </c>
      <c r="F14" s="2298">
        <f>'[86]POS by sector'!$D$11</f>
        <v>600386.85899999994</v>
      </c>
      <c r="G14" s="1932">
        <f>'[87]POS by sector'!$C$11</f>
        <v>17741</v>
      </c>
      <c r="H14" s="2298">
        <f>'[87]POS by sector'!$D$11</f>
        <v>571545.78999999992</v>
      </c>
      <c r="I14" s="1932">
        <f>'[88]POS by sector'!$C$11</f>
        <v>10896</v>
      </c>
      <c r="J14" s="2298">
        <f>'[88]POS by sector'!$D$11</f>
        <v>429120.99999999994</v>
      </c>
      <c r="K14" s="1932">
        <f>'[89]POS by sector'!$C$11</f>
        <v>19017</v>
      </c>
      <c r="L14" s="2298">
        <f>'[89]POS by sector'!$D$11</f>
        <v>586415.83699999994</v>
      </c>
      <c r="M14" s="1932">
        <f>'[90]POS by sector'!$C$11</f>
        <v>27977</v>
      </c>
      <c r="N14" s="2298">
        <f>'[90]POS by sector'!$D$11</f>
        <v>803503.17</v>
      </c>
      <c r="O14" s="1935" t="s">
        <v>1332</v>
      </c>
    </row>
    <row r="15" spans="1:15" ht="31.5" customHeight="1">
      <c r="A15" s="2010">
        <v>3</v>
      </c>
      <c r="B15" s="1934" t="s">
        <v>1333</v>
      </c>
      <c r="C15" s="1932">
        <f>'[85]POS by sector'!$C$12</f>
        <v>4909763</v>
      </c>
      <c r="D15" s="1932">
        <f>'[85]POS by sector'!$D$12</f>
        <v>22691686.443999998</v>
      </c>
      <c r="E15" s="1932">
        <f>'[86]POS by sector'!$C$12</f>
        <v>3534361</v>
      </c>
      <c r="F15" s="1932">
        <f>'[86]POS by sector'!$D$12</f>
        <v>17240247.247000001</v>
      </c>
      <c r="G15" s="1932">
        <f>'[87]POS by sector'!$C$12</f>
        <v>3749898</v>
      </c>
      <c r="H15" s="1932">
        <f>'[87]POS by sector'!$D$12</f>
        <v>17206556.981000002</v>
      </c>
      <c r="I15" s="1932">
        <f>'[88]POS by sector'!$C$12</f>
        <v>3662551</v>
      </c>
      <c r="J15" s="1932">
        <f>'[88]POS by sector'!$D$12</f>
        <v>18980891.192000002</v>
      </c>
      <c r="K15" s="1932">
        <f>'[89]POS by sector'!$C$12</f>
        <v>4484164</v>
      </c>
      <c r="L15" s="1932">
        <f>'[89]POS by sector'!$D$12</f>
        <v>21086244.432</v>
      </c>
      <c r="M15" s="1932">
        <f>'[90]POS by sector'!$C$12</f>
        <v>5098178</v>
      </c>
      <c r="N15" s="1932">
        <f>'[90]POS by sector'!$D$12</f>
        <v>25276787.855000012</v>
      </c>
      <c r="O15" s="1935" t="s">
        <v>1334</v>
      </c>
    </row>
    <row r="16" spans="1:15" ht="31.5" customHeight="1">
      <c r="A16" s="2010">
        <v>4</v>
      </c>
      <c r="B16" s="1934" t="s">
        <v>1335</v>
      </c>
      <c r="C16" s="1932">
        <f>'[85]POS by sector'!$C$13</f>
        <v>726102</v>
      </c>
      <c r="D16" s="1932">
        <f>'[85]POS by sector'!$D$13</f>
        <v>9596241.4049999993</v>
      </c>
      <c r="E16" s="1932">
        <f>'[86]POS by sector'!$C$13</f>
        <v>429389</v>
      </c>
      <c r="F16" s="2451">
        <f>'[86]POS by sector'!$D$13-0.2</f>
        <v>6400682.9559999993</v>
      </c>
      <c r="G16" s="1932">
        <f>'[87]POS by sector'!$C$13</f>
        <v>663879</v>
      </c>
      <c r="H16" s="2298">
        <f>'[87]POS by sector'!$D$13</f>
        <v>8829221.7440000009</v>
      </c>
      <c r="I16" s="1932">
        <f>'[88]POS by sector'!$C$13</f>
        <v>639994</v>
      </c>
      <c r="J16" s="2298">
        <f>'[88]POS by sector'!$D$13</f>
        <v>8484055.9759999998</v>
      </c>
      <c r="K16" s="1932">
        <f>'[89]POS by sector'!$C$13</f>
        <v>680179</v>
      </c>
      <c r="L16" s="2298">
        <f>'[89]POS by sector'!$D$13</f>
        <v>9955908.2880000006</v>
      </c>
      <c r="M16" s="1932">
        <f>'[90]POS by sector'!$C$13</f>
        <v>705487</v>
      </c>
      <c r="N16" s="2298">
        <f>'[90]POS by sector'!$D$13</f>
        <v>9874851.6070000008</v>
      </c>
      <c r="O16" s="1935" t="s">
        <v>1336</v>
      </c>
    </row>
    <row r="17" spans="1:15" ht="31.5" customHeight="1">
      <c r="A17" s="2010">
        <v>5</v>
      </c>
      <c r="B17" s="1934" t="s">
        <v>1337</v>
      </c>
      <c r="C17" s="1932">
        <f>'[85]POS by sector'!$C$14</f>
        <v>250297</v>
      </c>
      <c r="D17" s="1932">
        <f>'[85]POS by sector'!$D$14</f>
        <v>9478517.7009999994</v>
      </c>
      <c r="E17" s="1932">
        <f>'[86]POS by sector'!$C$14</f>
        <v>244350</v>
      </c>
      <c r="F17" s="1932">
        <f>'[86]POS by sector'!$D$14</f>
        <v>10011774.449999999</v>
      </c>
      <c r="G17" s="1932">
        <f>'[87]POS by sector'!$C$14</f>
        <v>248057</v>
      </c>
      <c r="H17" s="1932">
        <f>'[87]POS by sector'!$D$14</f>
        <v>11764628.231000002</v>
      </c>
      <c r="I17" s="1932">
        <f>'[88]POS by sector'!$C$14</f>
        <v>154752</v>
      </c>
      <c r="J17" s="1932">
        <f>'[88]POS by sector'!$D$14</f>
        <v>6343950.3210000005</v>
      </c>
      <c r="K17" s="1932">
        <f>'[89]POS by sector'!$C$14</f>
        <v>238967</v>
      </c>
      <c r="L17" s="1932">
        <f>'[89]POS by sector'!$D$14</f>
        <v>9661225.472000001</v>
      </c>
      <c r="M17" s="1932">
        <f>'[90]POS by sector'!$C$14</f>
        <v>234999</v>
      </c>
      <c r="N17" s="1932">
        <f>'[90]POS by sector'!$D$14</f>
        <v>9193360.0419999994</v>
      </c>
      <c r="O17" s="1935" t="s">
        <v>1338</v>
      </c>
    </row>
    <row r="18" spans="1:15" ht="46.5">
      <c r="A18" s="2010">
        <v>6</v>
      </c>
      <c r="B18" s="1934" t="s">
        <v>1339</v>
      </c>
      <c r="C18" s="1932">
        <f>'[85]POS by sector'!$C$15</f>
        <v>176548</v>
      </c>
      <c r="D18" s="1932">
        <f>'[85]POS by sector'!$D$15</f>
        <v>2642136.3170000003</v>
      </c>
      <c r="E18" s="1932">
        <f>'[86]POS by sector'!$C$15</f>
        <v>72404</v>
      </c>
      <c r="F18" s="1932">
        <f>'[86]POS by sector'!$D$15</f>
        <v>1442383.395</v>
      </c>
      <c r="G18" s="1932">
        <f>'[87]POS by sector'!$C$15</f>
        <v>159551</v>
      </c>
      <c r="H18" s="1932">
        <f>'[87]POS by sector'!$D$15</f>
        <v>2211630.8780000005</v>
      </c>
      <c r="I18" s="1932">
        <f>'[88]POS by sector'!$C$15</f>
        <v>161162</v>
      </c>
      <c r="J18" s="1932">
        <f>'[88]POS by sector'!$D$15</f>
        <v>2303497.9699999997</v>
      </c>
      <c r="K18" s="1932">
        <f>'[89]POS by sector'!$C$15</f>
        <v>159032</v>
      </c>
      <c r="L18" s="1932">
        <f>'[89]POS by sector'!$D$15</f>
        <v>2444349.6100000003</v>
      </c>
      <c r="M18" s="1932">
        <f>'[90]POS by sector'!$C$15</f>
        <v>177886</v>
      </c>
      <c r="N18" s="1932">
        <f>'[90]POS by sector'!$D$15</f>
        <v>2469535.4510000004</v>
      </c>
      <c r="O18" s="1936" t="s">
        <v>1340</v>
      </c>
    </row>
    <row r="19" spans="1:15" ht="31.5" customHeight="1">
      <c r="A19" s="2010">
        <v>7</v>
      </c>
      <c r="B19" s="1934" t="s">
        <v>1341</v>
      </c>
      <c r="C19" s="1932">
        <f>'[85]POS by sector'!$C$16</f>
        <v>4545641</v>
      </c>
      <c r="D19" s="1932">
        <f>'[85]POS by sector'!$D$16</f>
        <v>28117792.835000001</v>
      </c>
      <c r="E19" s="1932">
        <f>'[86]POS by sector'!$C$16</f>
        <v>3243426</v>
      </c>
      <c r="F19" s="1932">
        <f>'[86]POS by sector'!$D$16</f>
        <v>22626951.056999996</v>
      </c>
      <c r="G19" s="1932">
        <f>'[87]POS by sector'!$C$16</f>
        <v>4301186</v>
      </c>
      <c r="H19" s="1932">
        <f>'[87]POS by sector'!$D$16</f>
        <v>29641414.666000005</v>
      </c>
      <c r="I19" s="1932">
        <f>'[88]POS by sector'!$C$16</f>
        <v>4292457</v>
      </c>
      <c r="J19" s="1932">
        <f>'[88]POS by sector'!$D$16</f>
        <v>32334290.313999996</v>
      </c>
      <c r="K19" s="1932">
        <f>'[89]POS by sector'!$C$16</f>
        <v>4417436</v>
      </c>
      <c r="L19" s="1932">
        <f>'[89]POS by sector'!$D$16</f>
        <v>27775472.495999999</v>
      </c>
      <c r="M19" s="1932">
        <f>'[90]POS by sector'!$C$16</f>
        <v>4849337</v>
      </c>
      <c r="N19" s="1932">
        <f>'[90]POS by sector'!$D$16</f>
        <v>29999885.703000002</v>
      </c>
      <c r="O19" s="1935" t="s">
        <v>1342</v>
      </c>
    </row>
    <row r="20" spans="1:15" ht="31.5" customHeight="1">
      <c r="A20" s="2010">
        <v>8</v>
      </c>
      <c r="B20" s="1934" t="s">
        <v>1343</v>
      </c>
      <c r="C20" s="1932">
        <f>'[85]POS by sector'!$C$17</f>
        <v>14417</v>
      </c>
      <c r="D20" s="2298">
        <f>'[85]POS by sector'!$D$17</f>
        <v>1820222.7060000002</v>
      </c>
      <c r="E20" s="1932">
        <f>'[86]POS by sector'!$C$17</f>
        <v>12634</v>
      </c>
      <c r="F20" s="2298">
        <f>'[86]POS by sector'!$D$17</f>
        <v>1862624.507</v>
      </c>
      <c r="G20" s="1932">
        <f>'[87]POS by sector'!$C$17</f>
        <v>11807</v>
      </c>
      <c r="H20" s="2298">
        <f>'[87]POS by sector'!$D$17</f>
        <v>1633340.3119999999</v>
      </c>
      <c r="I20" s="1932">
        <f>'[88]POS by sector'!$C$17</f>
        <v>13784</v>
      </c>
      <c r="J20" s="2298">
        <f>'[88]POS by sector'!$D$17</f>
        <v>1936422.6930000002</v>
      </c>
      <c r="K20" s="1932">
        <f>'[89]POS by sector'!$C$17</f>
        <v>12313</v>
      </c>
      <c r="L20" s="2298">
        <f>'[89]POS by sector'!$D$17</f>
        <v>1944678.9810000001</v>
      </c>
      <c r="M20" s="1932">
        <f>'[90]POS by sector'!$C$17</f>
        <v>16289</v>
      </c>
      <c r="N20" s="2298">
        <f>'[90]POS by sector'!$D$17</f>
        <v>2547635.0319999997</v>
      </c>
      <c r="O20" s="1935" t="s">
        <v>1344</v>
      </c>
    </row>
    <row r="21" spans="1:15" ht="31.5" customHeight="1">
      <c r="A21" s="2010">
        <v>9</v>
      </c>
      <c r="B21" s="1934" t="s">
        <v>1345</v>
      </c>
      <c r="C21" s="1932">
        <f>'[85]POS by sector'!$C$18</f>
        <v>547963</v>
      </c>
      <c r="D21" s="2298">
        <f>'[85]POS by sector'!$D$18</f>
        <v>6269520.6469999999</v>
      </c>
      <c r="E21" s="1932">
        <f>'[86]POS by sector'!$C$18</f>
        <v>391368</v>
      </c>
      <c r="F21" s="2298">
        <f>'[86]POS by sector'!$D$18</f>
        <v>4582967.6349999998</v>
      </c>
      <c r="G21" s="1932">
        <f>'[87]POS by sector'!$C$18</f>
        <v>473997</v>
      </c>
      <c r="H21" s="2298">
        <f>'[87]POS by sector'!$D$18</f>
        <v>5601792.8260000004</v>
      </c>
      <c r="I21" s="1932">
        <f>'[88]POS by sector'!$C$18</f>
        <v>419440</v>
      </c>
      <c r="J21" s="2298">
        <f>'[88]POS by sector'!$D$18</f>
        <v>5054059.7360000005</v>
      </c>
      <c r="K21" s="1932">
        <f>'[89]POS by sector'!$C$18</f>
        <v>433805</v>
      </c>
      <c r="L21" s="2298">
        <f>'[89]POS by sector'!$D$18</f>
        <v>4775703.2489999998</v>
      </c>
      <c r="M21" s="1932">
        <f>'[90]POS by sector'!$C$18</f>
        <v>527912</v>
      </c>
      <c r="N21" s="2298">
        <f>'[90]POS by sector'!$D$18</f>
        <v>6146393.0659999996</v>
      </c>
      <c r="O21" s="1935" t="s">
        <v>1346</v>
      </c>
    </row>
    <row r="22" spans="1:15" ht="31.5" customHeight="1">
      <c r="A22" s="2010">
        <v>10</v>
      </c>
      <c r="B22" s="1934" t="s">
        <v>1347</v>
      </c>
      <c r="C22" s="1932">
        <f>'[85]POS by sector'!$C$19</f>
        <v>485562</v>
      </c>
      <c r="D22" s="2298">
        <f>'[85]POS by sector'!$D$19</f>
        <v>8209029.773</v>
      </c>
      <c r="E22" s="1932">
        <f>'[86]POS by sector'!$C$19</f>
        <v>361484</v>
      </c>
      <c r="F22" s="2298">
        <f>'[86]POS by sector'!$D$19</f>
        <v>6207381.7570000002</v>
      </c>
      <c r="G22" s="1932">
        <f>'[87]POS by sector'!$C$19</f>
        <v>340756</v>
      </c>
      <c r="H22" s="2298">
        <f>'[87]POS by sector'!$D$19</f>
        <v>5911162.5599999996</v>
      </c>
      <c r="I22" s="1932">
        <f>'[88]POS by sector'!$C$19</f>
        <v>525227</v>
      </c>
      <c r="J22" s="2298">
        <f>'[88]POS by sector'!$D$19</f>
        <v>9170203.6130000018</v>
      </c>
      <c r="K22" s="1932">
        <f>'[89]POS by sector'!$C$19</f>
        <v>375320</v>
      </c>
      <c r="L22" s="2298">
        <f>'[89]POS by sector'!$D$19</f>
        <v>6178112.8640000001</v>
      </c>
      <c r="M22" s="1932">
        <f>'[90]POS by sector'!$C$19</f>
        <v>551040</v>
      </c>
      <c r="N22" s="2298">
        <f>'[90]POS by sector'!$D$19</f>
        <v>9655050.2060000002</v>
      </c>
      <c r="O22" s="1935" t="s">
        <v>1348</v>
      </c>
    </row>
    <row r="23" spans="1:15" ht="31.5" customHeight="1">
      <c r="A23" s="2010">
        <v>11</v>
      </c>
      <c r="B23" s="1934" t="s">
        <v>1349</v>
      </c>
      <c r="C23" s="1932">
        <f>'[85]POS by sector'!$C$20</f>
        <v>129129</v>
      </c>
      <c r="D23" s="2298">
        <f>'[85]POS by sector'!$D$20</f>
        <v>3167837.8390000002</v>
      </c>
      <c r="E23" s="1932">
        <f>'[86]POS by sector'!$C$20</f>
        <v>78101</v>
      </c>
      <c r="F23" s="2298">
        <f>'[86]POS by sector'!$D$20</f>
        <v>1647045.1050000004</v>
      </c>
      <c r="G23" s="1932">
        <f>'[87]POS by sector'!$C$20</f>
        <v>92563</v>
      </c>
      <c r="H23" s="2298">
        <f>'[87]POS by sector'!$D$20</f>
        <v>2818525.2420000001</v>
      </c>
      <c r="I23" s="1932">
        <f>'[88]POS by sector'!$C$20</f>
        <v>83660</v>
      </c>
      <c r="J23" s="2298">
        <f>'[88]POS by sector'!$D$20</f>
        <v>2874966.5350000001</v>
      </c>
      <c r="K23" s="1932">
        <f>'[89]POS by sector'!$C$20</f>
        <v>83806</v>
      </c>
      <c r="L23" s="2298">
        <f>'[89]POS by sector'!$D$20</f>
        <v>2991824.5430000001</v>
      </c>
      <c r="M23" s="1932">
        <f>'[90]POS by sector'!$C$20</f>
        <v>95370</v>
      </c>
      <c r="N23" s="2298">
        <f>'[90]POS by sector'!$D$20</f>
        <v>3011628.6780000003</v>
      </c>
      <c r="O23" s="1935" t="s">
        <v>1350</v>
      </c>
    </row>
    <row r="24" spans="1:15" ht="30" customHeight="1">
      <c r="A24" s="2010">
        <v>12</v>
      </c>
      <c r="B24" s="1934" t="s">
        <v>1351</v>
      </c>
      <c r="C24" s="1932">
        <f>'[85]POS by sector'!$C$21</f>
        <v>67951</v>
      </c>
      <c r="D24" s="1932">
        <f>'[85]POS by sector'!$D$21</f>
        <v>1914764.6130000004</v>
      </c>
      <c r="E24" s="1932">
        <f>'[86]POS by sector'!$C$21</f>
        <v>50947</v>
      </c>
      <c r="F24" s="1932">
        <f>'[86]POS by sector'!$D$21</f>
        <v>1354842.0980000007</v>
      </c>
      <c r="G24" s="1932">
        <f>'[87]POS by sector'!$C$21</f>
        <v>57958</v>
      </c>
      <c r="H24" s="1932">
        <f>'[87]POS by sector'!$D$21</f>
        <v>1534065.8519999995</v>
      </c>
      <c r="I24" s="1932">
        <f>'[88]POS by sector'!$C$21</f>
        <v>47214</v>
      </c>
      <c r="J24" s="1932">
        <f>'[88]POS by sector'!$D$21</f>
        <v>1598264.18</v>
      </c>
      <c r="K24" s="1932">
        <f>'[89]POS by sector'!$C$21</f>
        <v>59184</v>
      </c>
      <c r="L24" s="1932">
        <f>'[89]POS by sector'!$D$21</f>
        <v>1815080.602</v>
      </c>
      <c r="M24" s="1932">
        <f>'[90]POS by sector'!$C$21</f>
        <v>67025</v>
      </c>
      <c r="N24" s="1932">
        <f>'[90]POS by sector'!$D$21</f>
        <v>1563137.0729999999</v>
      </c>
      <c r="O24" s="1935" t="s">
        <v>1352</v>
      </c>
    </row>
    <row r="25" spans="1:15" ht="31.5" customHeight="1">
      <c r="A25" s="2010">
        <v>13</v>
      </c>
      <c r="B25" s="1934" t="s">
        <v>1353</v>
      </c>
      <c r="C25" s="1932">
        <f>'[85]POS by sector'!$C$22</f>
        <v>601366</v>
      </c>
      <c r="D25" s="1932">
        <f>'[85]POS by sector'!$D$22</f>
        <v>37187930.022</v>
      </c>
      <c r="E25" s="1932">
        <f>'[86]POS by sector'!$C$22</f>
        <v>514465</v>
      </c>
      <c r="F25" s="1932">
        <f>'[86]POS by sector'!$D$22</f>
        <v>36229526.236000001</v>
      </c>
      <c r="G25" s="1932">
        <f>'[87]POS by sector'!$C$22</f>
        <v>527669</v>
      </c>
      <c r="H25" s="1932">
        <f>'[87]POS by sector'!$D$22</f>
        <v>32843367.295000002</v>
      </c>
      <c r="I25" s="1932">
        <f>'[88]POS by sector'!$C$22</f>
        <v>587977</v>
      </c>
      <c r="J25" s="1932">
        <f>'[88]POS by sector'!$D$22</f>
        <v>39645555.916000001</v>
      </c>
      <c r="K25" s="1932">
        <f>'[89]POS by sector'!$C$22</f>
        <v>564214</v>
      </c>
      <c r="L25" s="1932">
        <f>'[89]POS by sector'!$D$22</f>
        <v>36206375.539999999</v>
      </c>
      <c r="M25" s="1932">
        <f>'[90]POS by sector'!$C$22</f>
        <v>597846</v>
      </c>
      <c r="N25" s="1932">
        <f>'[90]POS by sector'!$D$22</f>
        <v>39707240.938000008</v>
      </c>
      <c r="O25" s="1935" t="s">
        <v>1354</v>
      </c>
    </row>
    <row r="26" spans="1:15" ht="31.5" customHeight="1">
      <c r="A26" s="2010">
        <v>14</v>
      </c>
      <c r="B26" s="1934" t="s">
        <v>1355</v>
      </c>
      <c r="C26" s="1932">
        <f>'[85]POS by sector'!$C$23</f>
        <v>15473</v>
      </c>
      <c r="D26" s="1932">
        <f>'[85]POS by sector'!$D$23</f>
        <v>335221.07900000003</v>
      </c>
      <c r="E26" s="1932">
        <f>'[86]POS by sector'!$C$23</f>
        <v>7267</v>
      </c>
      <c r="F26" s="2298">
        <f>'[86]POS by sector'!$D$23</f>
        <v>103693.5</v>
      </c>
      <c r="G26" s="1932">
        <f>'[87]POS by sector'!$C$23</f>
        <v>9267</v>
      </c>
      <c r="H26" s="2451">
        <f>'[87]POS by sector'!$D$23-0.1</f>
        <v>190654.42199999999</v>
      </c>
      <c r="I26" s="1932">
        <f>'[88]POS by sector'!$C$23</f>
        <v>7448</v>
      </c>
      <c r="J26" s="2298">
        <f>'[88]POS by sector'!$D$23</f>
        <v>147783.269</v>
      </c>
      <c r="K26" s="1932">
        <f>'[89]POS by sector'!$C$23</f>
        <v>10565</v>
      </c>
      <c r="L26" s="2298">
        <f>'[89]POS by sector'!$D$23</f>
        <v>192316.11499999999</v>
      </c>
      <c r="M26" s="1932">
        <f>'[90]POS by sector'!$C$23</f>
        <v>14553</v>
      </c>
      <c r="N26" s="2298">
        <f>'[90]POS by sector'!$D$23</f>
        <v>232440.81299999999</v>
      </c>
      <c r="O26" s="1935" t="s">
        <v>1356</v>
      </c>
    </row>
    <row r="27" spans="1:15" ht="31">
      <c r="A27" s="2010">
        <v>15</v>
      </c>
      <c r="B27" s="1934" t="s">
        <v>1357</v>
      </c>
      <c r="C27" s="1932">
        <f>'[85]POS by sector'!$C$24</f>
        <v>1608934</v>
      </c>
      <c r="D27" s="2298">
        <f>'[85]POS by sector'!$D$24</f>
        <v>10895374.241</v>
      </c>
      <c r="E27" s="1932">
        <f>'[86]POS by sector'!$C$24</f>
        <v>1384257</v>
      </c>
      <c r="F27" s="2298">
        <f>'[86]POS by sector'!$D$24</f>
        <v>10695048.261</v>
      </c>
      <c r="G27" s="1932">
        <f>'[87]POS by sector'!$C$24</f>
        <v>1569629</v>
      </c>
      <c r="H27" s="2298">
        <f>'[87]POS by sector'!$D$24</f>
        <v>11840493.225999998</v>
      </c>
      <c r="I27" s="1932">
        <f>'[88]POS by sector'!$C$24</f>
        <v>1327470</v>
      </c>
      <c r="J27" s="2298">
        <f>'[88]POS by sector'!$D$24</f>
        <v>10676598.030999999</v>
      </c>
      <c r="K27" s="1932">
        <f>'[89]POS by sector'!$C$24</f>
        <v>1522352</v>
      </c>
      <c r="L27" s="2298">
        <f>'[89]POS by sector'!$D$24</f>
        <v>12067793.343999999</v>
      </c>
      <c r="M27" s="1932">
        <f>'[90]POS by sector'!$C$24</f>
        <v>1781840</v>
      </c>
      <c r="N27" s="2298">
        <f>'[90]POS by sector'!$D$24</f>
        <v>13909258.331999999</v>
      </c>
      <c r="O27" s="1935" t="s">
        <v>1358</v>
      </c>
    </row>
    <row r="28" spans="1:15" ht="31.5" customHeight="1">
      <c r="A28" s="2010">
        <v>16</v>
      </c>
      <c r="B28" s="1934" t="s">
        <v>1359</v>
      </c>
      <c r="C28" s="1932">
        <f>'[85]POS by sector'!$C$25</f>
        <v>8648</v>
      </c>
      <c r="D28" s="2298">
        <f>'[85]POS by sector'!$D$25</f>
        <v>937724.77600000007</v>
      </c>
      <c r="E28" s="1932">
        <f>'[86]POS by sector'!$C$25</f>
        <v>6498</v>
      </c>
      <c r="F28" s="2298">
        <f>'[86]POS by sector'!$D$25</f>
        <v>640498.82799999998</v>
      </c>
      <c r="G28" s="1932">
        <f>'[87]POS by sector'!$C$25</f>
        <v>7369</v>
      </c>
      <c r="H28" s="2298">
        <f>'[87]POS by sector'!$D$25</f>
        <v>756619.56200000003</v>
      </c>
      <c r="I28" s="1932">
        <f>'[88]POS by sector'!$C$25</f>
        <v>2366</v>
      </c>
      <c r="J28" s="2298">
        <f>'[88]POS by sector'!$D$25</f>
        <v>363245.36099999998</v>
      </c>
      <c r="K28" s="1932">
        <f>'[89]POS by sector'!$C$25</f>
        <v>5582</v>
      </c>
      <c r="L28" s="2298">
        <f>'[89]POS by sector'!$D$25</f>
        <v>661878.76599999995</v>
      </c>
      <c r="M28" s="1932">
        <f>'[90]POS by sector'!$C$25</f>
        <v>8534</v>
      </c>
      <c r="N28" s="2298">
        <f>'[90]POS by sector'!$D$25</f>
        <v>767692.50800000015</v>
      </c>
      <c r="O28" s="1936" t="s">
        <v>1360</v>
      </c>
    </row>
    <row r="29" spans="1:15" ht="31.5" customHeight="1">
      <c r="A29" s="2010">
        <v>17</v>
      </c>
      <c r="B29" s="1934" t="s">
        <v>1361</v>
      </c>
      <c r="C29" s="1932">
        <f>'[85]POS by sector'!$C$26</f>
        <v>226374</v>
      </c>
      <c r="D29" s="2451">
        <f>'[85]POS by sector'!$D$26-0.1</f>
        <v>2245106.4439999997</v>
      </c>
      <c r="E29" s="1932">
        <f>'[86]POS by sector'!$C$26</f>
        <v>146452</v>
      </c>
      <c r="F29" s="2298">
        <f>'[86]POS by sector'!$D$26</f>
        <v>1537451.05</v>
      </c>
      <c r="G29" s="1932">
        <f>'[87]POS by sector'!$C$26</f>
        <v>119296</v>
      </c>
      <c r="H29" s="2298">
        <f>'[87]POS by sector'!$D$26</f>
        <v>1578161.595</v>
      </c>
      <c r="I29" s="1932">
        <f>'[88]POS by sector'!$C$26</f>
        <v>127858</v>
      </c>
      <c r="J29" s="2298">
        <f>'[88]POS by sector'!$D$26</f>
        <v>1375300.8570000001</v>
      </c>
      <c r="K29" s="1932">
        <f>'[89]POS by sector'!$C$26</f>
        <v>176418</v>
      </c>
      <c r="L29" s="2298">
        <f>'[89]POS by sector'!$D$26</f>
        <v>1878813.3160000001</v>
      </c>
      <c r="M29" s="1932">
        <f>'[90]POS by sector'!$C$26</f>
        <v>239357</v>
      </c>
      <c r="N29" s="2298">
        <f>'[90]POS by sector'!$D$26</f>
        <v>2632474.3670000001</v>
      </c>
      <c r="O29" s="1935" t="s">
        <v>1362</v>
      </c>
    </row>
    <row r="30" spans="1:15" ht="46.5" customHeight="1">
      <c r="A30" s="2010">
        <v>18</v>
      </c>
      <c r="B30" s="1934" t="s">
        <v>1363</v>
      </c>
      <c r="C30" s="1932">
        <f>'[85]POS by sector'!$C$27</f>
        <v>53400</v>
      </c>
      <c r="D30" s="2298">
        <f>'[85]POS by sector'!$D$27</f>
        <v>1633259.148</v>
      </c>
      <c r="E30" s="1932">
        <f>'[86]POS by sector'!$C$27</f>
        <v>49092</v>
      </c>
      <c r="F30" s="2298">
        <f>'[86]POS by sector'!$D$27</f>
        <v>1407759.6869999999</v>
      </c>
      <c r="G30" s="1932">
        <f>'[87]POS by sector'!$C$27</f>
        <v>50306</v>
      </c>
      <c r="H30" s="2298">
        <f>'[87]POS by sector'!$D$27</f>
        <v>1588294.97</v>
      </c>
      <c r="I30" s="1932">
        <f>'[88]POS by sector'!$C$27</f>
        <v>38986</v>
      </c>
      <c r="J30" s="2298">
        <f>'[88]POS by sector'!$D$27</f>
        <v>1258575.8629999999</v>
      </c>
      <c r="K30" s="1932">
        <f>'[89]POS by sector'!$C$27</f>
        <v>56579</v>
      </c>
      <c r="L30" s="2298">
        <f>'[89]POS by sector'!$D$27</f>
        <v>1646844.652</v>
      </c>
      <c r="M30" s="1932">
        <f>'[90]POS by sector'!$C$27</f>
        <v>56301</v>
      </c>
      <c r="N30" s="2298">
        <f>'[90]POS by sector'!$D$27</f>
        <v>1525685.635</v>
      </c>
      <c r="O30" s="1935" t="s">
        <v>1364</v>
      </c>
    </row>
    <row r="31" spans="1:15" ht="31.5" customHeight="1">
      <c r="A31" s="2010">
        <v>19</v>
      </c>
      <c r="B31" s="1934" t="s">
        <v>1365</v>
      </c>
      <c r="C31" s="1932">
        <f>'[85]POS by sector'!$C$28</f>
        <v>32138</v>
      </c>
      <c r="D31" s="2298">
        <f>'[85]POS by sector'!$D$28</f>
        <v>450630.88699999999</v>
      </c>
      <c r="E31" s="1932">
        <f>'[86]POS by sector'!$C$28</f>
        <v>21220</v>
      </c>
      <c r="F31" s="2298">
        <f>'[86]POS by sector'!$D$28</f>
        <v>354334.01800000004</v>
      </c>
      <c r="G31" s="1932">
        <f>'[87]POS by sector'!$C$28</f>
        <v>39718</v>
      </c>
      <c r="H31" s="2451">
        <f>'[87]POS by sector'!$D$28-0.1</f>
        <v>453614.43500000006</v>
      </c>
      <c r="I31" s="1932">
        <f>'[88]POS by sector'!$C$28</f>
        <v>19234</v>
      </c>
      <c r="J31" s="2298">
        <f>'[88]POS by sector'!$D$28</f>
        <v>384035.41500000004</v>
      </c>
      <c r="K31" s="1932">
        <f>'[89]POS by sector'!$C$28</f>
        <v>26836</v>
      </c>
      <c r="L31" s="2298">
        <f>'[89]POS by sector'!$D$28</f>
        <v>422883.69500000001</v>
      </c>
      <c r="M31" s="1932">
        <f>'[90]POS by sector'!$C$28</f>
        <v>31299</v>
      </c>
      <c r="N31" s="2298">
        <f>'[90]POS by sector'!$D$28</f>
        <v>446857.32799999998</v>
      </c>
      <c r="O31" s="1935" t="s">
        <v>1366</v>
      </c>
    </row>
    <row r="32" spans="1:15" ht="31.5" customHeight="1">
      <c r="A32" s="2010">
        <v>20</v>
      </c>
      <c r="B32" s="1934" t="s">
        <v>1367</v>
      </c>
      <c r="C32" s="1932">
        <f>'[85]POS by sector'!$C$29</f>
        <v>805563</v>
      </c>
      <c r="D32" s="2298">
        <f>'[85]POS by sector'!$D$29</f>
        <v>23702540.62900161</v>
      </c>
      <c r="E32" s="1932">
        <f>'[86]POS by sector'!$C$29</f>
        <v>733544</v>
      </c>
      <c r="F32" s="2298">
        <f>'[86]POS by sector'!$D$29</f>
        <v>19679947.337999806</v>
      </c>
      <c r="G32" s="1932">
        <f>'[87]POS by sector'!$C$29</f>
        <v>710165</v>
      </c>
      <c r="H32" s="2298">
        <f>'[87]POS by sector'!$D$29</f>
        <v>19687154.608999833</v>
      </c>
      <c r="I32" s="1932">
        <f>'[88]POS by sector'!$C$29</f>
        <v>737550</v>
      </c>
      <c r="J32" s="2451">
        <f>'[88]POS by sector'!$D$29+0.1</f>
        <v>24673674.585999768</v>
      </c>
      <c r="K32" s="1932">
        <f>'[89]POS by sector'!$C$29</f>
        <v>680450</v>
      </c>
      <c r="L32" s="2298">
        <f>'[89]POS by sector'!$D$29</f>
        <v>22526935.20999974</v>
      </c>
      <c r="M32" s="1932">
        <f>'[90]POS by sector'!$C$29</f>
        <v>821925</v>
      </c>
      <c r="N32" s="2298">
        <f>'[90]POS by sector'!$D$29</f>
        <v>23890444.741999622</v>
      </c>
      <c r="O32" s="1935" t="s">
        <v>1368</v>
      </c>
    </row>
    <row r="33" spans="1:15" s="1940" customFormat="1" ht="31.5" customHeight="1">
      <c r="A33" s="2012"/>
      <c r="B33" s="1937" t="s">
        <v>400</v>
      </c>
      <c r="C33" s="1938">
        <f>'[85]POS by sector'!$C$30</f>
        <v>15246460</v>
      </c>
      <c r="D33" s="2161">
        <f>'[85]POS by sector'!$D$30</f>
        <v>173820997.77900162</v>
      </c>
      <c r="E33" s="1938">
        <f>'[86]POS by sector'!$C$30</f>
        <v>11317033</v>
      </c>
      <c r="F33" s="2161">
        <f>'[86]POS by sector'!$D$30</f>
        <v>146273691.89899981</v>
      </c>
      <c r="G33" s="1938">
        <f>'[87]POS by sector'!$C$30</f>
        <v>13171706</v>
      </c>
      <c r="H33" s="2161">
        <f>'[87]POS by sector'!$D$30</f>
        <v>158909489.80499983</v>
      </c>
      <c r="I33" s="1938">
        <f>'[88]POS by sector'!$C$30</f>
        <v>12870202</v>
      </c>
      <c r="J33" s="2161">
        <f>'[88]POS by sector'!$D$30</f>
        <v>169196874.08099973</v>
      </c>
      <c r="K33" s="1938">
        <f>'[89]POS by sector'!$C$30</f>
        <v>14024926</v>
      </c>
      <c r="L33" s="2161">
        <f>'[89]POS by sector'!$D$30</f>
        <v>166868379.04699975</v>
      </c>
      <c r="M33" s="1938">
        <f>'[90]POS by sector'!$C$30</f>
        <v>15924591</v>
      </c>
      <c r="N33" s="2161">
        <f>'[90]POS by sector'!$D$30</f>
        <v>185471528.87699962</v>
      </c>
      <c r="O33" s="1939" t="s">
        <v>390</v>
      </c>
    </row>
    <row r="34" spans="1:15" ht="27.75" customHeight="1">
      <c r="A34" s="1941" t="s">
        <v>1369</v>
      </c>
      <c r="B34" s="1942"/>
      <c r="C34" s="1943"/>
      <c r="D34" s="1943"/>
      <c r="E34" s="1943"/>
      <c r="F34" s="1943"/>
      <c r="G34" s="1943"/>
      <c r="H34" s="1943"/>
      <c r="I34" s="1943"/>
      <c r="J34" s="1943"/>
      <c r="K34" s="1943"/>
      <c r="L34" s="1943"/>
      <c r="M34" s="1943"/>
      <c r="N34" s="1943"/>
      <c r="O34" s="1944" t="s">
        <v>1370</v>
      </c>
    </row>
    <row r="35" spans="1:15" ht="17.5">
      <c r="A35" s="1941" t="s">
        <v>1371</v>
      </c>
      <c r="B35" s="1942"/>
      <c r="C35" s="1943"/>
      <c r="D35" s="1943"/>
      <c r="E35" s="1943"/>
      <c r="F35" s="1943"/>
      <c r="G35" s="1943"/>
      <c r="H35" s="1943"/>
      <c r="I35" s="1943"/>
      <c r="J35" s="1943"/>
      <c r="K35" s="1943"/>
      <c r="L35" s="1943"/>
      <c r="M35" s="1943"/>
      <c r="N35" s="1943"/>
      <c r="O35" s="1944" t="s">
        <v>1372</v>
      </c>
    </row>
    <row r="36" spans="1:15" ht="17.5">
      <c r="A36" s="1941"/>
      <c r="B36" s="1942"/>
      <c r="C36" s="1943"/>
      <c r="D36" s="1943"/>
      <c r="E36" s="1943"/>
      <c r="F36" s="1943"/>
      <c r="G36" s="1943"/>
      <c r="H36" s="1943"/>
      <c r="I36" s="1943"/>
      <c r="J36" s="1943"/>
      <c r="K36" s="1943"/>
      <c r="L36" s="1943"/>
      <c r="M36" s="1943"/>
      <c r="N36" s="1943"/>
      <c r="O36" s="1944"/>
    </row>
    <row r="37" spans="1:15">
      <c r="A37" s="1945" t="s">
        <v>1381</v>
      </c>
      <c r="B37" s="1945"/>
      <c r="C37" s="1945"/>
      <c r="D37" s="1945"/>
      <c r="E37" s="1945"/>
      <c r="F37" s="1945"/>
      <c r="G37" s="1945"/>
      <c r="H37" s="1945"/>
      <c r="I37" s="1945"/>
      <c r="J37" s="1945"/>
      <c r="K37" s="1945"/>
      <c r="L37" s="1945"/>
      <c r="M37" s="1945"/>
      <c r="N37" s="1945"/>
      <c r="O37" s="1945"/>
    </row>
    <row r="38" spans="1:15">
      <c r="C38" s="2310">
        <f t="shared" ref="C38:F38" si="0">ROUND(C33,0)-ROUND(C13,0)-ROUND(C14,0)-ROUND(C15,0)-ROUND(C16,0)-ROUND(C17,0)-ROUND(C18,0)-ROUND(C19,0)-ROUND(C20,0)-ROUND(C21,0)-ROUND(C22,0)-ROUND(C23,0)-ROUND(C24,0)-ROUND(C25,0)-ROUND(C26,0)-ROUND(C27,0)-ROUND(C28,0)-ROUND(C29,0)-ROUND(C30,0)-ROUND(C31,0)-ROUND(C32,0)</f>
        <v>0</v>
      </c>
      <c r="D38" s="2310">
        <f t="shared" si="0"/>
        <v>0</v>
      </c>
      <c r="E38" s="2310">
        <f t="shared" si="0"/>
        <v>0</v>
      </c>
      <c r="F38" s="2310">
        <f t="shared" si="0"/>
        <v>0</v>
      </c>
      <c r="G38" s="2310">
        <f t="shared" ref="G38:H38" si="1">ROUND(G33,0)-ROUND(G13,0)-ROUND(G14,0)-ROUND(G15,0)-ROUND(G16,0)-ROUND(G17,0)-ROUND(G18,0)-ROUND(G19,0)-ROUND(G20,0)-ROUND(G21,0)-ROUND(G22,0)-ROUND(G23,0)-ROUND(G24,0)-ROUND(G25,0)-ROUND(G26,0)-ROUND(G27,0)-ROUND(G28,0)-ROUND(G29,0)-ROUND(G30,0)-ROUND(G31,0)-ROUND(G32,0)</f>
        <v>0</v>
      </c>
      <c r="H38" s="2310">
        <f t="shared" si="1"/>
        <v>0</v>
      </c>
      <c r="I38" s="2310">
        <f t="shared" ref="I38:J38" si="2">ROUND(I33,0)-ROUND(I13,0)-ROUND(I14,0)-ROUND(I15,0)-ROUND(I16,0)-ROUND(I17,0)-ROUND(I18,0)-ROUND(I19,0)-ROUND(I20,0)-ROUND(I21,0)-ROUND(I22,0)-ROUND(I23,0)-ROUND(I24,0)-ROUND(I25,0)-ROUND(I26,0)-ROUND(I27,0)-ROUND(I28,0)-ROUND(I29,0)-ROUND(I30,0)-ROUND(I31,0)-ROUND(I32,0)</f>
        <v>0</v>
      </c>
      <c r="J38" s="2310">
        <f t="shared" si="2"/>
        <v>0</v>
      </c>
      <c r="K38" s="2310">
        <f t="shared" ref="K38:L38" si="3">ROUND(K33,0)-ROUND(K13,0)-ROUND(K14,0)-ROUND(K15,0)-ROUND(K16,0)-ROUND(K17,0)-ROUND(K18,0)-ROUND(K19,0)-ROUND(K20,0)-ROUND(K21,0)-ROUND(K22,0)-ROUND(K23,0)-ROUND(K24,0)-ROUND(K25,0)-ROUND(K26,0)-ROUND(K27,0)-ROUND(K28,0)-ROUND(K29,0)-ROUND(K30,0)-ROUND(K31,0)-ROUND(K32,0)</f>
        <v>0</v>
      </c>
      <c r="L38" s="2310">
        <f t="shared" si="3"/>
        <v>0</v>
      </c>
      <c r="M38" s="2310">
        <f t="shared" ref="M38:N38" si="4">ROUND(M33,0)-ROUND(M13,0)-ROUND(M14,0)-ROUND(M15,0)-ROUND(M16,0)-ROUND(M17,0)-ROUND(M18,0)-ROUND(M19,0)-ROUND(M20,0)-ROUND(M21,0)-ROUND(M22,0)-ROUND(M23,0)-ROUND(M24,0)-ROUND(M25,0)-ROUND(M26,0)-ROUND(M27,0)-ROUND(M28,0)-ROUND(M29,0)-ROUND(M30,0)-ROUND(M31,0)-ROUND(M32,0)</f>
        <v>0</v>
      </c>
      <c r="N38" s="2310">
        <f t="shared" si="4"/>
        <v>0</v>
      </c>
    </row>
    <row r="39" spans="1:15">
      <c r="C39" s="1947"/>
      <c r="D39" s="1947"/>
      <c r="E39" s="1947"/>
      <c r="F39" s="1947"/>
      <c r="G39" s="1947"/>
      <c r="H39" s="1947"/>
      <c r="I39" s="1947"/>
      <c r="J39" s="1947"/>
      <c r="K39" s="1947"/>
      <c r="L39" s="1947"/>
      <c r="M39" s="1947"/>
      <c r="N39" s="1947"/>
    </row>
    <row r="41" spans="1:15">
      <c r="C41" s="1948"/>
      <c r="D41" s="1948"/>
      <c r="E41" s="1948"/>
      <c r="F41" s="1948"/>
      <c r="G41" s="1948"/>
      <c r="H41" s="1948"/>
      <c r="I41" s="1948"/>
      <c r="J41" s="1948"/>
      <c r="K41" s="1948"/>
      <c r="L41" s="1948"/>
      <c r="M41" s="1948"/>
      <c r="N41" s="1948"/>
      <c r="O41" s="1948"/>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7">
    <tabColor theme="9" tint="-0.249977111117893"/>
    <pageSetUpPr fitToPage="1"/>
  </sheetPr>
  <dimension ref="A1:Q41"/>
  <sheetViews>
    <sheetView topLeftCell="A26" zoomScale="70" zoomScaleNormal="70" workbookViewId="0">
      <selection activeCell="N30" sqref="N30"/>
    </sheetView>
  </sheetViews>
  <sheetFormatPr defaultColWidth="18.26953125" defaultRowHeight="15.5"/>
  <cols>
    <col min="1" max="1" width="6.1796875" style="1946" customWidth="1"/>
    <col min="2" max="2" width="45.81640625" style="1925" customWidth="1"/>
    <col min="3" max="3" width="15" style="1925" bestFit="1" customWidth="1"/>
    <col min="4" max="4" width="14.81640625" style="1925" customWidth="1"/>
    <col min="5" max="5" width="14.7265625" style="1925" customWidth="1"/>
    <col min="6" max="6" width="14.81640625" style="1925" customWidth="1"/>
    <col min="7" max="7" width="14.7265625" style="1925" customWidth="1"/>
    <col min="8" max="8" width="14.81640625" style="1925" customWidth="1"/>
    <col min="9" max="9" width="14.7265625" style="1925" customWidth="1"/>
    <col min="10" max="10" width="14.81640625" style="1925" customWidth="1"/>
    <col min="11" max="11" width="14.7265625" style="1925" customWidth="1"/>
    <col min="12" max="12" width="14.81640625" style="1925" customWidth="1"/>
    <col min="13" max="13" width="14.7265625" style="1925" customWidth="1"/>
    <col min="14" max="14" width="14.81640625" style="1925" customWidth="1"/>
    <col min="15" max="15" width="46.7265625" style="1925" customWidth="1"/>
    <col min="16" max="16384" width="18.26953125" style="1925"/>
  </cols>
  <sheetData>
    <row r="1" spans="1:15" ht="18" customHeight="1">
      <c r="A1" s="1838" t="s">
        <v>1382</v>
      </c>
      <c r="B1" s="1635"/>
      <c r="C1" s="1635"/>
      <c r="D1" s="1635"/>
      <c r="E1" s="1635"/>
      <c r="F1" s="1635"/>
      <c r="G1" s="1635"/>
      <c r="H1" s="1635"/>
      <c r="I1" s="1635"/>
      <c r="J1" s="1635"/>
      <c r="K1" s="1635"/>
      <c r="L1" s="1635"/>
      <c r="M1" s="1635"/>
      <c r="N1" s="1635"/>
      <c r="O1" s="1635"/>
    </row>
    <row r="2" spans="1:15" ht="18" customHeight="1">
      <c r="A2" s="1838" t="s">
        <v>1383</v>
      </c>
      <c r="B2" s="1926"/>
      <c r="C2" s="1926"/>
      <c r="D2" s="1926"/>
      <c r="E2" s="1926"/>
      <c r="F2" s="1926"/>
      <c r="G2" s="1926"/>
      <c r="H2" s="1926"/>
      <c r="I2" s="1926"/>
      <c r="J2" s="1926"/>
      <c r="K2" s="1926"/>
      <c r="L2" s="1926"/>
      <c r="M2" s="1926"/>
      <c r="N2" s="1926"/>
      <c r="O2" s="1926"/>
    </row>
    <row r="3" spans="1:15" ht="18">
      <c r="A3" s="1838" t="s">
        <v>1384</v>
      </c>
      <c r="B3" s="1635"/>
      <c r="C3" s="1635"/>
      <c r="D3" s="1635"/>
      <c r="E3" s="1635"/>
      <c r="F3" s="1635"/>
      <c r="G3" s="1635"/>
      <c r="H3" s="1635"/>
      <c r="I3" s="1635"/>
      <c r="J3" s="1635"/>
      <c r="K3" s="1635"/>
      <c r="L3" s="1635"/>
      <c r="M3" s="1635"/>
      <c r="N3" s="1635"/>
      <c r="O3" s="1635"/>
    </row>
    <row r="4" spans="1:15" ht="4.5" customHeight="1">
      <c r="A4" s="1635"/>
      <c r="B4" s="1635"/>
      <c r="C4" s="2142"/>
      <c r="D4" s="2142"/>
      <c r="E4" s="2142"/>
      <c r="F4" s="2142"/>
      <c r="G4" s="2142"/>
      <c r="H4" s="2142"/>
      <c r="I4" s="2142"/>
      <c r="J4" s="2142"/>
      <c r="K4" s="2142"/>
      <c r="L4" s="2142"/>
      <c r="M4" s="2142"/>
      <c r="N4" s="2142"/>
      <c r="O4" s="1635"/>
    </row>
    <row r="5" spans="1:15" ht="15.75" hidden="1" customHeight="1">
      <c r="A5" s="1635"/>
      <c r="B5" s="1635"/>
      <c r="C5" s="2142"/>
      <c r="D5" s="2142"/>
      <c r="E5" s="2142"/>
      <c r="F5" s="2142"/>
      <c r="G5" s="2142"/>
      <c r="H5" s="2142"/>
      <c r="I5" s="2142"/>
      <c r="J5" s="2142"/>
      <c r="K5" s="2142"/>
      <c r="L5" s="2142"/>
      <c r="M5" s="2142"/>
      <c r="N5" s="2142"/>
      <c r="O5" s="1635"/>
    </row>
    <row r="6" spans="1:15" ht="15.75" hidden="1" customHeight="1">
      <c r="A6" s="1635"/>
      <c r="B6" s="1635"/>
      <c r="C6" s="2142"/>
      <c r="D6" s="2142"/>
      <c r="E6" s="2142"/>
      <c r="F6" s="2142"/>
      <c r="G6" s="2142"/>
      <c r="H6" s="2142"/>
      <c r="I6" s="2142"/>
      <c r="J6" s="2142"/>
      <c r="K6" s="2142"/>
      <c r="L6" s="2142"/>
      <c r="M6" s="2142"/>
      <c r="N6" s="2142"/>
      <c r="O6" s="1635"/>
    </row>
    <row r="7" spans="1:15" ht="15.75" hidden="1" customHeight="1">
      <c r="A7" s="1635"/>
      <c r="B7" s="1635"/>
      <c r="C7" s="2142"/>
      <c r="D7" s="2142"/>
      <c r="E7" s="2142"/>
      <c r="F7" s="2142"/>
      <c r="G7" s="2142"/>
      <c r="H7" s="2142"/>
      <c r="I7" s="2142"/>
      <c r="J7" s="2142"/>
      <c r="K7" s="2142"/>
      <c r="L7" s="2142"/>
      <c r="M7" s="2142"/>
      <c r="N7" s="2142"/>
      <c r="O7" s="1635"/>
    </row>
    <row r="8" spans="1:15">
      <c r="A8" s="1927" t="s">
        <v>1328</v>
      </c>
      <c r="D8" s="1927"/>
      <c r="E8" s="1927"/>
      <c r="F8" s="1927"/>
      <c r="G8" s="1927"/>
      <c r="H8" s="1927"/>
      <c r="I8" s="1927"/>
      <c r="J8" s="1927"/>
      <c r="K8" s="1927"/>
      <c r="L8" s="1927"/>
      <c r="M8" s="1927"/>
      <c r="N8" s="1927"/>
      <c r="O8" s="1927" t="s">
        <v>1329</v>
      </c>
    </row>
    <row r="9" spans="1:15" s="1929" customFormat="1" ht="20.25" customHeight="1">
      <c r="A9" s="2703"/>
      <c r="B9" s="2703" t="s">
        <v>903</v>
      </c>
      <c r="C9" s="1928">
        <v>2025</v>
      </c>
      <c r="D9" s="1928"/>
      <c r="E9" s="1928">
        <v>2026</v>
      </c>
      <c r="F9" s="1928"/>
      <c r="G9" s="1928"/>
      <c r="H9" s="1928"/>
      <c r="I9" s="1928"/>
      <c r="J9" s="1928"/>
      <c r="K9" s="1928"/>
      <c r="L9" s="1928"/>
      <c r="M9" s="1928"/>
      <c r="N9" s="1928"/>
      <c r="O9" s="2703" t="s">
        <v>904</v>
      </c>
    </row>
    <row r="10" spans="1:15" s="1929" customFormat="1" ht="20.25" customHeight="1">
      <c r="A10" s="2721"/>
      <c r="B10" s="2721"/>
      <c r="C10" s="2728" t="s">
        <v>1731</v>
      </c>
      <c r="D10" s="2729"/>
      <c r="E10" s="2728" t="s">
        <v>1742</v>
      </c>
      <c r="F10" s="2729"/>
      <c r="G10" s="2728" t="s">
        <v>1744</v>
      </c>
      <c r="H10" s="2729"/>
      <c r="I10" s="2728" t="s">
        <v>1765</v>
      </c>
      <c r="J10" s="2729"/>
      <c r="K10" s="2728" t="s">
        <v>1784</v>
      </c>
      <c r="L10" s="2729"/>
      <c r="M10" s="2728" t="s">
        <v>427</v>
      </c>
      <c r="N10" s="2729"/>
      <c r="O10" s="2721"/>
    </row>
    <row r="11" spans="1:15" s="1929" customFormat="1">
      <c r="A11" s="2721"/>
      <c r="B11" s="2721"/>
      <c r="C11" s="2008" t="s">
        <v>1311</v>
      </c>
      <c r="D11" s="2008" t="s">
        <v>1275</v>
      </c>
      <c r="E11" s="2008" t="s">
        <v>1311</v>
      </c>
      <c r="F11" s="2008" t="s">
        <v>1275</v>
      </c>
      <c r="G11" s="2008" t="s">
        <v>1311</v>
      </c>
      <c r="H11" s="2008" t="s">
        <v>1275</v>
      </c>
      <c r="I11" s="2008" t="s">
        <v>1311</v>
      </c>
      <c r="J11" s="2008" t="s">
        <v>1275</v>
      </c>
      <c r="K11" s="2008" t="s">
        <v>1311</v>
      </c>
      <c r="L11" s="2008" t="s">
        <v>1275</v>
      </c>
      <c r="M11" s="2008" t="s">
        <v>1311</v>
      </c>
      <c r="N11" s="2008" t="s">
        <v>1275</v>
      </c>
      <c r="O11" s="2721"/>
    </row>
    <row r="12" spans="1:15" s="1930" customFormat="1">
      <c r="A12" s="2712"/>
      <c r="B12" s="2712"/>
      <c r="C12" s="2009" t="s">
        <v>1330</v>
      </c>
      <c r="D12" s="2009" t="s">
        <v>1277</v>
      </c>
      <c r="E12" s="2009" t="s">
        <v>1330</v>
      </c>
      <c r="F12" s="2009" t="s">
        <v>1277</v>
      </c>
      <c r="G12" s="2009" t="s">
        <v>1330</v>
      </c>
      <c r="H12" s="2009" t="s">
        <v>1277</v>
      </c>
      <c r="I12" s="2009" t="s">
        <v>1330</v>
      </c>
      <c r="J12" s="2009" t="s">
        <v>1277</v>
      </c>
      <c r="K12" s="2009" t="s">
        <v>1330</v>
      </c>
      <c r="L12" s="2009" t="s">
        <v>1277</v>
      </c>
      <c r="M12" s="2009" t="s">
        <v>1330</v>
      </c>
      <c r="N12" s="2009" t="s">
        <v>1277</v>
      </c>
      <c r="O12" s="2712"/>
    </row>
    <row r="13" spans="1:15" ht="31.5" customHeight="1">
      <c r="A13" s="2010">
        <v>1</v>
      </c>
      <c r="B13" s="1931" t="s">
        <v>938</v>
      </c>
      <c r="C13" s="1932">
        <f>'[85]POS by sector'!$E$10</f>
        <v>4185</v>
      </c>
      <c r="D13" s="1932">
        <f>'[85]POS by sector'!$F$10</f>
        <v>678057.16599999997</v>
      </c>
      <c r="E13" s="1932">
        <f>'[86]POS by sector'!$E$10</f>
        <v>2891</v>
      </c>
      <c r="F13" s="1932">
        <f>'[86]POS by sector'!$F$10</f>
        <v>464193</v>
      </c>
      <c r="G13" s="1932">
        <f>'[87]POS by sector'!$E$10</f>
        <v>3811</v>
      </c>
      <c r="H13" s="1932">
        <f>'[87]POS by sector'!$F$10</f>
        <v>569183.62</v>
      </c>
      <c r="I13" s="1932">
        <f>'[88]POS by sector'!$E$10</f>
        <v>2563</v>
      </c>
      <c r="J13" s="1932">
        <f>'[88]POS by sector'!$F$10</f>
        <v>455415.12600000005</v>
      </c>
      <c r="K13" s="1932">
        <f>'[89]POS by sector'!$E$10</f>
        <v>3798</v>
      </c>
      <c r="L13" s="1932">
        <f>'[89]POS by sector'!$F$10</f>
        <v>705361.375</v>
      </c>
      <c r="M13" s="1932">
        <f>'[90]POS by sector'!$E$10</f>
        <v>4086</v>
      </c>
      <c r="N13" s="1932">
        <f>'[90]POS by sector'!$F$10</f>
        <v>726629.80199999991</v>
      </c>
      <c r="O13" s="1933" t="s">
        <v>939</v>
      </c>
    </row>
    <row r="14" spans="1:15" ht="43.5" customHeight="1">
      <c r="A14" s="2010">
        <v>2</v>
      </c>
      <c r="B14" s="1934" t="s">
        <v>1331</v>
      </c>
      <c r="C14" s="1932">
        <f>'[85]POS by sector'!$E$11</f>
        <v>74379</v>
      </c>
      <c r="D14" s="2298">
        <f>'[85]POS by sector'!$F$11</f>
        <v>3577019.0130000003</v>
      </c>
      <c r="E14" s="1932">
        <f>'[86]POS by sector'!$E$11</f>
        <v>56594</v>
      </c>
      <c r="F14" s="2298">
        <f>'[86]POS by sector'!$F$11</f>
        <v>2661061.4720000001</v>
      </c>
      <c r="G14" s="1932">
        <f>'[87]POS by sector'!$E$11</f>
        <v>53254</v>
      </c>
      <c r="H14" s="2451">
        <f>'[87]POS by sector'!$F$11-0.1</f>
        <v>2312660.4389999998</v>
      </c>
      <c r="I14" s="1932">
        <f>'[88]POS by sector'!$E$11</f>
        <v>13284</v>
      </c>
      <c r="J14" s="2298">
        <f>'[88]POS by sector'!$F$11</f>
        <v>516065.74199999997</v>
      </c>
      <c r="K14" s="1932">
        <f>'[89]POS by sector'!$E$11</f>
        <v>31834</v>
      </c>
      <c r="L14" s="2298">
        <f>'[89]POS by sector'!$F$11</f>
        <v>1132781.4679999999</v>
      </c>
      <c r="M14" s="1932">
        <f>'[90]POS by sector'!$E$11</f>
        <v>76844</v>
      </c>
      <c r="N14" s="2298">
        <f>'[90]POS by sector'!$F$11</f>
        <v>3112247.8060000003</v>
      </c>
      <c r="O14" s="1935" t="s">
        <v>1332</v>
      </c>
    </row>
    <row r="15" spans="1:15" ht="31.5" customHeight="1">
      <c r="A15" s="2010">
        <v>3</v>
      </c>
      <c r="B15" s="1934" t="s">
        <v>1333</v>
      </c>
      <c r="C15" s="1932">
        <f>'[85]POS by sector'!$E$12</f>
        <v>1180262</v>
      </c>
      <c r="D15" s="1932">
        <f>'[85]POS by sector'!$F$12</f>
        <v>10981980.366</v>
      </c>
      <c r="E15" s="1932">
        <f>'[86]POS by sector'!$E$12</f>
        <v>967676</v>
      </c>
      <c r="F15" s="1932">
        <f>'[86]POS by sector'!$F$12</f>
        <v>9499219.9560000002</v>
      </c>
      <c r="G15" s="1932">
        <f>'[87]POS by sector'!$E$12</f>
        <v>795899</v>
      </c>
      <c r="H15" s="1932">
        <f>'[87]POS by sector'!$F$12</f>
        <v>7207605.7869999995</v>
      </c>
      <c r="I15" s="1932">
        <f>'[88]POS by sector'!$E$12</f>
        <v>343480</v>
      </c>
      <c r="J15" s="1932">
        <f>'[88]POS by sector'!$F$12</f>
        <v>2425206.8930000002</v>
      </c>
      <c r="K15" s="1932">
        <f>'[89]POS by sector'!$E$12</f>
        <v>555486</v>
      </c>
      <c r="L15" s="1932">
        <f>'[89]POS by sector'!$F$12</f>
        <v>4755054.7829999998</v>
      </c>
      <c r="M15" s="1932">
        <f>'[90]POS by sector'!$E$12</f>
        <v>1016211</v>
      </c>
      <c r="N15" s="1932">
        <f>'[90]POS by sector'!$F$12</f>
        <v>10425611.646</v>
      </c>
      <c r="O15" s="1935" t="s">
        <v>1334</v>
      </c>
    </row>
    <row r="16" spans="1:15" ht="31.5" customHeight="1">
      <c r="A16" s="2010">
        <v>4</v>
      </c>
      <c r="B16" s="1934" t="s">
        <v>1335</v>
      </c>
      <c r="C16" s="1932">
        <f>'[85]POS by sector'!$E$13</f>
        <v>70015</v>
      </c>
      <c r="D16" s="2298">
        <f>'[85]POS by sector'!$F$13</f>
        <v>1398104.4040000001</v>
      </c>
      <c r="E16" s="1932">
        <f>'[86]POS by sector'!$E$13</f>
        <v>53875</v>
      </c>
      <c r="F16" s="2298">
        <f>'[86]POS by sector'!$F$13</f>
        <v>1126769.7379999999</v>
      </c>
      <c r="G16" s="1932">
        <f>'[87]POS by sector'!$E$13</f>
        <v>57669</v>
      </c>
      <c r="H16" s="2298">
        <f>'[87]POS by sector'!$F$13</f>
        <v>1206502.3470000001</v>
      </c>
      <c r="I16" s="1932">
        <f>'[88]POS by sector'!$E$13</f>
        <v>32473</v>
      </c>
      <c r="J16" s="2298">
        <f>'[88]POS by sector'!$F$13</f>
        <v>687216.65700000001</v>
      </c>
      <c r="K16" s="1932">
        <f>'[89]POS by sector'!$E$13</f>
        <v>37069</v>
      </c>
      <c r="L16" s="2298">
        <f>'[89]POS by sector'!$F$13</f>
        <v>882416.99300000002</v>
      </c>
      <c r="M16" s="1932">
        <f>'[90]POS by sector'!$E$13</f>
        <v>60111</v>
      </c>
      <c r="N16" s="2298">
        <f>'[90]POS by sector'!$F$13</f>
        <v>1212817.9239999999</v>
      </c>
      <c r="O16" s="1935" t="s">
        <v>1336</v>
      </c>
    </row>
    <row r="17" spans="1:15" ht="31.5" customHeight="1">
      <c r="A17" s="2010">
        <v>5</v>
      </c>
      <c r="B17" s="1934" t="s">
        <v>1337</v>
      </c>
      <c r="C17" s="1932">
        <f>'[85]POS by sector'!$E$14</f>
        <v>55961</v>
      </c>
      <c r="D17" s="1932">
        <f>'[85]POS by sector'!$F$14</f>
        <v>678597.28700000001</v>
      </c>
      <c r="E17" s="1932">
        <f>'[86]POS by sector'!$E$14</f>
        <v>34999</v>
      </c>
      <c r="F17" s="1932">
        <f>'[86]POS by sector'!$F$14</f>
        <v>531285.62</v>
      </c>
      <c r="G17" s="1932">
        <f>'[87]POS by sector'!$E$14</f>
        <v>36987</v>
      </c>
      <c r="H17" s="1932">
        <f>'[87]POS by sector'!$F$14</f>
        <v>644728.07100000011</v>
      </c>
      <c r="I17" s="1932">
        <f>'[88]POS by sector'!$E$14</f>
        <v>13637</v>
      </c>
      <c r="J17" s="2451">
        <f>'[88]POS by sector'!$F$14-0.1</f>
        <v>268186.41500000004</v>
      </c>
      <c r="K17" s="1932">
        <f>'[89]POS by sector'!$E$14</f>
        <v>18809</v>
      </c>
      <c r="L17" s="2298">
        <f>'[89]POS by sector'!$F$14</f>
        <v>336724.03100000002</v>
      </c>
      <c r="M17" s="1932">
        <f>'[90]POS by sector'!$E$14</f>
        <v>27137</v>
      </c>
      <c r="N17" s="2298">
        <f>'[90]POS by sector'!$F$14</f>
        <v>398818.97200000001</v>
      </c>
      <c r="O17" s="1935" t="s">
        <v>1338</v>
      </c>
    </row>
    <row r="18" spans="1:15" ht="46.5">
      <c r="A18" s="2010">
        <v>6</v>
      </c>
      <c r="B18" s="1934" t="s">
        <v>1339</v>
      </c>
      <c r="C18" s="1932">
        <f>'[85]POS by sector'!$E$15</f>
        <v>34703</v>
      </c>
      <c r="D18" s="2298">
        <f>'[85]POS by sector'!$F$15</f>
        <v>594690.51599999995</v>
      </c>
      <c r="E18" s="1932">
        <f>'[86]POS by sector'!$E$15</f>
        <v>13394</v>
      </c>
      <c r="F18" s="2298">
        <f>'[86]POS by sector'!$F$15</f>
        <v>296611.42599999998</v>
      </c>
      <c r="G18" s="1932">
        <f>'[87]POS by sector'!$E$15</f>
        <v>21742</v>
      </c>
      <c r="H18" s="2298">
        <f>'[87]POS by sector'!$F$15</f>
        <v>378102.92300000001</v>
      </c>
      <c r="I18" s="1932">
        <f>'[88]POS by sector'!$E$15</f>
        <v>5605</v>
      </c>
      <c r="J18" s="2298">
        <f>'[88]POS by sector'!$F$15</f>
        <v>129371.11900000001</v>
      </c>
      <c r="K18" s="1932">
        <f>'[89]POS by sector'!$E$15</f>
        <v>11696</v>
      </c>
      <c r="L18" s="2451">
        <f>'[89]POS by sector'!$F$15-1</f>
        <v>242538.54399999997</v>
      </c>
      <c r="M18" s="1932">
        <f>'[90]POS by sector'!$E$15</f>
        <v>24890</v>
      </c>
      <c r="N18" s="2298">
        <f>'[90]POS by sector'!$F$15</f>
        <v>415342.59599999996</v>
      </c>
      <c r="O18" s="1936" t="s">
        <v>1340</v>
      </c>
    </row>
    <row r="19" spans="1:15" ht="31.5" customHeight="1">
      <c r="A19" s="2010">
        <v>7</v>
      </c>
      <c r="B19" s="1934" t="s">
        <v>1341</v>
      </c>
      <c r="C19" s="1932">
        <f>'[85]POS by sector'!$E$16</f>
        <v>549757</v>
      </c>
      <c r="D19" s="1932">
        <f>'[85]POS by sector'!$F$16</f>
        <v>4195611.5090000005</v>
      </c>
      <c r="E19" s="1932">
        <f>'[86]POS by sector'!$E$16</f>
        <v>414462</v>
      </c>
      <c r="F19" s="1932">
        <f>'[86]POS by sector'!$F$16</f>
        <v>3179704.3660000004</v>
      </c>
      <c r="G19" s="1932">
        <f>'[87]POS by sector'!$E$16</f>
        <v>417401</v>
      </c>
      <c r="H19" s="2451">
        <f>'[87]POS by sector'!$F$16-0.2</f>
        <v>3519458.4169999994</v>
      </c>
      <c r="I19" s="1932">
        <f>'[88]POS by sector'!$E$16</f>
        <v>211415</v>
      </c>
      <c r="J19" s="2298">
        <f>'[88]POS by sector'!$F$16</f>
        <v>1744929.5180000002</v>
      </c>
      <c r="K19" s="1932">
        <f>'[89]POS by sector'!$E$16</f>
        <v>302123</v>
      </c>
      <c r="L19" s="2298">
        <f>'[89]POS by sector'!$F$16</f>
        <v>2315925.8560000001</v>
      </c>
      <c r="M19" s="1932">
        <f>'[90]POS by sector'!$E$16</f>
        <v>488693</v>
      </c>
      <c r="N19" s="2298">
        <f>'[90]POS by sector'!$F$16</f>
        <v>3759234.3840000005</v>
      </c>
      <c r="O19" s="1935" t="s">
        <v>1342</v>
      </c>
    </row>
    <row r="20" spans="1:15" ht="31.5" customHeight="1">
      <c r="A20" s="2010">
        <v>8</v>
      </c>
      <c r="B20" s="1934" t="s">
        <v>1343</v>
      </c>
      <c r="C20" s="1932">
        <f>'[85]POS by sector'!$E$17</f>
        <v>9078</v>
      </c>
      <c r="D20" s="2298">
        <f>'[85]POS by sector'!$F$17</f>
        <v>3211884.6579999998</v>
      </c>
      <c r="E20" s="1932">
        <f>'[86]POS by sector'!$E$17</f>
        <v>8782</v>
      </c>
      <c r="F20" s="2298">
        <f>'[86]POS by sector'!$F$17</f>
        <v>3582636.2230000002</v>
      </c>
      <c r="G20" s="1932">
        <f>'[87]POS by sector'!$E$17</f>
        <v>7435</v>
      </c>
      <c r="H20" s="2298">
        <f>'[87]POS by sector'!$F$17</f>
        <v>3748878.824</v>
      </c>
      <c r="I20" s="1932">
        <f>'[88]POS by sector'!$E$17</f>
        <v>1777</v>
      </c>
      <c r="J20" s="2298">
        <f>'[88]POS by sector'!$F$17</f>
        <v>699609.78399999999</v>
      </c>
      <c r="K20" s="1932">
        <f>'[89]POS by sector'!$E$17</f>
        <v>3014</v>
      </c>
      <c r="L20" s="2298">
        <f>'[89]POS by sector'!$F$17</f>
        <v>1336555.5049999999</v>
      </c>
      <c r="M20" s="1932">
        <f>'[90]POS by sector'!$E$17</f>
        <v>8148</v>
      </c>
      <c r="N20" s="2298">
        <f>'[90]POS by sector'!$F$17</f>
        <v>3217336.5809999998</v>
      </c>
      <c r="O20" s="1935" t="s">
        <v>1344</v>
      </c>
    </row>
    <row r="21" spans="1:15" ht="31.5" customHeight="1">
      <c r="A21" s="2010">
        <v>9</v>
      </c>
      <c r="B21" s="1934" t="s">
        <v>1345</v>
      </c>
      <c r="C21" s="1932">
        <f>'[85]POS by sector'!$E$18</f>
        <v>139973</v>
      </c>
      <c r="D21" s="2298">
        <f>'[85]POS by sector'!$F$18</f>
        <v>2433771.0420000004</v>
      </c>
      <c r="E21" s="1932">
        <f>'[86]POS by sector'!$E$18</f>
        <v>132526</v>
      </c>
      <c r="F21" s="2298">
        <f>'[86]POS by sector'!$F$18</f>
        <v>2283040.5890000002</v>
      </c>
      <c r="G21" s="1932">
        <f>'[87]POS by sector'!$E$18</f>
        <v>107081</v>
      </c>
      <c r="H21" s="2298">
        <f>'[87]POS by sector'!$F$18</f>
        <v>1901098.7310000001</v>
      </c>
      <c r="I21" s="1932">
        <f>'[88]POS by sector'!$E$18</f>
        <v>28951</v>
      </c>
      <c r="J21" s="2298">
        <f>'[88]POS by sector'!$F$18</f>
        <v>340830.57</v>
      </c>
      <c r="K21" s="1932">
        <f>'[89]POS by sector'!$E$18</f>
        <v>43311</v>
      </c>
      <c r="L21" s="2298">
        <f>'[89]POS by sector'!$F$18</f>
        <v>491712.33199999999</v>
      </c>
      <c r="M21" s="1932">
        <f>'[90]POS by sector'!$E$18</f>
        <v>96451</v>
      </c>
      <c r="N21" s="2298">
        <f>'[90]POS by sector'!$F$18</f>
        <v>1462928.3929999999</v>
      </c>
      <c r="O21" s="1935" t="s">
        <v>1346</v>
      </c>
    </row>
    <row r="22" spans="1:15" ht="31.5" customHeight="1">
      <c r="A22" s="2010">
        <v>10</v>
      </c>
      <c r="B22" s="1934" t="s">
        <v>1347</v>
      </c>
      <c r="C22" s="1932">
        <f>'[85]POS by sector'!$E$19</f>
        <v>168808</v>
      </c>
      <c r="D22" s="2451">
        <f>'[85]POS by sector'!$F$19-0.2</f>
        <v>5649995.165</v>
      </c>
      <c r="E22" s="1932">
        <f>'[86]POS by sector'!$E$19</f>
        <v>146556</v>
      </c>
      <c r="F22" s="2298">
        <f>'[86]POS by sector'!$F$19</f>
        <v>5100186.0810000002</v>
      </c>
      <c r="G22" s="1932">
        <f>'[87]POS by sector'!$E$19</f>
        <v>120053</v>
      </c>
      <c r="H22" s="2298">
        <f>'[87]POS by sector'!$F$19</f>
        <v>4510456.7889999999</v>
      </c>
      <c r="I22" s="1932">
        <f>'[88]POS by sector'!$E$19</f>
        <v>26392</v>
      </c>
      <c r="J22" s="2298">
        <f>'[88]POS by sector'!$F$19</f>
        <v>950466.63899999997</v>
      </c>
      <c r="K22" s="1932">
        <f>'[89]POS by sector'!$E$19</f>
        <v>50538</v>
      </c>
      <c r="L22" s="2298">
        <f>'[89]POS by sector'!$F$19</f>
        <v>1987731.4339999999</v>
      </c>
      <c r="M22" s="1932">
        <f>'[90]POS by sector'!$E$19</f>
        <v>163143</v>
      </c>
      <c r="N22" s="2298">
        <f>'[90]POS by sector'!$F$19</f>
        <v>5775389.8110000007</v>
      </c>
      <c r="O22" s="1935" t="s">
        <v>1348</v>
      </c>
    </row>
    <row r="23" spans="1:15" ht="31.5" customHeight="1">
      <c r="A23" s="2010">
        <v>11</v>
      </c>
      <c r="B23" s="1934" t="s">
        <v>1349</v>
      </c>
      <c r="C23" s="1932">
        <f>'[85]POS by sector'!$E$20</f>
        <v>20768</v>
      </c>
      <c r="D23" s="2298">
        <f>'[85]POS by sector'!$F$20</f>
        <v>543560.07400000002</v>
      </c>
      <c r="E23" s="1932">
        <f>'[86]POS by sector'!$E$20</f>
        <v>15332</v>
      </c>
      <c r="F23" s="2298">
        <f>'[86]POS by sector'!$F$20</f>
        <v>335214.06599999999</v>
      </c>
      <c r="G23" s="1932">
        <f>'[87]POS by sector'!$E$20</f>
        <v>13530</v>
      </c>
      <c r="H23" s="2298">
        <f>'[87]POS by sector'!$F$20</f>
        <v>386243.734</v>
      </c>
      <c r="I23" s="1932">
        <f>'[88]POS by sector'!$E$20</f>
        <v>4197</v>
      </c>
      <c r="J23" s="2298">
        <f>'[88]POS by sector'!$F$20</f>
        <v>179672.64999999997</v>
      </c>
      <c r="K23" s="1932">
        <f>'[89]POS by sector'!$E$20</f>
        <v>6939</v>
      </c>
      <c r="L23" s="2298">
        <f>'[89]POS by sector'!$F$20</f>
        <v>224274.99299999999</v>
      </c>
      <c r="M23" s="1932">
        <f>'[90]POS by sector'!$E$20</f>
        <v>15060</v>
      </c>
      <c r="N23" s="2298">
        <f>'[90]POS by sector'!$F$20</f>
        <v>412239.88</v>
      </c>
      <c r="O23" s="1935" t="s">
        <v>1350</v>
      </c>
    </row>
    <row r="24" spans="1:15" ht="30" customHeight="1">
      <c r="A24" s="2010">
        <v>12</v>
      </c>
      <c r="B24" s="1934" t="s">
        <v>1351</v>
      </c>
      <c r="C24" s="1932">
        <f>'[85]POS by sector'!$E$21</f>
        <v>194243</v>
      </c>
      <c r="D24" s="2298">
        <f>'[85]POS by sector'!$F$21</f>
        <v>891202.853</v>
      </c>
      <c r="E24" s="1932">
        <f>'[86]POS by sector'!$E$21</f>
        <v>166189</v>
      </c>
      <c r="F24" s="2298">
        <f>'[86]POS by sector'!$F$21</f>
        <v>552670.995</v>
      </c>
      <c r="G24" s="1932">
        <f>'[87]POS by sector'!$E$21</f>
        <v>119317</v>
      </c>
      <c r="H24" s="2298">
        <f>'[87]POS by sector'!$F$21</f>
        <v>579757.20400000003</v>
      </c>
      <c r="I24" s="1932">
        <f>'[88]POS by sector'!$E$21</f>
        <v>36231</v>
      </c>
      <c r="J24" s="2298">
        <f>'[88]POS by sector'!$F$21</f>
        <v>221359.81100000002</v>
      </c>
      <c r="K24" s="1932">
        <f>'[89]POS by sector'!$E$21</f>
        <v>86846</v>
      </c>
      <c r="L24" s="2298">
        <f>'[89]POS by sector'!$F$21</f>
        <v>412126.21799999999</v>
      </c>
      <c r="M24" s="1932">
        <f>'[90]POS by sector'!$E$21</f>
        <v>164977</v>
      </c>
      <c r="N24" s="2298">
        <f>'[90]POS by sector'!$F$21</f>
        <v>762286.67400000012</v>
      </c>
      <c r="O24" s="1935" t="s">
        <v>1352</v>
      </c>
    </row>
    <row r="25" spans="1:15" ht="31.5" customHeight="1">
      <c r="A25" s="2010">
        <v>13</v>
      </c>
      <c r="B25" s="1934" t="s">
        <v>1353</v>
      </c>
      <c r="C25" s="1932">
        <f>'[85]POS by sector'!$E$22</f>
        <v>48584</v>
      </c>
      <c r="D25" s="2298">
        <f>'[85]POS by sector'!$F$22</f>
        <v>543338.87</v>
      </c>
      <c r="E25" s="1932">
        <f>'[86]POS by sector'!$E$22</f>
        <v>39023</v>
      </c>
      <c r="F25" s="2298">
        <f>'[86]POS by sector'!$F$22</f>
        <v>391436.85800000001</v>
      </c>
      <c r="G25" s="1932">
        <f>'[87]POS by sector'!$E$22</f>
        <v>33472</v>
      </c>
      <c r="H25" s="2298">
        <f>'[87]POS by sector'!$F$22</f>
        <v>438583.29200000002</v>
      </c>
      <c r="I25" s="1932">
        <f>'[88]POS by sector'!$E$22</f>
        <v>19401</v>
      </c>
      <c r="J25" s="2298">
        <f>'[88]POS by sector'!$F$22</f>
        <v>290059.41200000001</v>
      </c>
      <c r="K25" s="1932">
        <f>'[89]POS by sector'!$E$22</f>
        <v>31374</v>
      </c>
      <c r="L25" s="2298">
        <f>'[89]POS by sector'!$F$22</f>
        <v>360002.272</v>
      </c>
      <c r="M25" s="1932">
        <f>'[90]POS by sector'!$E$22</f>
        <v>57990</v>
      </c>
      <c r="N25" s="2298">
        <f>'[90]POS by sector'!$F$22</f>
        <v>576574.36599999992</v>
      </c>
      <c r="O25" s="1935" t="s">
        <v>1354</v>
      </c>
    </row>
    <row r="26" spans="1:15" ht="31.5" customHeight="1">
      <c r="A26" s="2010">
        <v>14</v>
      </c>
      <c r="B26" s="1934" t="s">
        <v>1355</v>
      </c>
      <c r="C26" s="1932">
        <f>'[85]POS by sector'!$E$23</f>
        <v>15539</v>
      </c>
      <c r="D26" s="1932">
        <f>'[85]POS by sector'!$F$23</f>
        <v>168211.674</v>
      </c>
      <c r="E26" s="1932">
        <f>'[86]POS by sector'!$E$23</f>
        <v>13925</v>
      </c>
      <c r="F26" s="1932">
        <f>'[86]POS by sector'!$F$23</f>
        <v>141634.98800000001</v>
      </c>
      <c r="G26" s="1932">
        <f>'[87]POS by sector'!$E$23</f>
        <v>10846</v>
      </c>
      <c r="H26" s="1932">
        <f>'[87]POS by sector'!$F$23</f>
        <v>131331.04799999998</v>
      </c>
      <c r="I26" s="1932">
        <f>'[88]POS by sector'!$E$23</f>
        <v>1591</v>
      </c>
      <c r="J26" s="1932">
        <f>'[88]POS by sector'!$F$23</f>
        <v>30063.194000000003</v>
      </c>
      <c r="K26" s="1932">
        <f>'[89]POS by sector'!$E$23</f>
        <v>3810</v>
      </c>
      <c r="L26" s="1932">
        <f>'[89]POS by sector'!$F$23</f>
        <v>52461.815999999999</v>
      </c>
      <c r="M26" s="1932">
        <f>'[90]POS by sector'!$E$23</f>
        <v>10275</v>
      </c>
      <c r="N26" s="1932">
        <f>'[90]POS by sector'!$F$23</f>
        <v>113329.868</v>
      </c>
      <c r="O26" s="1935" t="s">
        <v>1356</v>
      </c>
    </row>
    <row r="27" spans="1:15" ht="31">
      <c r="A27" s="2010">
        <v>15</v>
      </c>
      <c r="B27" s="1934" t="s">
        <v>1357</v>
      </c>
      <c r="C27" s="1932">
        <f>'[85]POS by sector'!$E$24</f>
        <v>232606</v>
      </c>
      <c r="D27" s="2298">
        <f>'[85]POS by sector'!$F$24</f>
        <v>2137295.8710000003</v>
      </c>
      <c r="E27" s="1932">
        <f>'[86]POS by sector'!$E$24</f>
        <v>157613</v>
      </c>
      <c r="F27" s="2298">
        <f>'[86]POS by sector'!$F$24</f>
        <v>1704334.037</v>
      </c>
      <c r="G27" s="1932">
        <f>'[87]POS by sector'!$E$24</f>
        <v>136986</v>
      </c>
      <c r="H27" s="2298">
        <f>'[87]POS by sector'!$F$24</f>
        <v>1501952.9550000001</v>
      </c>
      <c r="I27" s="1932">
        <f>'[88]POS by sector'!$E$24</f>
        <v>81221</v>
      </c>
      <c r="J27" s="2298">
        <f>'[88]POS by sector'!$F$24</f>
        <v>901004.66999999993</v>
      </c>
      <c r="K27" s="1932">
        <f>'[89]POS by sector'!$E$24</f>
        <v>101940</v>
      </c>
      <c r="L27" s="2298">
        <f>'[89]POS by sector'!$F$24</f>
        <v>1090234.1499999999</v>
      </c>
      <c r="M27" s="1932">
        <f>'[90]POS by sector'!$E$24</f>
        <v>153090</v>
      </c>
      <c r="N27" s="2298">
        <f>'[90]POS by sector'!$F$24</f>
        <v>1630049.96</v>
      </c>
      <c r="O27" s="1935" t="s">
        <v>1358</v>
      </c>
    </row>
    <row r="28" spans="1:15" ht="31.5" customHeight="1">
      <c r="A28" s="2010">
        <v>16</v>
      </c>
      <c r="B28" s="1934" t="s">
        <v>1359</v>
      </c>
      <c r="C28" s="1932">
        <f>'[85]POS by sector'!$E$25</f>
        <v>3965</v>
      </c>
      <c r="D28" s="2298">
        <f>'[85]POS by sector'!$F$25</f>
        <v>356885.43099999998</v>
      </c>
      <c r="E28" s="1932">
        <f>'[86]POS by sector'!$E$25</f>
        <v>1800</v>
      </c>
      <c r="F28" s="2298">
        <f>'[86]POS by sector'!$F$25</f>
        <v>119195.974</v>
      </c>
      <c r="G28" s="1932">
        <f>'[87]POS by sector'!$E$25</f>
        <v>2367</v>
      </c>
      <c r="H28" s="2298">
        <f>'[87]POS by sector'!$F$25</f>
        <v>173519.829</v>
      </c>
      <c r="I28" s="1932">
        <f>'[88]POS by sector'!$E$25</f>
        <v>336</v>
      </c>
      <c r="J28" s="2298">
        <f>'[88]POS by sector'!$F$25</f>
        <v>52217.108000000007</v>
      </c>
      <c r="K28" s="1932">
        <f>'[89]POS by sector'!$E$25</f>
        <v>789</v>
      </c>
      <c r="L28" s="2298">
        <f>'[89]POS by sector'!$F$25</f>
        <v>66912.577000000019</v>
      </c>
      <c r="M28" s="1932">
        <f>'[90]POS by sector'!$E$25</f>
        <v>2345</v>
      </c>
      <c r="N28" s="2298">
        <f>'[90]POS by sector'!$F$25</f>
        <v>172234.95400000003</v>
      </c>
      <c r="O28" s="1936" t="s">
        <v>1360</v>
      </c>
    </row>
    <row r="29" spans="1:15" ht="31.5" customHeight="1">
      <c r="A29" s="2010">
        <v>17</v>
      </c>
      <c r="B29" s="1934" t="s">
        <v>1361</v>
      </c>
      <c r="C29" s="1932">
        <f>'[85]POS by sector'!$E$26</f>
        <v>76040</v>
      </c>
      <c r="D29" s="1932">
        <f>'[85]POS by sector'!$F$26</f>
        <v>876589.79</v>
      </c>
      <c r="E29" s="1932">
        <f>'[86]POS by sector'!$E$26</f>
        <v>49699</v>
      </c>
      <c r="F29" s="1932">
        <f>'[86]POS by sector'!$F$26</f>
        <v>694010.55299999996</v>
      </c>
      <c r="G29" s="1932">
        <f>'[87]POS by sector'!$E$26</f>
        <v>39123</v>
      </c>
      <c r="H29" s="1932">
        <f>'[87]POS by sector'!$F$26</f>
        <v>607360.68500000006</v>
      </c>
      <c r="I29" s="1932">
        <f>'[88]POS by sector'!$E$26</f>
        <v>14701</v>
      </c>
      <c r="J29" s="1932">
        <f>'[88]POS by sector'!$F$26</f>
        <v>183442.44099999999</v>
      </c>
      <c r="K29" s="1932">
        <f>'[89]POS by sector'!$E$26</f>
        <v>27219</v>
      </c>
      <c r="L29" s="1932">
        <f>'[89]POS by sector'!$F$26</f>
        <v>77684.659999999974</v>
      </c>
      <c r="M29" s="1932">
        <f>'[90]POS by sector'!$E$26</f>
        <v>58581</v>
      </c>
      <c r="N29" s="2451">
        <f>'[90]POS by sector'!$F$26-0.1</f>
        <v>842149.42</v>
      </c>
      <c r="O29" s="1935" t="s">
        <v>1362</v>
      </c>
    </row>
    <row r="30" spans="1:15" ht="46.5" customHeight="1">
      <c r="A30" s="2010">
        <v>18</v>
      </c>
      <c r="B30" s="1934" t="s">
        <v>1363</v>
      </c>
      <c r="C30" s="1932">
        <f>'[85]POS by sector'!$E$27</f>
        <v>12698</v>
      </c>
      <c r="D30" s="2298">
        <f>'[85]POS by sector'!$F$27</f>
        <v>456441.00400000002</v>
      </c>
      <c r="E30" s="1932">
        <f>'[86]POS by sector'!$E$27</f>
        <v>9890</v>
      </c>
      <c r="F30" s="2298">
        <f>'[86]POS by sector'!$F$27</f>
        <v>349814.81099999999</v>
      </c>
      <c r="G30" s="1932">
        <f>'[87]POS by sector'!$E$27</f>
        <v>10585</v>
      </c>
      <c r="H30" s="2298">
        <f>'[87]POS by sector'!$F$27</f>
        <v>391516.73600000003</v>
      </c>
      <c r="I30" s="1932">
        <f>'[88]POS by sector'!$E$27</f>
        <v>1848</v>
      </c>
      <c r="J30" s="2298">
        <f>'[88]POS by sector'!$F$27</f>
        <v>93695.130999999994</v>
      </c>
      <c r="K30" s="1932">
        <f>'[89]POS by sector'!$E$27</f>
        <v>4272</v>
      </c>
      <c r="L30" s="2298">
        <f>'[89]POS by sector'!$F$27</f>
        <v>215707.70600000001</v>
      </c>
      <c r="M30" s="1932">
        <f>'[90]POS by sector'!$E$27</f>
        <v>8986</v>
      </c>
      <c r="N30" s="2451">
        <f>'[90]POS by sector'!$F$27-0.1</f>
        <v>303487.41000000003</v>
      </c>
      <c r="O30" s="1935" t="s">
        <v>1364</v>
      </c>
    </row>
    <row r="31" spans="1:15" ht="31.5" customHeight="1">
      <c r="A31" s="2010">
        <v>19</v>
      </c>
      <c r="B31" s="1934" t="s">
        <v>1365</v>
      </c>
      <c r="C31" s="1932">
        <f>'[85]POS by sector'!$E$28</f>
        <v>7154</v>
      </c>
      <c r="D31" s="1932">
        <f>'[85]POS by sector'!$F$28</f>
        <v>131749.261</v>
      </c>
      <c r="E31" s="1932">
        <f>'[86]POS by sector'!$E$28</f>
        <v>5357</v>
      </c>
      <c r="F31" s="1932">
        <f>'[86]POS by sector'!$F$28</f>
        <v>102058.73000000001</v>
      </c>
      <c r="G31" s="1932">
        <f>'[87]POS by sector'!$E$28</f>
        <v>5213</v>
      </c>
      <c r="H31" s="1932">
        <f>'[87]POS by sector'!$F$28</f>
        <v>98461.062000000005</v>
      </c>
      <c r="I31" s="1932">
        <f>'[88]POS by sector'!$E$28</f>
        <v>855</v>
      </c>
      <c r="J31" s="1932">
        <f>'[88]POS by sector'!$F$28</f>
        <v>32671.495999999999</v>
      </c>
      <c r="K31" s="1932">
        <f>'[89]POS by sector'!$E$28</f>
        <v>1816</v>
      </c>
      <c r="L31" s="1932">
        <f>'[89]POS by sector'!$F$28</f>
        <v>41987.68</v>
      </c>
      <c r="M31" s="1932">
        <f>'[90]POS by sector'!$E$28</f>
        <v>4833</v>
      </c>
      <c r="N31" s="1932">
        <f>'[90]POS by sector'!$F$28</f>
        <v>86564.368000000002</v>
      </c>
      <c r="O31" s="1935" t="s">
        <v>1366</v>
      </c>
    </row>
    <row r="32" spans="1:15" ht="31.5" customHeight="1">
      <c r="A32" s="2010">
        <v>20</v>
      </c>
      <c r="B32" s="1934" t="s">
        <v>1367</v>
      </c>
      <c r="C32" s="1932">
        <f>'[85]POS by sector'!$E$29</f>
        <v>305263</v>
      </c>
      <c r="D32" s="2298">
        <f>'[85]POS by sector'!$F$29</f>
        <v>6917091.5270000007</v>
      </c>
      <c r="E32" s="1932">
        <f>'[86]POS by sector'!$E$29</f>
        <v>206407</v>
      </c>
      <c r="F32" s="2298">
        <f>'[86]POS by sector'!$F$29</f>
        <v>4871794.0860000001</v>
      </c>
      <c r="G32" s="1932">
        <f>'[87]POS by sector'!$E$29</f>
        <v>213956</v>
      </c>
      <c r="H32" s="2451">
        <f>'[87]POS by sector'!$F$29-0.1</f>
        <v>5057657.4180000024</v>
      </c>
      <c r="I32" s="1932">
        <f>'[88]POS by sector'!$E$29</f>
        <v>81654</v>
      </c>
      <c r="J32" s="2298">
        <f>'[88]POS by sector'!$F$29</f>
        <v>1914938.477</v>
      </c>
      <c r="K32" s="1932">
        <f>'[89]POS by sector'!$E$29</f>
        <v>130694</v>
      </c>
      <c r="L32" s="2298">
        <f>'[89]POS by sector'!$F$29</f>
        <v>3387782.699</v>
      </c>
      <c r="M32" s="1932">
        <f>'[90]POS by sector'!$E$29</f>
        <v>256331</v>
      </c>
      <c r="N32" s="2298">
        <f>'[90]POS by sector'!$F$29</f>
        <v>6264804.8059999989</v>
      </c>
      <c r="O32" s="1935" t="s">
        <v>1368</v>
      </c>
    </row>
    <row r="33" spans="1:17" s="1940" customFormat="1" ht="31.5" customHeight="1">
      <c r="A33" s="2012"/>
      <c r="B33" s="1937" t="s">
        <v>400</v>
      </c>
      <c r="C33" s="1938">
        <f>'[85]POS by sector'!$E$30</f>
        <v>3203981</v>
      </c>
      <c r="D33" s="2161">
        <f>'[85]POS by sector'!$F$30</f>
        <v>46422077.681000002</v>
      </c>
      <c r="E33" s="1938">
        <f>'[86]POS by sector'!$E$30</f>
        <v>2496990</v>
      </c>
      <c r="F33" s="2161">
        <f>'[86]POS by sector'!$F$30</f>
        <v>37986873.569000006</v>
      </c>
      <c r="G33" s="1938">
        <f>'[87]POS by sector'!$E$30</f>
        <v>2206727</v>
      </c>
      <c r="H33" s="2161">
        <f>'[87]POS by sector'!$F$30</f>
        <v>35365060.310999997</v>
      </c>
      <c r="I33" s="1938">
        <f>'[88]POS by sector'!$E$30</f>
        <v>921612</v>
      </c>
      <c r="J33" s="2161">
        <f>'[88]POS by sector'!$F$30</f>
        <v>12116422.953000002</v>
      </c>
      <c r="K33" s="1938">
        <f>'[89]POS by sector'!$E$30</f>
        <v>1453377</v>
      </c>
      <c r="L33" s="2161">
        <f>'[89]POS by sector'!$F$30</f>
        <v>20115978.092</v>
      </c>
      <c r="M33" s="1938">
        <f>'[90]POS by sector'!$E$30</f>
        <v>2698182</v>
      </c>
      <c r="N33" s="2161">
        <f>'[90]POS by sector'!$F$30</f>
        <v>41670079.82100001</v>
      </c>
      <c r="O33" s="1939" t="s">
        <v>390</v>
      </c>
      <c r="P33" s="1925"/>
      <c r="Q33" s="1925"/>
    </row>
    <row r="34" spans="1:17" ht="27.75" customHeight="1">
      <c r="A34" s="1941" t="s">
        <v>1369</v>
      </c>
      <c r="B34" s="1942"/>
      <c r="C34" s="1943"/>
      <c r="D34" s="1943"/>
      <c r="E34" s="1943"/>
      <c r="F34" s="1943"/>
      <c r="G34" s="1943"/>
      <c r="H34" s="1943"/>
      <c r="I34" s="1943"/>
      <c r="J34" s="1943"/>
      <c r="K34" s="1943"/>
      <c r="L34" s="1943"/>
      <c r="M34" s="1943"/>
      <c r="N34" s="1943"/>
      <c r="O34" s="1944" t="s">
        <v>1370</v>
      </c>
    </row>
    <row r="35" spans="1:17" ht="17.5">
      <c r="A35" s="1941" t="s">
        <v>1371</v>
      </c>
      <c r="B35" s="1942"/>
      <c r="C35" s="1943"/>
      <c r="D35" s="1943"/>
      <c r="E35" s="1943"/>
      <c r="F35" s="1943"/>
      <c r="G35" s="1943"/>
      <c r="H35" s="1943"/>
      <c r="I35" s="1943"/>
      <c r="J35" s="1943"/>
      <c r="K35" s="1943"/>
      <c r="L35" s="1943"/>
      <c r="M35" s="1943"/>
      <c r="N35" s="1943"/>
      <c r="O35" s="1944" t="s">
        <v>1372</v>
      </c>
    </row>
    <row r="36" spans="1:17">
      <c r="A36" s="1622"/>
      <c r="B36" s="1622"/>
      <c r="C36" s="1622"/>
      <c r="D36" s="1622"/>
      <c r="E36" s="1622"/>
      <c r="F36" s="1622"/>
      <c r="G36" s="1622"/>
      <c r="H36" s="1622"/>
      <c r="I36" s="1622"/>
      <c r="J36" s="1622"/>
      <c r="K36" s="1622"/>
      <c r="L36" s="1622"/>
      <c r="M36" s="1622"/>
      <c r="N36" s="1622"/>
    </row>
    <row r="37" spans="1:17">
      <c r="A37" s="1945" t="s">
        <v>1385</v>
      </c>
      <c r="B37" s="1945"/>
      <c r="C37" s="1945"/>
      <c r="D37" s="1945"/>
      <c r="E37" s="1945"/>
      <c r="F37" s="1945"/>
      <c r="G37" s="1945"/>
      <c r="H37" s="1945"/>
      <c r="I37" s="1945"/>
      <c r="J37" s="1945"/>
      <c r="K37" s="1945"/>
      <c r="L37" s="1945"/>
      <c r="M37" s="1945"/>
      <c r="N37" s="1945"/>
      <c r="O37" s="1945"/>
    </row>
    <row r="38" spans="1:17">
      <c r="C38" s="2310">
        <f t="shared" ref="C38:F38" si="0">ROUND(C33,0)-ROUND(C13,0)-ROUND(C14,0)-ROUND(C15,0)-ROUND(C16,0)-ROUND(C17,0)-ROUND(C18,0)-ROUND(C19,0)-ROUND(C20,0)-ROUND(C21,0)-ROUND(C22,0)-ROUND(C23,0)-ROUND(C24,0)-ROUND(C25,0)-ROUND(C26,0)-ROUND(C27,0)-ROUND(C28,0)-ROUND(C29,0)-ROUND(C30,0)-ROUND(C31,0)-ROUND(C32,0)</f>
        <v>0</v>
      </c>
      <c r="D38" s="2310">
        <f t="shared" si="0"/>
        <v>0</v>
      </c>
      <c r="E38" s="2310">
        <f t="shared" si="0"/>
        <v>0</v>
      </c>
      <c r="F38" s="2310">
        <f t="shared" si="0"/>
        <v>0</v>
      </c>
      <c r="G38" s="2310">
        <f t="shared" ref="G38:H38" si="1">ROUND(G33,0)-ROUND(G13,0)-ROUND(G14,0)-ROUND(G15,0)-ROUND(G16,0)-ROUND(G17,0)-ROUND(G18,0)-ROUND(G19,0)-ROUND(G20,0)-ROUND(G21,0)-ROUND(G22,0)-ROUND(G23,0)-ROUND(G24,0)-ROUND(G25,0)-ROUND(G26,0)-ROUND(G27,0)-ROUND(G28,0)-ROUND(G29,0)-ROUND(G30,0)-ROUND(G31,0)-ROUND(G32,0)</f>
        <v>0</v>
      </c>
      <c r="H38" s="2310">
        <f t="shared" si="1"/>
        <v>0</v>
      </c>
      <c r="I38" s="2310">
        <f t="shared" ref="I38:J38" si="2">ROUND(I33,0)-ROUND(I13,0)-ROUND(I14,0)-ROUND(I15,0)-ROUND(I16,0)-ROUND(I17,0)-ROUND(I18,0)-ROUND(I19,0)-ROUND(I20,0)-ROUND(I21,0)-ROUND(I22,0)-ROUND(I23,0)-ROUND(I24,0)-ROUND(I25,0)-ROUND(I26,0)-ROUND(I27,0)-ROUND(I28,0)-ROUND(I29,0)-ROUND(I30,0)-ROUND(I31,0)-ROUND(I32,0)</f>
        <v>0</v>
      </c>
      <c r="J38" s="2310">
        <f t="shared" si="2"/>
        <v>0</v>
      </c>
      <c r="K38" s="2310">
        <f t="shared" ref="K38:L38" si="3">ROUND(K33,0)-ROUND(K13,0)-ROUND(K14,0)-ROUND(K15,0)-ROUND(K16,0)-ROUND(K17,0)-ROUND(K18,0)-ROUND(K19,0)-ROUND(K20,0)-ROUND(K21,0)-ROUND(K22,0)-ROUND(K23,0)-ROUND(K24,0)-ROUND(K25,0)-ROUND(K26,0)-ROUND(K27,0)-ROUND(K28,0)-ROUND(K29,0)-ROUND(K30,0)-ROUND(K31,0)-ROUND(K32,0)</f>
        <v>0</v>
      </c>
      <c r="L38" s="2310">
        <f t="shared" si="3"/>
        <v>0</v>
      </c>
      <c r="M38" s="2310">
        <f t="shared" ref="M38:N38" si="4">ROUND(M33,0)-ROUND(M13,0)-ROUND(M14,0)-ROUND(M15,0)-ROUND(M16,0)-ROUND(M17,0)-ROUND(M18,0)-ROUND(M19,0)-ROUND(M20,0)-ROUND(M21,0)-ROUND(M22,0)-ROUND(M23,0)-ROUND(M24,0)-ROUND(M25,0)-ROUND(M26,0)-ROUND(M27,0)-ROUND(M28,0)-ROUND(M29,0)-ROUND(M30,0)-ROUND(M31,0)-ROUND(M32,0)</f>
        <v>0</v>
      </c>
      <c r="N38" s="2310">
        <f t="shared" si="4"/>
        <v>0</v>
      </c>
    </row>
    <row r="39" spans="1:17">
      <c r="C39" s="1947"/>
      <c r="D39" s="1947"/>
      <c r="E39" s="1947"/>
      <c r="F39" s="1947"/>
      <c r="G39" s="1947"/>
      <c r="H39" s="1947"/>
      <c r="I39" s="1947"/>
      <c r="J39" s="1947"/>
      <c r="K39" s="1947"/>
      <c r="L39" s="1947"/>
      <c r="M39" s="1947"/>
      <c r="N39" s="1947"/>
    </row>
    <row r="41" spans="1:17">
      <c r="C41" s="1948"/>
      <c r="D41" s="1948"/>
      <c r="E41" s="1948"/>
      <c r="F41" s="1948"/>
      <c r="G41" s="1948"/>
      <c r="H41" s="1948"/>
      <c r="I41" s="1948"/>
      <c r="J41" s="1948"/>
      <c r="K41" s="1948"/>
      <c r="L41" s="1948"/>
      <c r="M41" s="1948"/>
      <c r="N41" s="1948"/>
      <c r="O41" s="1948"/>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2" orientation="landscape"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FF0000"/>
    <pageSetUpPr fitToPage="1"/>
  </sheetPr>
  <dimension ref="A1:O50"/>
  <sheetViews>
    <sheetView zoomScale="90" zoomScaleNormal="90" workbookViewId="0">
      <pane ySplit="16" topLeftCell="A39" activePane="bottomLeft" state="frozen"/>
      <selection activeCell="A43" sqref="A43:XFD43"/>
      <selection pane="bottomLeft" activeCell="B44" sqref="B44"/>
    </sheetView>
  </sheetViews>
  <sheetFormatPr defaultColWidth="18.26953125" defaultRowHeight="15.5"/>
  <cols>
    <col min="1" max="1" width="10.81640625" style="2107" customWidth="1"/>
    <col min="2" max="2" width="10.7265625" style="1979" customWidth="1"/>
    <col min="3" max="4" width="12.7265625" style="1979" customWidth="1"/>
    <col min="5" max="5" width="18.81640625" style="1979" bestFit="1" customWidth="1"/>
    <col min="6" max="7" width="12.7265625" style="1979" customWidth="1"/>
    <col min="8" max="8" width="17.453125" style="1979" bestFit="1" customWidth="1"/>
    <col min="9" max="9" width="13.7265625" style="1979" customWidth="1"/>
    <col min="10" max="10" width="12.7265625" style="1979" customWidth="1"/>
    <col min="11" max="11" width="12.81640625" style="1979" customWidth="1"/>
    <col min="12" max="12" width="11.453125" style="1979" bestFit="1" customWidth="1"/>
    <col min="13" max="13" width="11.453125" style="1979" customWidth="1"/>
    <col min="14" max="14" width="12.7265625" style="1979" customWidth="1"/>
    <col min="15" max="15" width="13.54296875" style="1979" customWidth="1"/>
    <col min="16" max="16384" width="18.26953125" style="1979"/>
  </cols>
  <sheetData>
    <row r="1" spans="1:14" ht="18" customHeight="1">
      <c r="A1" s="1901" t="s">
        <v>1386</v>
      </c>
      <c r="B1" s="2121"/>
      <c r="C1" s="2121"/>
      <c r="D1" s="2121"/>
      <c r="E1" s="2121"/>
      <c r="F1" s="2121"/>
      <c r="G1" s="2121"/>
      <c r="H1" s="2121"/>
      <c r="I1" s="2121"/>
      <c r="J1" s="2121"/>
      <c r="K1" s="2121"/>
      <c r="L1" s="2121"/>
      <c r="M1" s="2121"/>
      <c r="N1" s="2121"/>
    </row>
    <row r="2" spans="1:14" ht="18" customHeight="1">
      <c r="A2" s="2119" t="s">
        <v>94</v>
      </c>
      <c r="B2" s="2120"/>
      <c r="C2" s="2120"/>
      <c r="D2" s="2120"/>
      <c r="E2" s="2120"/>
      <c r="F2" s="2120"/>
      <c r="G2" s="2120"/>
      <c r="H2" s="2120"/>
      <c r="I2" s="2120"/>
      <c r="J2" s="2120"/>
      <c r="K2" s="2120"/>
      <c r="L2" s="2120"/>
      <c r="M2" s="2120"/>
      <c r="N2" s="2120"/>
    </row>
    <row r="3" spans="1:14" ht="18" customHeight="1">
      <c r="A3" s="2119" t="s">
        <v>1387</v>
      </c>
      <c r="B3" s="2120"/>
      <c r="C3" s="2120"/>
      <c r="D3" s="2120"/>
      <c r="E3" s="2120"/>
      <c r="F3" s="2120"/>
      <c r="G3" s="2120"/>
      <c r="H3" s="2120"/>
      <c r="I3" s="2120"/>
      <c r="J3" s="2120"/>
      <c r="K3" s="2120"/>
      <c r="L3" s="2120"/>
      <c r="M3" s="2120"/>
      <c r="N3" s="2120"/>
    </row>
    <row r="4" spans="1:14" ht="18" customHeight="1">
      <c r="A4" s="2119" t="s">
        <v>93</v>
      </c>
      <c r="B4" s="2120"/>
      <c r="C4" s="2120"/>
      <c r="D4" s="2120"/>
      <c r="E4" s="2120"/>
      <c r="F4" s="2120"/>
      <c r="G4" s="2120"/>
      <c r="H4" s="2120"/>
      <c r="I4" s="2120"/>
      <c r="J4" s="2120"/>
      <c r="K4" s="2120"/>
      <c r="L4" s="2120"/>
      <c r="M4" s="2120"/>
      <c r="N4" s="2120"/>
    </row>
    <row r="5" spans="1:14" ht="18">
      <c r="A5" s="2119" t="s">
        <v>1388</v>
      </c>
      <c r="B5" s="2118"/>
      <c r="C5" s="2118"/>
      <c r="D5" s="2118"/>
      <c r="E5" s="2118"/>
      <c r="F5" s="2118"/>
      <c r="G5" s="2118"/>
      <c r="H5" s="2118"/>
      <c r="I5" s="2118"/>
      <c r="J5" s="2118"/>
      <c r="K5" s="2118"/>
      <c r="L5" s="2118"/>
      <c r="M5" s="2118"/>
      <c r="N5" s="2118"/>
    </row>
    <row r="6" spans="1:14" ht="4.5" customHeight="1">
      <c r="A6" s="2118"/>
      <c r="B6" s="2118"/>
      <c r="C6" s="2118"/>
      <c r="D6" s="2118"/>
      <c r="E6" s="2118"/>
      <c r="F6" s="2118"/>
      <c r="G6" s="2118"/>
      <c r="H6" s="2118"/>
      <c r="I6" s="2118"/>
      <c r="J6" s="2118"/>
      <c r="K6" s="2118"/>
      <c r="L6" s="2118"/>
      <c r="M6" s="2118"/>
      <c r="N6" s="2118"/>
    </row>
    <row r="7" spans="1:14" hidden="1">
      <c r="A7" s="2118"/>
      <c r="B7" s="2118"/>
      <c r="C7" s="2118"/>
      <c r="D7" s="2118"/>
      <c r="E7" s="2118"/>
      <c r="F7" s="2118"/>
      <c r="G7" s="2118"/>
      <c r="H7" s="2118"/>
      <c r="I7" s="2118"/>
      <c r="J7" s="2118"/>
      <c r="K7" s="2118"/>
      <c r="L7" s="2118"/>
      <c r="M7" s="2118"/>
      <c r="N7" s="2118"/>
    </row>
    <row r="8" spans="1:14" hidden="1">
      <c r="A8" s="2118"/>
      <c r="B8" s="2118"/>
      <c r="C8" s="2118"/>
      <c r="D8" s="2118"/>
      <c r="E8" s="2118"/>
      <c r="F8" s="2118"/>
      <c r="G8" s="2118"/>
      <c r="H8" s="2118"/>
      <c r="I8" s="2118"/>
      <c r="J8" s="2118"/>
      <c r="K8" s="2118"/>
      <c r="L8" s="2118"/>
      <c r="M8" s="2118"/>
      <c r="N8" s="2118"/>
    </row>
    <row r="9" spans="1:14" hidden="1">
      <c r="A9" s="2118"/>
      <c r="B9" s="2118"/>
      <c r="C9" s="2118"/>
      <c r="D9" s="2118"/>
      <c r="E9" s="2118"/>
      <c r="F9" s="2118"/>
      <c r="G9" s="2118"/>
      <c r="H9" s="2118"/>
      <c r="I9" s="2118"/>
      <c r="J9" s="2118"/>
      <c r="K9" s="2118"/>
      <c r="L9" s="2118"/>
      <c r="M9" s="2118"/>
      <c r="N9" s="2118"/>
    </row>
    <row r="10" spans="1:14">
      <c r="A10" s="2117"/>
    </row>
    <row r="11" spans="1:14" s="2115" customFormat="1">
      <c r="A11" s="2722" t="s">
        <v>1310</v>
      </c>
      <c r="B11" s="2724"/>
      <c r="C11" s="2081" t="s">
        <v>1389</v>
      </c>
      <c r="D11" s="2081" t="s">
        <v>1390</v>
      </c>
      <c r="E11" s="2081" t="s">
        <v>1391</v>
      </c>
      <c r="F11" s="2081" t="s">
        <v>1392</v>
      </c>
      <c r="G11" s="2081" t="s">
        <v>1393</v>
      </c>
      <c r="H11" s="2081" t="s">
        <v>1394</v>
      </c>
      <c r="I11" s="2081" t="s">
        <v>1395</v>
      </c>
      <c r="J11" s="2081" t="s">
        <v>1396</v>
      </c>
      <c r="K11" s="2081" t="s">
        <v>1397</v>
      </c>
      <c r="L11" s="2081" t="s">
        <v>1398</v>
      </c>
      <c r="M11" s="2081" t="s">
        <v>399</v>
      </c>
      <c r="N11" s="2081" t="s">
        <v>390</v>
      </c>
    </row>
    <row r="12" spans="1:14" s="2115" customFormat="1" ht="31">
      <c r="A12" s="2725"/>
      <c r="B12" s="2727"/>
      <c r="C12" s="2082" t="s">
        <v>1399</v>
      </c>
      <c r="D12" s="2082" t="s">
        <v>1400</v>
      </c>
      <c r="E12" s="2082" t="s">
        <v>1401</v>
      </c>
      <c r="F12" s="2082" t="s">
        <v>1402</v>
      </c>
      <c r="G12" s="2082" t="s">
        <v>1403</v>
      </c>
      <c r="H12" s="2082" t="s">
        <v>1404</v>
      </c>
      <c r="I12" s="2082" t="s">
        <v>1405</v>
      </c>
      <c r="J12" s="2082" t="s">
        <v>1406</v>
      </c>
      <c r="K12" s="2082" t="s">
        <v>1407</v>
      </c>
      <c r="L12" s="2082" t="s">
        <v>1408</v>
      </c>
      <c r="M12" s="2082" t="s">
        <v>407</v>
      </c>
      <c r="N12" s="2116" t="s">
        <v>1409</v>
      </c>
    </row>
    <row r="13" spans="1:14" ht="16.5" hidden="1" customHeight="1">
      <c r="A13" s="2089"/>
      <c r="B13" s="1980"/>
      <c r="C13" s="1896"/>
      <c r="D13" s="1896"/>
      <c r="E13" s="1896"/>
      <c r="F13" s="2083"/>
      <c r="G13" s="1896"/>
      <c r="H13" s="1896"/>
      <c r="I13" s="1896"/>
      <c r="J13" s="2083"/>
      <c r="K13" s="1896"/>
      <c r="L13" s="1896"/>
      <c r="M13" s="1896"/>
      <c r="N13" s="1896"/>
    </row>
    <row r="14" spans="1:14" ht="16.5" hidden="1" customHeight="1">
      <c r="A14" s="2089"/>
      <c r="B14" s="1980"/>
      <c r="C14" s="1896"/>
      <c r="D14" s="1896"/>
      <c r="E14" s="1896"/>
      <c r="F14" s="2083"/>
      <c r="G14" s="1896"/>
      <c r="H14" s="1896"/>
      <c r="I14" s="1896"/>
      <c r="J14" s="2083"/>
      <c r="K14" s="1896"/>
      <c r="L14" s="1896"/>
      <c r="M14" s="1896"/>
      <c r="N14" s="1896"/>
    </row>
    <row r="15" spans="1:14" ht="16.5" hidden="1" customHeight="1">
      <c r="A15" s="2089"/>
      <c r="B15" s="1980"/>
      <c r="C15" s="1896"/>
      <c r="D15" s="1896"/>
      <c r="E15" s="1896"/>
      <c r="F15" s="2083"/>
      <c r="G15" s="1896"/>
      <c r="H15" s="1896"/>
      <c r="I15" s="1896"/>
      <c r="J15" s="2083"/>
      <c r="K15" s="1896"/>
      <c r="L15" s="1896"/>
      <c r="M15" s="1896"/>
      <c r="N15" s="1896"/>
    </row>
    <row r="16" spans="1:14" ht="16.5" hidden="1" customHeight="1">
      <c r="A16" s="2089">
        <v>2019</v>
      </c>
      <c r="B16" s="1980"/>
      <c r="C16" s="1896"/>
      <c r="D16" s="1896"/>
      <c r="E16" s="1896"/>
      <c r="F16" s="2083"/>
      <c r="G16" s="1896"/>
      <c r="H16" s="1896"/>
      <c r="I16" s="1896"/>
      <c r="J16" s="2083"/>
      <c r="K16" s="1896"/>
      <c r="L16" s="1896"/>
      <c r="M16" s="1896"/>
      <c r="N16" s="1896"/>
    </row>
    <row r="17" spans="1:15" ht="21" customHeight="1">
      <c r="A17" s="2089">
        <v>2020</v>
      </c>
      <c r="B17" s="1980"/>
      <c r="C17" s="1896">
        <v>2924708</v>
      </c>
      <c r="D17" s="1896">
        <v>263623</v>
      </c>
      <c r="E17" s="1896">
        <v>304474</v>
      </c>
      <c r="F17" s="2083">
        <v>56177</v>
      </c>
      <c r="G17" s="1896">
        <v>34308</v>
      </c>
      <c r="H17" s="1896">
        <v>2099157</v>
      </c>
      <c r="I17" s="1896">
        <v>248345</v>
      </c>
      <c r="J17" s="2083">
        <v>19806</v>
      </c>
      <c r="K17" s="1896">
        <v>25037</v>
      </c>
      <c r="L17" s="1896">
        <v>62366</v>
      </c>
      <c r="M17" s="1896">
        <v>400294</v>
      </c>
      <c r="N17" s="1896">
        <v>6438295</v>
      </c>
    </row>
    <row r="18" spans="1:15" ht="16.5" customHeight="1">
      <c r="A18" s="2089">
        <v>2021</v>
      </c>
      <c r="B18" s="1980"/>
      <c r="C18" s="1896">
        <v>7514395</v>
      </c>
      <c r="D18" s="1896">
        <v>458368</v>
      </c>
      <c r="E18" s="1896">
        <v>498733</v>
      </c>
      <c r="F18" s="2083">
        <v>108910</v>
      </c>
      <c r="G18" s="1896">
        <v>55870</v>
      </c>
      <c r="H18" s="1896">
        <v>4522015</v>
      </c>
      <c r="I18" s="1896">
        <v>461737</v>
      </c>
      <c r="J18" s="2083">
        <v>73913</v>
      </c>
      <c r="K18" s="1896">
        <v>121754</v>
      </c>
      <c r="L18" s="1896">
        <v>568391</v>
      </c>
      <c r="M18" s="1896">
        <v>1625323</v>
      </c>
      <c r="N18" s="1896">
        <v>16009409</v>
      </c>
    </row>
    <row r="19" spans="1:15" ht="16.5" customHeight="1">
      <c r="A19" s="2089">
        <v>2022</v>
      </c>
      <c r="B19" s="1980"/>
      <c r="C19" s="1896">
        <v>21883367</v>
      </c>
      <c r="D19" s="1896">
        <v>1322837</v>
      </c>
      <c r="E19" s="1896">
        <v>825598</v>
      </c>
      <c r="F19" s="2083">
        <v>383549</v>
      </c>
      <c r="G19" s="1896">
        <v>130163</v>
      </c>
      <c r="H19" s="1896">
        <v>3461848</v>
      </c>
      <c r="I19" s="1896">
        <v>768786</v>
      </c>
      <c r="J19" s="2083">
        <v>103500</v>
      </c>
      <c r="K19" s="1896">
        <v>101075</v>
      </c>
      <c r="L19" s="1896">
        <v>363000</v>
      </c>
      <c r="M19" s="1896">
        <v>1345286</v>
      </c>
      <c r="N19" s="1896">
        <v>30689009</v>
      </c>
    </row>
    <row r="20" spans="1:15" ht="16.5" customHeight="1">
      <c r="A20" s="2089">
        <v>2023</v>
      </c>
      <c r="B20" s="1980"/>
      <c r="C20" s="1896">
        <v>26730137</v>
      </c>
      <c r="D20" s="1896">
        <v>2008784</v>
      </c>
      <c r="E20" s="1896">
        <v>1185536</v>
      </c>
      <c r="F20" s="2083">
        <v>902297</v>
      </c>
      <c r="G20" s="1896">
        <v>190537</v>
      </c>
      <c r="H20" s="1896">
        <v>2715919</v>
      </c>
      <c r="I20" s="1896">
        <v>782528</v>
      </c>
      <c r="J20" s="2083">
        <v>74198</v>
      </c>
      <c r="K20" s="1896">
        <v>79314</v>
      </c>
      <c r="L20" s="1896">
        <v>237330</v>
      </c>
      <c r="M20" s="1896">
        <v>1360372</v>
      </c>
      <c r="N20" s="1896">
        <v>36266952</v>
      </c>
    </row>
    <row r="21" spans="1:15" ht="16.5" customHeight="1">
      <c r="A21" s="2089">
        <v>2024</v>
      </c>
      <c r="B21" s="1980"/>
      <c r="C21" s="1896">
        <v>27978388</v>
      </c>
      <c r="D21" s="1896">
        <v>2154953</v>
      </c>
      <c r="E21" s="1896">
        <v>1321649</v>
      </c>
      <c r="F21" s="2083">
        <v>1155802</v>
      </c>
      <c r="G21" s="1896">
        <v>256506</v>
      </c>
      <c r="H21" s="1896">
        <v>5108342</v>
      </c>
      <c r="I21" s="1896">
        <v>773041</v>
      </c>
      <c r="J21" s="2083">
        <v>64308</v>
      </c>
      <c r="K21" s="1896">
        <v>68171</v>
      </c>
      <c r="L21" s="1896">
        <v>219830</v>
      </c>
      <c r="M21" s="1896">
        <v>1379462</v>
      </c>
      <c r="N21" s="1896">
        <v>40480452</v>
      </c>
    </row>
    <row r="22" spans="1:15" ht="16.5" customHeight="1">
      <c r="A22" s="2113">
        <v>2025</v>
      </c>
      <c r="B22" s="2114"/>
      <c r="C22" s="2084">
        <f>ROUND(C26,0)+ROUND(C27,0)+ROUND(C28,0)+ROUND(C29,0)</f>
        <v>30508222</v>
      </c>
      <c r="D22" s="2084">
        <f t="shared" ref="D22:N22" si="0">ROUND(D26,0)+ROUND(D27,0)+ROUND(D28,0)+ROUND(D29,0)</f>
        <v>2731679</v>
      </c>
      <c r="E22" s="2084">
        <f t="shared" si="0"/>
        <v>2751829</v>
      </c>
      <c r="F22" s="2084">
        <f t="shared" si="0"/>
        <v>4395344</v>
      </c>
      <c r="G22" s="2084">
        <f t="shared" si="0"/>
        <v>734801</v>
      </c>
      <c r="H22" s="2084">
        <f t="shared" si="0"/>
        <v>12150227</v>
      </c>
      <c r="I22" s="2084">
        <f t="shared" si="0"/>
        <v>836799</v>
      </c>
      <c r="J22" s="2084">
        <f t="shared" si="0"/>
        <v>64556</v>
      </c>
      <c r="K22" s="2084">
        <f t="shared" si="0"/>
        <v>72487</v>
      </c>
      <c r="L22" s="2084">
        <f t="shared" si="0"/>
        <v>261583</v>
      </c>
      <c r="M22" s="2084">
        <f t="shared" si="0"/>
        <v>1650300</v>
      </c>
      <c r="N22" s="2084">
        <f t="shared" si="0"/>
        <v>56157827</v>
      </c>
    </row>
    <row r="23" spans="1:15" ht="21" customHeight="1">
      <c r="A23" s="2089">
        <v>2024</v>
      </c>
      <c r="B23" s="1980" t="s">
        <v>243</v>
      </c>
      <c r="C23" s="1896">
        <v>7030156</v>
      </c>
      <c r="D23" s="1896">
        <v>494563</v>
      </c>
      <c r="E23" s="1896">
        <v>269101</v>
      </c>
      <c r="F23" s="2083">
        <v>296285</v>
      </c>
      <c r="G23" s="1896">
        <v>45560</v>
      </c>
      <c r="H23" s="1896">
        <v>1228852</v>
      </c>
      <c r="I23" s="1896">
        <v>164043</v>
      </c>
      <c r="J23" s="2083">
        <v>13669</v>
      </c>
      <c r="K23" s="1896">
        <v>12222</v>
      </c>
      <c r="L23" s="1896">
        <v>48892</v>
      </c>
      <c r="M23" s="1896">
        <v>265903</v>
      </c>
      <c r="N23" s="1896">
        <v>9869246</v>
      </c>
      <c r="O23" s="2432"/>
    </row>
    <row r="24" spans="1:15" ht="15" customHeight="1">
      <c r="A24" s="2089"/>
      <c r="B24" s="1980" t="s">
        <v>240</v>
      </c>
      <c r="C24" s="1896">
        <v>7287363</v>
      </c>
      <c r="D24" s="1896">
        <v>599038</v>
      </c>
      <c r="E24" s="1896">
        <v>242188</v>
      </c>
      <c r="F24" s="2083">
        <v>317510</v>
      </c>
      <c r="G24" s="1896">
        <v>48775</v>
      </c>
      <c r="H24" s="1896">
        <v>1456973</v>
      </c>
      <c r="I24" s="1896">
        <v>142670</v>
      </c>
      <c r="J24" s="2083">
        <v>10996</v>
      </c>
      <c r="K24" s="1896">
        <v>9823</v>
      </c>
      <c r="L24" s="1896">
        <v>48226</v>
      </c>
      <c r="M24" s="1896">
        <v>266959</v>
      </c>
      <c r="N24" s="1896">
        <v>10430521</v>
      </c>
      <c r="O24" s="2432"/>
    </row>
    <row r="25" spans="1:15" ht="15" customHeight="1">
      <c r="A25" s="2089"/>
      <c r="B25" s="1980" t="s">
        <v>241</v>
      </c>
      <c r="C25" s="1896">
        <v>7086333</v>
      </c>
      <c r="D25" s="1896">
        <v>462770</v>
      </c>
      <c r="E25" s="1896">
        <v>404252</v>
      </c>
      <c r="F25" s="2083">
        <v>306001</v>
      </c>
      <c r="G25" s="1896">
        <v>81106</v>
      </c>
      <c r="H25" s="1896">
        <v>1572518</v>
      </c>
      <c r="I25" s="1896">
        <v>205651</v>
      </c>
      <c r="J25" s="2083">
        <v>18507</v>
      </c>
      <c r="K25" s="1896">
        <v>22033</v>
      </c>
      <c r="L25" s="1896">
        <v>64235</v>
      </c>
      <c r="M25" s="1896">
        <v>421981</v>
      </c>
      <c r="N25" s="1896">
        <v>10645387</v>
      </c>
      <c r="O25" s="2432"/>
    </row>
    <row r="26" spans="1:15" ht="21" customHeight="1">
      <c r="A26" s="2089">
        <v>2025</v>
      </c>
      <c r="B26" s="1980" t="s">
        <v>242</v>
      </c>
      <c r="C26" s="1896">
        <v>6495631</v>
      </c>
      <c r="D26" s="1896">
        <v>678929</v>
      </c>
      <c r="E26" s="1896">
        <v>606293</v>
      </c>
      <c r="F26" s="2083">
        <v>879599</v>
      </c>
      <c r="G26" s="1896">
        <v>153991</v>
      </c>
      <c r="H26" s="1896">
        <v>2771161</v>
      </c>
      <c r="I26" s="1896">
        <v>197247</v>
      </c>
      <c r="J26" s="2083">
        <v>14350</v>
      </c>
      <c r="K26" s="1896">
        <v>18455</v>
      </c>
      <c r="L26" s="1896">
        <v>54254</v>
      </c>
      <c r="M26" s="1896">
        <v>364175</v>
      </c>
      <c r="N26" s="1896">
        <v>12234085</v>
      </c>
      <c r="O26" s="2432"/>
    </row>
    <row r="27" spans="1:15" ht="15" customHeight="1">
      <c r="A27" s="2089"/>
      <c r="B27" s="1980" t="s">
        <v>243</v>
      </c>
      <c r="C27" s="1896">
        <v>7647454</v>
      </c>
      <c r="D27" s="1896">
        <v>627308</v>
      </c>
      <c r="E27" s="1896">
        <v>582350</v>
      </c>
      <c r="F27" s="2083">
        <v>1126849</v>
      </c>
      <c r="G27" s="1896">
        <v>174142</v>
      </c>
      <c r="H27" s="1896">
        <v>3403651</v>
      </c>
      <c r="I27" s="1896">
        <v>218130</v>
      </c>
      <c r="J27" s="2083">
        <v>15708</v>
      </c>
      <c r="K27" s="1896">
        <v>16604</v>
      </c>
      <c r="L27" s="1896">
        <v>64311</v>
      </c>
      <c r="M27" s="1896">
        <v>397584</v>
      </c>
      <c r="N27" s="1896">
        <v>14274091</v>
      </c>
      <c r="O27" s="2432"/>
    </row>
    <row r="28" spans="1:15" ht="15" customHeight="1">
      <c r="A28" s="2089"/>
      <c r="B28" s="1980" t="s">
        <v>240</v>
      </c>
      <c r="C28" s="1896">
        <f t="shared" ref="C28:N28" si="1">SUM(C33:C35)</f>
        <v>7369613</v>
      </c>
      <c r="D28" s="1896">
        <f t="shared" si="1"/>
        <v>792089</v>
      </c>
      <c r="E28" s="1896">
        <f t="shared" si="1"/>
        <v>607502</v>
      </c>
      <c r="F28" s="2083">
        <f t="shared" si="1"/>
        <v>1252061</v>
      </c>
      <c r="G28" s="1896">
        <f t="shared" si="1"/>
        <v>175753</v>
      </c>
      <c r="H28" s="1896">
        <f t="shared" si="1"/>
        <v>3228401</v>
      </c>
      <c r="I28" s="1896">
        <f t="shared" si="1"/>
        <v>170344</v>
      </c>
      <c r="J28" s="2083">
        <f t="shared" si="1"/>
        <v>12337</v>
      </c>
      <c r="K28" s="1896">
        <f t="shared" si="1"/>
        <v>11578</v>
      </c>
      <c r="L28" s="1896">
        <f t="shared" si="1"/>
        <v>57818</v>
      </c>
      <c r="M28" s="1896">
        <f t="shared" si="1"/>
        <v>333827</v>
      </c>
      <c r="N28" s="1896">
        <f t="shared" si="1"/>
        <v>14011323</v>
      </c>
      <c r="O28" s="2432"/>
    </row>
    <row r="29" spans="1:15" ht="15" customHeight="1">
      <c r="A29" s="2089"/>
      <c r="B29" s="1980" t="s">
        <v>241</v>
      </c>
      <c r="C29" s="1896">
        <f t="shared" ref="C29:N29" si="2">SUM(C36:C38)</f>
        <v>8995524</v>
      </c>
      <c r="D29" s="1896">
        <f t="shared" si="2"/>
        <v>633353</v>
      </c>
      <c r="E29" s="1896">
        <f t="shared" si="2"/>
        <v>955684</v>
      </c>
      <c r="F29" s="2083">
        <f t="shared" si="2"/>
        <v>1136835</v>
      </c>
      <c r="G29" s="1896">
        <f t="shared" si="2"/>
        <v>230915</v>
      </c>
      <c r="H29" s="1896">
        <f t="shared" si="2"/>
        <v>2747014</v>
      </c>
      <c r="I29" s="1896">
        <f t="shared" si="2"/>
        <v>251078</v>
      </c>
      <c r="J29" s="2083">
        <f t="shared" si="2"/>
        <v>22161</v>
      </c>
      <c r="K29" s="1896">
        <f t="shared" si="2"/>
        <v>25850</v>
      </c>
      <c r="L29" s="1896">
        <f t="shared" si="2"/>
        <v>85200</v>
      </c>
      <c r="M29" s="1896">
        <f t="shared" si="2"/>
        <v>554714</v>
      </c>
      <c r="N29" s="1896">
        <f t="shared" si="2"/>
        <v>15638328</v>
      </c>
      <c r="O29" s="2432"/>
    </row>
    <row r="30" spans="1:15" ht="21" customHeight="1">
      <c r="A30" s="2113">
        <v>2026</v>
      </c>
      <c r="B30" s="2114" t="s">
        <v>242</v>
      </c>
      <c r="C30" s="2084">
        <f>ROUND(C39,0)+ROUND(C40,0)+ROUND(C41,0)</f>
        <v>5042343</v>
      </c>
      <c r="D30" s="2084">
        <f t="shared" ref="D30:N30" si="3">ROUND(D39,0)+ROUND(D40,0)+ROUND(D41,0)</f>
        <v>497942</v>
      </c>
      <c r="E30" s="2084">
        <f t="shared" si="3"/>
        <v>650133</v>
      </c>
      <c r="F30" s="2084">
        <f t="shared" si="3"/>
        <v>1090217</v>
      </c>
      <c r="G30" s="2084">
        <f t="shared" si="3"/>
        <v>123794</v>
      </c>
      <c r="H30" s="2084">
        <f t="shared" si="3"/>
        <v>2004915</v>
      </c>
      <c r="I30" s="2084">
        <f t="shared" si="3"/>
        <v>187193</v>
      </c>
      <c r="J30" s="2084">
        <f t="shared" si="3"/>
        <v>13624</v>
      </c>
      <c r="K30" s="2084">
        <f t="shared" si="3"/>
        <v>16677</v>
      </c>
      <c r="L30" s="2084">
        <f t="shared" si="3"/>
        <v>54822</v>
      </c>
      <c r="M30" s="2084">
        <f t="shared" si="3"/>
        <v>350755</v>
      </c>
      <c r="N30" s="2084">
        <f t="shared" si="3"/>
        <v>10032415</v>
      </c>
      <c r="O30" s="2432"/>
    </row>
    <row r="31" spans="1:15" ht="21" customHeight="1">
      <c r="A31" s="2089">
        <v>2025</v>
      </c>
      <c r="B31" s="1978" t="s">
        <v>427</v>
      </c>
      <c r="C31" s="1896">
        <v>2628580</v>
      </c>
      <c r="D31" s="1896">
        <v>187955</v>
      </c>
      <c r="E31" s="1896">
        <v>204645</v>
      </c>
      <c r="F31" s="1896">
        <v>386698</v>
      </c>
      <c r="G31" s="1896">
        <v>59472</v>
      </c>
      <c r="H31" s="1896">
        <v>1162734</v>
      </c>
      <c r="I31" s="1896">
        <v>63276</v>
      </c>
      <c r="J31" s="1896">
        <v>4962</v>
      </c>
      <c r="K31" s="1896">
        <v>4287</v>
      </c>
      <c r="L31" s="1896">
        <v>20718</v>
      </c>
      <c r="M31" s="1896">
        <v>128280</v>
      </c>
      <c r="N31" s="1896">
        <v>4851607</v>
      </c>
    </row>
    <row r="32" spans="1:15" ht="15.75" customHeight="1">
      <c r="A32" s="2089"/>
      <c r="B32" s="1978" t="s">
        <v>428</v>
      </c>
      <c r="C32" s="1896">
        <f>'[79]POS by country'!$H$187</f>
        <v>2513135</v>
      </c>
      <c r="D32" s="1896">
        <f>'[79]POS by country'!$H$184</f>
        <v>239844</v>
      </c>
      <c r="E32" s="1896">
        <f>'[79]POS by country'!$H$188</f>
        <v>164033</v>
      </c>
      <c r="F32" s="1896">
        <f>'[79]POS by country'!$H$186</f>
        <v>362403</v>
      </c>
      <c r="G32" s="1896">
        <f>'[79]POS by country'!$H$185</f>
        <v>50950</v>
      </c>
      <c r="H32" s="1896">
        <f>'[79]POS by country'!$H$136</f>
        <v>1135709</v>
      </c>
      <c r="I32" s="1896">
        <f>'[79]POS by country'!$H$63</f>
        <v>53138</v>
      </c>
      <c r="J32" s="1896">
        <f>'[79]POS by country'!$H$26</f>
        <v>3353</v>
      </c>
      <c r="K32" s="1896">
        <f>'[79]POS by country'!$H$27</f>
        <v>3503</v>
      </c>
      <c r="L32" s="1896">
        <f>'[79]POS by country'!$H$205</f>
        <v>18148</v>
      </c>
      <c r="M32" s="1896">
        <f t="shared" ref="M32" si="4">N32-(SUM(C32:L32))</f>
        <v>99105</v>
      </c>
      <c r="N32" s="1896">
        <f>'[79]POS by country'!$H$266</f>
        <v>4643321</v>
      </c>
    </row>
    <row r="33" spans="1:14" ht="15.75" customHeight="1">
      <c r="A33" s="2089"/>
      <c r="B33" s="1978" t="s">
        <v>429</v>
      </c>
      <c r="C33" s="1896">
        <f>'[80]POS by country'!$H$187</f>
        <v>2448157</v>
      </c>
      <c r="D33" s="1896">
        <f>'[80]POS by country'!$H$184</f>
        <v>228734</v>
      </c>
      <c r="E33" s="1896">
        <f>'[80]POS by country'!$H$188</f>
        <v>175775</v>
      </c>
      <c r="F33" s="1896">
        <f>'[80]POS by country'!$H$186</f>
        <v>391070</v>
      </c>
      <c r="G33" s="1896">
        <f>'[80]POS by country'!$H$185</f>
        <v>54970</v>
      </c>
      <c r="H33" s="1896">
        <f>'[80]POS by country'!$H$136</f>
        <v>1084280</v>
      </c>
      <c r="I33" s="1896">
        <f>'[80]POS by country'!$H$63</f>
        <v>49563</v>
      </c>
      <c r="J33" s="1896">
        <f>'[80]POS by country'!$H$26</f>
        <v>3574</v>
      </c>
      <c r="K33" s="1896">
        <f>'[80]POS by country'!$H$27</f>
        <v>3037</v>
      </c>
      <c r="L33" s="1896">
        <f>'[80]POS by country'!$H$205</f>
        <v>18054</v>
      </c>
      <c r="M33" s="1896">
        <f t="shared" ref="M33" si="5">N33-(SUM(C33:L33))</f>
        <v>95500</v>
      </c>
      <c r="N33" s="1896">
        <f>'[80]POS by country'!$H$266</f>
        <v>4552714</v>
      </c>
    </row>
    <row r="34" spans="1:14" ht="15.75" customHeight="1">
      <c r="A34" s="2089"/>
      <c r="B34" s="1978" t="s">
        <v>430</v>
      </c>
      <c r="C34" s="1896">
        <f>'[81]POS by country'!$H$187</f>
        <v>2709799</v>
      </c>
      <c r="D34" s="1896">
        <f>'[81]POS by country'!$H$184</f>
        <v>303273</v>
      </c>
      <c r="E34" s="1896">
        <f>'[81]POS by country'!$H$188</f>
        <v>203052</v>
      </c>
      <c r="F34" s="1896">
        <f>'[81]POS by country'!$H$186</f>
        <v>528688</v>
      </c>
      <c r="G34" s="1896">
        <f>'[81]POS by country'!$H$185</f>
        <v>67547</v>
      </c>
      <c r="H34" s="1896">
        <f>'[81]POS by country'!$H$136</f>
        <v>1138951</v>
      </c>
      <c r="I34" s="1896">
        <f>'[81]POS by country'!$H$63</f>
        <v>60284</v>
      </c>
      <c r="J34" s="1896">
        <f>'[81]POS by country'!$H$26</f>
        <v>4307</v>
      </c>
      <c r="K34" s="1896">
        <f>'[81]POS by country'!$H$27</f>
        <v>3787</v>
      </c>
      <c r="L34" s="1896">
        <f>'[81]POS by country'!$H$205</f>
        <v>18058</v>
      </c>
      <c r="M34" s="1896">
        <f t="shared" ref="M34" si="6">N34-(SUM(C34:L34))</f>
        <v>118516</v>
      </c>
      <c r="N34" s="1896">
        <f>'[81]POS by country'!$H$266</f>
        <v>5156262</v>
      </c>
    </row>
    <row r="35" spans="1:14" ht="15.75" customHeight="1">
      <c r="A35" s="2089"/>
      <c r="B35" s="1978" t="s">
        <v>431</v>
      </c>
      <c r="C35" s="1896">
        <f>'[82]POS by country'!$H$187</f>
        <v>2211657</v>
      </c>
      <c r="D35" s="1896">
        <f>'[82]POS by country'!$H$184</f>
        <v>260082</v>
      </c>
      <c r="E35" s="1896">
        <f>'[82]POS by country'!$H$188</f>
        <v>228675</v>
      </c>
      <c r="F35" s="1896">
        <f>'[82]POS by country'!$H$186</f>
        <v>332303</v>
      </c>
      <c r="G35" s="1896">
        <f>'[82]POS by country'!$H$185</f>
        <v>53236</v>
      </c>
      <c r="H35" s="1896">
        <f>'[82]POS by country'!$H$136</f>
        <v>1005170</v>
      </c>
      <c r="I35" s="1896">
        <f>'[82]POS by country'!$H$63</f>
        <v>60497</v>
      </c>
      <c r="J35" s="1896">
        <f>'[82]POS by country'!$H$26</f>
        <v>4456</v>
      </c>
      <c r="K35" s="1896">
        <f>'[82]POS by country'!$H$27</f>
        <v>4754</v>
      </c>
      <c r="L35" s="1896">
        <f>'[82]POS by country'!$H$205</f>
        <v>21706</v>
      </c>
      <c r="M35" s="1896">
        <f t="shared" ref="M35" si="7">N35-(SUM(C35:L35))</f>
        <v>119811</v>
      </c>
      <c r="N35" s="1896">
        <f>'[82]POS by country'!$H$266</f>
        <v>4302347</v>
      </c>
    </row>
    <row r="36" spans="1:14" ht="15.75" customHeight="1">
      <c r="A36" s="2089"/>
      <c r="B36" s="1978" t="s">
        <v>420</v>
      </c>
      <c r="C36" s="1896">
        <f>'[83]POS by country'!$H$187</f>
        <v>2526241</v>
      </c>
      <c r="D36" s="1896">
        <f>'[83]POS by country'!$H$184</f>
        <v>184588</v>
      </c>
      <c r="E36" s="1896">
        <f>'[83]POS by country'!$H$188</f>
        <v>260491</v>
      </c>
      <c r="F36" s="1896">
        <f>'[83]POS by country'!$H$186</f>
        <v>373316</v>
      </c>
      <c r="G36" s="1896">
        <f>'[83]POS by country'!$H$185</f>
        <v>61675</v>
      </c>
      <c r="H36" s="1896">
        <f>'[83]POS by country'!$H$136</f>
        <v>1042982</v>
      </c>
      <c r="I36" s="1896">
        <f>'[83]POS by country'!$H$63</f>
        <v>74775</v>
      </c>
      <c r="J36" s="1896">
        <f>'[83]POS by country'!$H$26</f>
        <v>5880</v>
      </c>
      <c r="K36" s="1896">
        <f>'[83]POS by country'!$H$27</f>
        <v>6961</v>
      </c>
      <c r="L36" s="1896">
        <f>'[83]POS by country'!$H$205</f>
        <v>24750</v>
      </c>
      <c r="M36" s="1896">
        <f t="shared" ref="M36" si="8">N36-(SUM(C36:L36))</f>
        <v>153751</v>
      </c>
      <c r="N36" s="1896">
        <f>'[83]POS by country'!$H$266</f>
        <v>4715410</v>
      </c>
    </row>
    <row r="37" spans="1:14" ht="15.75" customHeight="1">
      <c r="A37" s="2089"/>
      <c r="B37" s="1978" t="s">
        <v>421</v>
      </c>
      <c r="C37" s="1896">
        <f>'[84]POS by country'!$H$187</f>
        <v>3361839</v>
      </c>
      <c r="D37" s="1896">
        <f>'[84]POS by country'!$H$184</f>
        <v>204724</v>
      </c>
      <c r="E37" s="1896">
        <f>'[84]POS by country'!$H$188</f>
        <v>275426</v>
      </c>
      <c r="F37" s="1896">
        <f>'[84]POS by country'!$H$186</f>
        <v>361146</v>
      </c>
      <c r="G37" s="1896">
        <f>'[84]POS by country'!$H$185</f>
        <v>78547</v>
      </c>
      <c r="H37" s="1896">
        <f>'[84]POS by country'!$H$136</f>
        <v>932282</v>
      </c>
      <c r="I37" s="1896">
        <f>'[84]POS by country'!$H$63</f>
        <v>86498</v>
      </c>
      <c r="J37" s="1896">
        <f>'[84]POS by country'!$H$26</f>
        <v>8548</v>
      </c>
      <c r="K37" s="1896">
        <f>'[84]POS by country'!$H$27</f>
        <v>10223</v>
      </c>
      <c r="L37" s="1896">
        <f>'[84]POS by country'!$H$205</f>
        <v>30265</v>
      </c>
      <c r="M37" s="1896">
        <f t="shared" ref="M37" si="9">N37-(SUM(C37:L37))</f>
        <v>196629</v>
      </c>
      <c r="N37" s="1896">
        <f>'[84]POS by country'!$H$266</f>
        <v>5546127</v>
      </c>
    </row>
    <row r="38" spans="1:14" ht="15.75" customHeight="1">
      <c r="A38" s="2089"/>
      <c r="B38" s="1978" t="s">
        <v>422</v>
      </c>
      <c r="C38" s="1896">
        <f>'[85]POS by country'!$H$187</f>
        <v>3107444</v>
      </c>
      <c r="D38" s="1896">
        <f>'[85]POS by country'!$H$184</f>
        <v>244041</v>
      </c>
      <c r="E38" s="1896">
        <f>'[85]POS by country'!$H$188</f>
        <v>419767</v>
      </c>
      <c r="F38" s="1896">
        <f>'[85]POS by country'!$H$186</f>
        <v>402373</v>
      </c>
      <c r="G38" s="1896">
        <f>'[85]POS by country'!$H$185</f>
        <v>90693</v>
      </c>
      <c r="H38" s="1896">
        <f>'[85]POS by country'!$H$136</f>
        <v>771750</v>
      </c>
      <c r="I38" s="1896">
        <f>'[85]POS by country'!$H$63</f>
        <v>89805</v>
      </c>
      <c r="J38" s="1896">
        <f>'[85]POS by country'!$H$26</f>
        <v>7733</v>
      </c>
      <c r="K38" s="1896">
        <f>'[85]POS by country'!$H$27</f>
        <v>8666</v>
      </c>
      <c r="L38" s="1896">
        <f>'[85]POS by country'!$H$205</f>
        <v>30185</v>
      </c>
      <c r="M38" s="1896">
        <f t="shared" ref="M38" si="10">N38-(SUM(C38:L38))</f>
        <v>204334</v>
      </c>
      <c r="N38" s="1896">
        <f>'[85]POS by country'!$H$266</f>
        <v>5376791</v>
      </c>
    </row>
    <row r="39" spans="1:14" ht="21" customHeight="1">
      <c r="A39" s="2089">
        <v>2026</v>
      </c>
      <c r="B39" s="1978" t="s">
        <v>423</v>
      </c>
      <c r="C39" s="1896">
        <f>'[86]POS by country'!$H$187</f>
        <v>2364374</v>
      </c>
      <c r="D39" s="1896">
        <f>'[86]POS by country'!$H$184</f>
        <v>265472</v>
      </c>
      <c r="E39" s="1896">
        <f>'[86]POS by country'!$H$188</f>
        <v>252879</v>
      </c>
      <c r="F39" s="1896">
        <f>'[86]POS by country'!$H$186</f>
        <v>399037</v>
      </c>
      <c r="G39" s="1896">
        <f>'[86]POS by country'!$H$185</f>
        <v>63154</v>
      </c>
      <c r="H39" s="1896">
        <f>'[86]POS by country'!$H$136</f>
        <v>715127</v>
      </c>
      <c r="I39" s="1896">
        <f>'[86]POS by country'!$H$63</f>
        <v>76733</v>
      </c>
      <c r="J39" s="1896">
        <f>'[86]POS by country'!$H$26</f>
        <v>6100</v>
      </c>
      <c r="K39" s="1896">
        <f>'[86]POS by country'!$H$27</f>
        <v>7701</v>
      </c>
      <c r="L39" s="1896">
        <f>'[86]POS by country'!$H$205</f>
        <v>21951</v>
      </c>
      <c r="M39" s="1896">
        <f t="shared" ref="M39" si="11">N39-(SUM(C39:L39))</f>
        <v>153574</v>
      </c>
      <c r="N39" s="1896">
        <f>'[86]POS by country'!$H$266</f>
        <v>4326102</v>
      </c>
    </row>
    <row r="40" spans="1:14" ht="15.75" customHeight="1">
      <c r="A40" s="2089"/>
      <c r="B40" s="1978" t="s">
        <v>424</v>
      </c>
      <c r="C40" s="1896">
        <f>'[87]POS by country'!$H$187</f>
        <v>2056336</v>
      </c>
      <c r="D40" s="1896">
        <f>'[87]POS by country'!$H$184</f>
        <v>189697</v>
      </c>
      <c r="E40" s="1896">
        <f>'[87]POS by country'!$H$188</f>
        <v>243666</v>
      </c>
      <c r="F40" s="1896">
        <f>'[87]POS by country'!$H$186</f>
        <v>373840</v>
      </c>
      <c r="G40" s="1896">
        <f>'[87]POS by country'!$H$185</f>
        <v>48938</v>
      </c>
      <c r="H40" s="1896">
        <f>'[87]POS by country'!$H$136</f>
        <v>699669</v>
      </c>
      <c r="I40" s="1896">
        <f>'[87]POS by country'!$H$63</f>
        <v>90110</v>
      </c>
      <c r="J40" s="1896">
        <f>'[87]POS by country'!$H$26</f>
        <v>6114</v>
      </c>
      <c r="K40" s="1896">
        <f>'[87]POS by country'!$H$27</f>
        <v>7820</v>
      </c>
      <c r="L40" s="1896">
        <f>'[87]POS by country'!$H$205</f>
        <v>23268</v>
      </c>
      <c r="M40" s="1896">
        <f t="shared" ref="M40" si="12">N40-(SUM(C40:L40))</f>
        <v>149283</v>
      </c>
      <c r="N40" s="1896">
        <f>'[87]POS by country'!$H$266</f>
        <v>3888741</v>
      </c>
    </row>
    <row r="41" spans="1:14" ht="15.75" customHeight="1">
      <c r="A41" s="2089"/>
      <c r="B41" s="1978" t="s">
        <v>425</v>
      </c>
      <c r="C41" s="1896">
        <f>'[88]POS by country'!$H$187</f>
        <v>621633</v>
      </c>
      <c r="D41" s="1896">
        <f>'[88]POS by country'!$H$184</f>
        <v>42773</v>
      </c>
      <c r="E41" s="1896">
        <f>'[88]POS by country'!$H$188</f>
        <v>153588</v>
      </c>
      <c r="F41" s="1896">
        <f>'[88]POS by country'!$H$186</f>
        <v>317340</v>
      </c>
      <c r="G41" s="1896">
        <f>'[88]POS by country'!$H$185</f>
        <v>11702</v>
      </c>
      <c r="H41" s="1896">
        <f>'[88]POS by country'!$H$136</f>
        <v>590119</v>
      </c>
      <c r="I41" s="1896">
        <f>'[88]POS by country'!$H$63</f>
        <v>20350</v>
      </c>
      <c r="J41" s="1896">
        <f>'[88]POS by country'!$H$26</f>
        <v>1410</v>
      </c>
      <c r="K41" s="1896">
        <f>'[88]POS by country'!$H$27</f>
        <v>1156</v>
      </c>
      <c r="L41" s="1896">
        <f>'[88]POS by country'!$H$205</f>
        <v>9603</v>
      </c>
      <c r="M41" s="1896">
        <f t="shared" ref="M41" si="13">N41-(SUM(C41:L41))</f>
        <v>47898</v>
      </c>
      <c r="N41" s="1896">
        <f>'[88]POS by country'!$H$266</f>
        <v>1817572</v>
      </c>
    </row>
    <row r="42" spans="1:14" ht="15.75" customHeight="1">
      <c r="A42" s="2089"/>
      <c r="B42" s="1978" t="s">
        <v>426</v>
      </c>
      <c r="C42" s="1896">
        <f>'[89]POS by country'!$H$187</f>
        <v>1335140</v>
      </c>
      <c r="D42" s="1896">
        <f>'[89]POS by country'!$H$184</f>
        <v>76278</v>
      </c>
      <c r="E42" s="1896">
        <f>'[89]POS by country'!$H$188</f>
        <v>159177</v>
      </c>
      <c r="F42" s="1896">
        <f>'[89]POS by country'!$H$186</f>
        <v>341528</v>
      </c>
      <c r="G42" s="1896">
        <f>'[89]POS by country'!$H$185</f>
        <v>20731</v>
      </c>
      <c r="H42" s="1896">
        <f>'[89]POS by country'!$H$136</f>
        <v>611724</v>
      </c>
      <c r="I42" s="1896">
        <f>'[89]POS by country'!$H$63</f>
        <v>20416</v>
      </c>
      <c r="J42" s="1896">
        <f>'[89]POS by country'!$H$26</f>
        <v>1506</v>
      </c>
      <c r="K42" s="1896">
        <f>'[89]POS by country'!$H$27</f>
        <v>791</v>
      </c>
      <c r="L42" s="1896">
        <f>'[89]POS by country'!$H$205</f>
        <v>8305</v>
      </c>
      <c r="M42" s="1896">
        <f t="shared" ref="M42" si="14">N42-(SUM(C42:L42))</f>
        <v>51564</v>
      </c>
      <c r="N42" s="1896">
        <f>'[89]POS by country'!$H$266</f>
        <v>2627160</v>
      </c>
    </row>
    <row r="43" spans="1:14" ht="15.75" customHeight="1">
      <c r="A43" s="2089"/>
      <c r="B43" s="1978" t="s">
        <v>427</v>
      </c>
      <c r="C43" s="1896">
        <f>'[90]POS by country'!$H$187</f>
        <v>2924814</v>
      </c>
      <c r="D43" s="1896">
        <f>'[90]POS by country'!$H$184</f>
        <v>235123</v>
      </c>
      <c r="E43" s="1896">
        <f>'[90]POS by country'!$H$188</f>
        <v>222064</v>
      </c>
      <c r="F43" s="1896">
        <f>'[90]POS by country'!$H$186</f>
        <v>448603</v>
      </c>
      <c r="G43" s="1896">
        <f>'[90]POS by country'!$H$185</f>
        <v>39596</v>
      </c>
      <c r="H43" s="1896">
        <f>'[90]POS by country'!$H$136</f>
        <v>700874</v>
      </c>
      <c r="I43" s="1896">
        <f>'[90]POS by country'!$H$63</f>
        <v>38237</v>
      </c>
      <c r="J43" s="1896">
        <f>'[90]POS by country'!$H$26</f>
        <v>2961</v>
      </c>
      <c r="K43" s="1896">
        <f>'[90]POS by country'!$H$27</f>
        <v>2155</v>
      </c>
      <c r="L43" s="1896">
        <f>'[90]POS by country'!$H$205</f>
        <v>13104</v>
      </c>
      <c r="M43" s="1896">
        <f t="shared" ref="M43" si="15">N43-(SUM(C43:L43))</f>
        <v>85399</v>
      </c>
      <c r="N43" s="1896">
        <f>'[90]POS by country'!$H$266</f>
        <v>4712930</v>
      </c>
    </row>
    <row r="44" spans="1:14">
      <c r="A44" s="2112"/>
      <c r="B44" s="2143"/>
      <c r="C44" s="2144"/>
      <c r="D44" s="2144"/>
      <c r="E44" s="2144"/>
      <c r="F44" s="2144"/>
      <c r="G44" s="2144"/>
      <c r="H44" s="2144"/>
      <c r="I44" s="2144"/>
      <c r="J44" s="2144"/>
      <c r="K44" s="2144"/>
      <c r="L44" s="2144"/>
      <c r="M44" s="2144"/>
      <c r="N44" s="2145"/>
    </row>
    <row r="45" spans="1:14">
      <c r="A45" s="2111"/>
      <c r="B45" s="2110"/>
      <c r="C45" s="2109"/>
      <c r="D45" s="2109"/>
      <c r="E45" s="2109"/>
      <c r="F45" s="2109"/>
      <c r="G45" s="2109"/>
      <c r="H45" s="2109"/>
      <c r="I45" s="2109"/>
      <c r="J45" s="2109"/>
      <c r="K45" s="2109"/>
      <c r="L45" s="2109"/>
      <c r="M45" s="2109"/>
      <c r="N45" s="2109"/>
    </row>
    <row r="46" spans="1:14">
      <c r="A46" s="2730" t="s">
        <v>1410</v>
      </c>
      <c r="B46" s="2730"/>
      <c r="C46" s="2730"/>
      <c r="D46" s="2730"/>
      <c r="E46" s="2730"/>
      <c r="F46" s="2730"/>
      <c r="G46" s="2730"/>
      <c r="H46" s="2730"/>
      <c r="I46" s="2730"/>
      <c r="J46" s="2730"/>
      <c r="K46" s="2730"/>
      <c r="L46" s="2730"/>
      <c r="M46" s="2730"/>
      <c r="N46" s="2730"/>
    </row>
    <row r="50" spans="9:14">
      <c r="I50" s="2108"/>
      <c r="J50" s="2108"/>
      <c r="K50" s="2108"/>
      <c r="L50" s="2108"/>
      <c r="M50" s="2108"/>
      <c r="N50" s="2108"/>
    </row>
  </sheetData>
  <mergeCells count="2">
    <mergeCell ref="A11:B12"/>
    <mergeCell ref="A46:N46"/>
  </mergeCells>
  <printOptions horizontalCentered="1"/>
  <pageMargins left="0.25" right="0.25" top="0.75" bottom="0.75" header="0.3" footer="0.3"/>
  <pageSetup scale="74" orientation="landscape" horizontalDpi="4294967295" verticalDpi="4294967295"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0000"/>
    <pageSetUpPr fitToPage="1"/>
  </sheetPr>
  <dimension ref="A1:P50"/>
  <sheetViews>
    <sheetView topLeftCell="A30" zoomScale="90" zoomScaleNormal="90" workbookViewId="0">
      <selection activeCell="A43" sqref="A43"/>
    </sheetView>
  </sheetViews>
  <sheetFormatPr defaultColWidth="18.26953125" defaultRowHeight="15.5"/>
  <cols>
    <col min="1" max="1" width="10.81640625" style="2107" customWidth="1"/>
    <col min="2" max="2" width="10.7265625" style="1979" customWidth="1"/>
    <col min="3" max="3" width="14.7265625" style="1979" bestFit="1" customWidth="1"/>
    <col min="4" max="4" width="12.7265625" style="1979" customWidth="1"/>
    <col min="5" max="5" width="19" style="1979" bestFit="1" customWidth="1"/>
    <col min="6" max="7" width="12.7265625" style="1979" customWidth="1"/>
    <col min="8" max="8" width="17.54296875" style="1979" bestFit="1" customWidth="1"/>
    <col min="9" max="9" width="13.7265625" style="1979" customWidth="1"/>
    <col min="10" max="10" width="12.7265625" style="1979" customWidth="1"/>
    <col min="11" max="11" width="12.81640625" style="1979" customWidth="1"/>
    <col min="12" max="12" width="11.7265625" style="1979" bestFit="1" customWidth="1"/>
    <col min="13" max="13" width="13.453125" style="1979" bestFit="1" customWidth="1"/>
    <col min="14" max="14" width="15.54296875" style="1979" customWidth="1"/>
    <col min="15" max="15" width="10.453125" style="1979" customWidth="1"/>
    <col min="16" max="16" width="8.54296875" style="1979" customWidth="1"/>
    <col min="17" max="16384" width="18.26953125" style="1979"/>
  </cols>
  <sheetData>
    <row r="1" spans="1:14" ht="18" customHeight="1">
      <c r="A1" s="1901" t="s">
        <v>1411</v>
      </c>
      <c r="B1" s="2121"/>
      <c r="C1" s="2121"/>
      <c r="D1" s="2121"/>
      <c r="E1" s="2121"/>
      <c r="F1" s="2121"/>
      <c r="G1" s="2121"/>
      <c r="H1" s="2121"/>
      <c r="I1" s="2121"/>
      <c r="J1" s="2121"/>
      <c r="K1" s="2121"/>
      <c r="L1" s="2121"/>
      <c r="M1" s="2121"/>
      <c r="N1" s="2121"/>
    </row>
    <row r="2" spans="1:14" ht="18" customHeight="1">
      <c r="A2" s="2119" t="s">
        <v>96</v>
      </c>
      <c r="B2" s="2120"/>
      <c r="C2" s="2120"/>
      <c r="D2" s="2120"/>
      <c r="E2" s="2120"/>
      <c r="F2" s="2120"/>
      <c r="G2" s="2120"/>
      <c r="H2" s="2120"/>
      <c r="I2" s="2120"/>
      <c r="J2" s="2120"/>
      <c r="K2" s="2120"/>
      <c r="L2" s="2120"/>
      <c r="M2" s="2120"/>
      <c r="N2" s="2120"/>
    </row>
    <row r="3" spans="1:14" ht="18" customHeight="1">
      <c r="A3" s="2119" t="s">
        <v>1387</v>
      </c>
      <c r="B3" s="2120"/>
      <c r="C3" s="2120"/>
      <c r="D3" s="2120"/>
      <c r="E3" s="2120"/>
      <c r="F3" s="2120"/>
      <c r="G3" s="2120"/>
      <c r="H3" s="2120"/>
      <c r="I3" s="2120"/>
      <c r="J3" s="2120"/>
      <c r="K3" s="2120"/>
      <c r="L3" s="2120"/>
      <c r="M3" s="2120"/>
      <c r="N3" s="2120"/>
    </row>
    <row r="4" spans="1:14" ht="18" customHeight="1">
      <c r="A4" s="2119" t="s">
        <v>95</v>
      </c>
      <c r="B4" s="2120"/>
      <c r="C4" s="2120"/>
      <c r="D4" s="2120"/>
      <c r="E4" s="2120"/>
      <c r="F4" s="2120"/>
      <c r="G4" s="2120"/>
      <c r="H4" s="2120"/>
      <c r="I4" s="2120"/>
      <c r="J4" s="2120"/>
      <c r="K4" s="2120"/>
      <c r="L4" s="2120"/>
      <c r="M4" s="2120"/>
      <c r="N4" s="2120"/>
    </row>
    <row r="5" spans="1:14" ht="18">
      <c r="A5" s="2119" t="s">
        <v>1388</v>
      </c>
      <c r="B5" s="2118"/>
      <c r="C5" s="2118"/>
      <c r="D5" s="2118"/>
      <c r="E5" s="2118"/>
      <c r="F5" s="2118"/>
      <c r="G5" s="2118"/>
      <c r="H5" s="2118"/>
      <c r="I5" s="2118"/>
      <c r="J5" s="2118"/>
      <c r="K5" s="2118"/>
      <c r="L5" s="2118"/>
      <c r="M5" s="2118"/>
      <c r="N5" s="2118"/>
    </row>
    <row r="6" spans="1:14" ht="4.5" customHeight="1">
      <c r="A6" s="2118"/>
      <c r="B6" s="2118"/>
      <c r="C6" s="2118"/>
      <c r="D6" s="2118"/>
      <c r="E6" s="2118"/>
      <c r="F6" s="2118"/>
      <c r="G6" s="2118"/>
      <c r="H6" s="2118"/>
      <c r="I6" s="2118"/>
      <c r="J6" s="2118"/>
      <c r="K6" s="2118"/>
      <c r="L6" s="2118"/>
      <c r="M6" s="2118"/>
      <c r="N6" s="2118"/>
    </row>
    <row r="7" spans="1:14" hidden="1">
      <c r="A7" s="2118"/>
      <c r="B7" s="2118"/>
      <c r="C7" s="2118"/>
      <c r="D7" s="2118"/>
      <c r="E7" s="2118"/>
      <c r="F7" s="2118"/>
      <c r="G7" s="2118"/>
      <c r="H7" s="2118"/>
      <c r="I7" s="2118"/>
      <c r="J7" s="2118"/>
      <c r="K7" s="2118"/>
      <c r="L7" s="2118"/>
      <c r="M7" s="2118"/>
      <c r="N7" s="2118"/>
    </row>
    <row r="8" spans="1:14" hidden="1">
      <c r="A8" s="2118"/>
      <c r="B8" s="2118"/>
      <c r="C8" s="2118"/>
      <c r="D8" s="2118"/>
      <c r="E8" s="2118"/>
      <c r="F8" s="2118"/>
      <c r="G8" s="2118"/>
      <c r="H8" s="2118"/>
      <c r="I8" s="2118"/>
      <c r="J8" s="2118"/>
      <c r="K8" s="2118"/>
      <c r="L8" s="2118"/>
      <c r="M8" s="2118"/>
      <c r="N8" s="2118"/>
    </row>
    <row r="9" spans="1:14" hidden="1">
      <c r="A9" s="2118"/>
      <c r="B9" s="2118"/>
      <c r="C9" s="2118"/>
      <c r="D9" s="2118"/>
      <c r="E9" s="2118"/>
      <c r="F9" s="2118"/>
      <c r="G9" s="2118"/>
      <c r="H9" s="2118"/>
      <c r="I9" s="2118"/>
      <c r="J9" s="2118"/>
      <c r="K9" s="2118"/>
      <c r="L9" s="2118"/>
      <c r="M9" s="2118"/>
      <c r="N9" s="2118"/>
    </row>
    <row r="10" spans="1:14">
      <c r="A10" s="2117" t="s">
        <v>1412</v>
      </c>
      <c r="N10" s="1979" t="s">
        <v>1413</v>
      </c>
    </row>
    <row r="11" spans="1:14" s="2115" customFormat="1">
      <c r="A11" s="2722" t="s">
        <v>1310</v>
      </c>
      <c r="B11" s="2724"/>
      <c r="C11" s="2081" t="s">
        <v>1389</v>
      </c>
      <c r="D11" s="2081" t="s">
        <v>1390</v>
      </c>
      <c r="E11" s="2081" t="s">
        <v>1391</v>
      </c>
      <c r="F11" s="2081" t="s">
        <v>1392</v>
      </c>
      <c r="G11" s="2081" t="s">
        <v>1393</v>
      </c>
      <c r="H11" s="2081" t="s">
        <v>1394</v>
      </c>
      <c r="I11" s="2081" t="s">
        <v>1395</v>
      </c>
      <c r="J11" s="2081" t="s">
        <v>1396</v>
      </c>
      <c r="K11" s="2081" t="s">
        <v>1397</v>
      </c>
      <c r="L11" s="2081" t="s">
        <v>1398</v>
      </c>
      <c r="M11" s="2081" t="s">
        <v>399</v>
      </c>
      <c r="N11" s="2081" t="s">
        <v>390</v>
      </c>
    </row>
    <row r="12" spans="1:14" s="2115" customFormat="1" ht="31">
      <c r="A12" s="2725"/>
      <c r="B12" s="2727"/>
      <c r="C12" s="2082" t="s">
        <v>1399</v>
      </c>
      <c r="D12" s="2082" t="s">
        <v>1400</v>
      </c>
      <c r="E12" s="2082" t="s">
        <v>1401</v>
      </c>
      <c r="F12" s="2082" t="s">
        <v>1402</v>
      </c>
      <c r="G12" s="2082" t="s">
        <v>1403</v>
      </c>
      <c r="H12" s="2082" t="s">
        <v>1404</v>
      </c>
      <c r="I12" s="2082" t="s">
        <v>1405</v>
      </c>
      <c r="J12" s="2082" t="s">
        <v>1406</v>
      </c>
      <c r="K12" s="2082" t="s">
        <v>1407</v>
      </c>
      <c r="L12" s="2082" t="s">
        <v>1408</v>
      </c>
      <c r="M12" s="2082" t="s">
        <v>407</v>
      </c>
      <c r="N12" s="2116" t="s">
        <v>1409</v>
      </c>
    </row>
    <row r="13" spans="1:14" ht="16.5" hidden="1" customHeight="1">
      <c r="A13" s="2089"/>
      <c r="B13" s="1980"/>
      <c r="C13" s="1896"/>
      <c r="D13" s="1896"/>
      <c r="E13" s="1896"/>
      <c r="F13" s="2083"/>
      <c r="G13" s="1896"/>
      <c r="H13" s="1896"/>
      <c r="I13" s="1896"/>
      <c r="J13" s="2083"/>
      <c r="K13" s="1896"/>
      <c r="L13" s="1896"/>
      <c r="M13" s="1896"/>
      <c r="N13" s="1896"/>
    </row>
    <row r="14" spans="1:14" ht="16.5" hidden="1" customHeight="1">
      <c r="A14" s="2089"/>
      <c r="B14" s="1980"/>
      <c r="C14" s="1896"/>
      <c r="D14" s="1896"/>
      <c r="E14" s="1896"/>
      <c r="F14" s="2083"/>
      <c r="G14" s="1896"/>
      <c r="H14" s="1896"/>
      <c r="I14" s="1896"/>
      <c r="J14" s="2083"/>
      <c r="K14" s="1896"/>
      <c r="L14" s="1896"/>
      <c r="M14" s="1896"/>
      <c r="N14" s="1896"/>
    </row>
    <row r="15" spans="1:14" ht="16.5" hidden="1" customHeight="1">
      <c r="A15" s="2089"/>
      <c r="B15" s="1980"/>
      <c r="C15" s="1896"/>
      <c r="D15" s="1896"/>
      <c r="E15" s="1896"/>
      <c r="F15" s="2083"/>
      <c r="G15" s="1896"/>
      <c r="H15" s="1896"/>
      <c r="I15" s="1896"/>
      <c r="J15" s="2083"/>
      <c r="K15" s="1896"/>
      <c r="L15" s="1896"/>
      <c r="M15" s="1896"/>
      <c r="N15" s="1896"/>
    </row>
    <row r="16" spans="1:14" ht="16.5" hidden="1" customHeight="1">
      <c r="A16" s="2089">
        <v>2019</v>
      </c>
      <c r="B16" s="1980"/>
      <c r="C16" s="1896"/>
      <c r="D16" s="1896"/>
      <c r="E16" s="1896"/>
      <c r="F16" s="2083"/>
      <c r="G16" s="1896"/>
      <c r="H16" s="1896"/>
      <c r="I16" s="1896"/>
      <c r="J16" s="2083"/>
      <c r="K16" s="1896"/>
      <c r="L16" s="1896"/>
      <c r="M16" s="1896"/>
      <c r="N16" s="1896"/>
    </row>
    <row r="17" spans="1:16" ht="21" customHeight="1">
      <c r="A17" s="2089">
        <v>2020</v>
      </c>
      <c r="B17" s="1980"/>
      <c r="C17" s="1896">
        <v>95845541.989860445</v>
      </c>
      <c r="D17" s="1896">
        <v>12387291.417549569</v>
      </c>
      <c r="E17" s="1896">
        <v>13505455.781372812</v>
      </c>
      <c r="F17" s="2083">
        <v>2685253.8363256603</v>
      </c>
      <c r="G17" s="1896">
        <v>1247940.6627449999</v>
      </c>
      <c r="H17" s="1896">
        <v>64792230.700172424</v>
      </c>
      <c r="I17" s="1896">
        <v>9395499.1749671213</v>
      </c>
      <c r="J17" s="2083">
        <v>796472.69093497994</v>
      </c>
      <c r="K17" s="1896">
        <v>881808.92438500014</v>
      </c>
      <c r="L17" s="1896">
        <v>1469796.362</v>
      </c>
      <c r="M17" s="1896">
        <v>13986298.233731102</v>
      </c>
      <c r="N17" s="1896">
        <v>216993589.77404413</v>
      </c>
    </row>
    <row r="18" spans="1:16" ht="16.5" customHeight="1">
      <c r="A18" s="2089">
        <v>2021</v>
      </c>
      <c r="B18" s="1980"/>
      <c r="C18" s="1896">
        <v>206932062.40157521</v>
      </c>
      <c r="D18" s="1896">
        <v>22505465.034025073</v>
      </c>
      <c r="E18" s="1896">
        <v>23354491.45208</v>
      </c>
      <c r="F18" s="2083">
        <v>5112823.58776558</v>
      </c>
      <c r="G18" s="1896">
        <v>1984024.1369445003</v>
      </c>
      <c r="H18" s="1896">
        <v>113342955.29856345</v>
      </c>
      <c r="I18" s="1896">
        <v>16753528.597211529</v>
      </c>
      <c r="J18" s="2083">
        <v>2518650.7849335</v>
      </c>
      <c r="K18" s="1896">
        <v>3372642.9391922504</v>
      </c>
      <c r="L18" s="1896">
        <v>6246134.1707610302</v>
      </c>
      <c r="M18" s="1896">
        <v>41871511.342352867</v>
      </c>
      <c r="N18" s="1896">
        <v>443994289.74540502</v>
      </c>
    </row>
    <row r="19" spans="1:16" ht="16.5" customHeight="1">
      <c r="A19" s="2089">
        <v>2022</v>
      </c>
      <c r="B19" s="1980"/>
      <c r="C19" s="1896">
        <v>469695493.62897837</v>
      </c>
      <c r="D19" s="1896">
        <v>57618907.490186676</v>
      </c>
      <c r="E19" s="1896">
        <v>36409433.306460582</v>
      </c>
      <c r="F19" s="2083">
        <v>15297484.235590149</v>
      </c>
      <c r="G19" s="1896">
        <v>4181543.5570696797</v>
      </c>
      <c r="H19" s="1896">
        <v>95402430.728153393</v>
      </c>
      <c r="I19" s="1896">
        <v>22729376.897553682</v>
      </c>
      <c r="J19" s="2083">
        <v>2587530.1345593003</v>
      </c>
      <c r="K19" s="1896">
        <v>2306920.9361455897</v>
      </c>
      <c r="L19" s="1896">
        <v>5358979.2299181893</v>
      </c>
      <c r="M19" s="1896">
        <v>42246443.236680374</v>
      </c>
      <c r="N19" s="1896">
        <v>753834543.38129604</v>
      </c>
    </row>
    <row r="20" spans="1:16" ht="16.5" customHeight="1">
      <c r="A20" s="2089">
        <v>2023</v>
      </c>
      <c r="B20" s="1980"/>
      <c r="C20" s="1896">
        <v>517144124.99138343</v>
      </c>
      <c r="D20" s="1896">
        <v>71643492.374954179</v>
      </c>
      <c r="E20" s="1896">
        <v>66951962.142273098</v>
      </c>
      <c r="F20" s="2083">
        <v>30301636.444773261</v>
      </c>
      <c r="G20" s="1896">
        <v>5798983.9034489999</v>
      </c>
      <c r="H20" s="1896">
        <v>80524349.004949853</v>
      </c>
      <c r="I20" s="1896">
        <v>26218895.759767033</v>
      </c>
      <c r="J20" s="2083">
        <v>2228876.5375529998</v>
      </c>
      <c r="K20" s="1896">
        <v>2160155.4161075698</v>
      </c>
      <c r="L20" s="1896">
        <v>5106809.1438325001</v>
      </c>
      <c r="M20" s="1896">
        <v>67593708.269656539</v>
      </c>
      <c r="N20" s="1896">
        <v>875672993.98869944</v>
      </c>
    </row>
    <row r="21" spans="1:16" ht="16.5" customHeight="1">
      <c r="A21" s="2089">
        <v>2024</v>
      </c>
      <c r="B21" s="1980"/>
      <c r="C21" s="1896">
        <v>540057616.98995006</v>
      </c>
      <c r="D21" s="1896">
        <v>71209831.885000005</v>
      </c>
      <c r="E21" s="1896">
        <v>66031442.365000002</v>
      </c>
      <c r="F21" s="2083">
        <v>38932536.3336</v>
      </c>
      <c r="G21" s="1896">
        <v>6309293.7759000007</v>
      </c>
      <c r="H21" s="1896">
        <v>121350142.80010003</v>
      </c>
      <c r="I21" s="1896">
        <v>25597574.116999999</v>
      </c>
      <c r="J21" s="2083">
        <v>1743393.4890000001</v>
      </c>
      <c r="K21" s="1895">
        <v>1753604.3980000003</v>
      </c>
      <c r="L21" s="1896">
        <v>5312596.7525999993</v>
      </c>
      <c r="M21" s="1896">
        <v>56138955.216850013</v>
      </c>
      <c r="N21" s="1896">
        <v>934436987.023</v>
      </c>
    </row>
    <row r="22" spans="1:16" ht="16.5" customHeight="1">
      <c r="A22" s="2113">
        <v>2025</v>
      </c>
      <c r="B22" s="2114"/>
      <c r="C22" s="2084">
        <f>ROUND(C26,0)+ROUND(C27,0)+ROUND(C28,0)+ROUND(C29,0)</f>
        <v>573728216</v>
      </c>
      <c r="D22" s="2084">
        <f t="shared" ref="D22:N22" si="0">ROUND(D26,0)+ROUND(D27,0)+ROUND(D28,0)+ROUND(D29,0)</f>
        <v>72515508</v>
      </c>
      <c r="E22" s="2084">
        <f t="shared" si="0"/>
        <v>66682198</v>
      </c>
      <c r="F22" s="2085">
        <f t="shared" si="0"/>
        <v>63669482</v>
      </c>
      <c r="G22" s="2084">
        <f t="shared" si="0"/>
        <v>11478620</v>
      </c>
      <c r="H22" s="2084">
        <f t="shared" si="0"/>
        <v>172494283</v>
      </c>
      <c r="I22" s="2084">
        <f t="shared" si="0"/>
        <v>26453714</v>
      </c>
      <c r="J22" s="2085">
        <f t="shared" si="0"/>
        <v>1830875</v>
      </c>
      <c r="K22" s="2084">
        <f t="shared" si="0"/>
        <v>1598789</v>
      </c>
      <c r="L22" s="2084">
        <f t="shared" si="0"/>
        <v>5755659</v>
      </c>
      <c r="M22" s="2084">
        <f t="shared" si="0"/>
        <v>58969548</v>
      </c>
      <c r="N22" s="2084">
        <f t="shared" si="0"/>
        <v>1055176892</v>
      </c>
      <c r="O22" s="1979">
        <f t="shared" ref="O22:O23" si="1">ROUND(N22,0)-ROUND(M22,0)-ROUND(L22,0)-ROUND(K22,0)-ROUND(J22,0)-ROUND(I22,0)-ROUND(H22,0)-ROUND(G22,0)-ROUND(F22,0)-ROUND(E22,0)-ROUND(D22,0)-ROUND(C22,0)</f>
        <v>0</v>
      </c>
    </row>
    <row r="23" spans="1:16" ht="21" customHeight="1">
      <c r="A23" s="2089">
        <v>2024</v>
      </c>
      <c r="B23" s="1980" t="s">
        <v>243</v>
      </c>
      <c r="C23" s="1896">
        <v>136994421.05269</v>
      </c>
      <c r="D23" s="1896">
        <v>14910388.523</v>
      </c>
      <c r="E23" s="1896">
        <v>10549713.467</v>
      </c>
      <c r="F23" s="2083">
        <v>9090892.1105999984</v>
      </c>
      <c r="G23" s="1896">
        <v>1224972.7119999998</v>
      </c>
      <c r="H23" s="1896">
        <v>30017282.537099998</v>
      </c>
      <c r="I23" s="1896">
        <v>5586898.6150000002</v>
      </c>
      <c r="J23" s="2083">
        <v>352215.05800000002</v>
      </c>
      <c r="K23" s="1896">
        <v>354540.35699999996</v>
      </c>
      <c r="L23" s="1896">
        <v>1208522.2445999999</v>
      </c>
      <c r="M23" s="1896">
        <v>11744010.39901001</v>
      </c>
      <c r="N23" s="1896">
        <v>222033856.87599999</v>
      </c>
      <c r="O23" s="1979">
        <f t="shared" si="1"/>
        <v>0</v>
      </c>
    </row>
    <row r="24" spans="1:16" ht="15" customHeight="1">
      <c r="A24" s="2089"/>
      <c r="B24" s="1980" t="s">
        <v>240</v>
      </c>
      <c r="C24" s="1896">
        <v>131171844.16600001</v>
      </c>
      <c r="D24" s="1896">
        <v>16764763.471000001</v>
      </c>
      <c r="E24" s="1896">
        <v>9383377.3790000007</v>
      </c>
      <c r="F24" s="2457">
        <v>9286005.5769999996</v>
      </c>
      <c r="G24" s="1896">
        <v>1094505.3930000002</v>
      </c>
      <c r="H24" s="1896">
        <v>32796735.362999998</v>
      </c>
      <c r="I24" s="1896">
        <v>4483360.1519999998</v>
      </c>
      <c r="J24" s="2457">
        <v>290233.99400000006</v>
      </c>
      <c r="K24" s="1896">
        <v>262199.49100000004</v>
      </c>
      <c r="L24" s="1896">
        <v>996368.35100000002</v>
      </c>
      <c r="M24" s="1895">
        <v>10621019.675000001</v>
      </c>
      <c r="N24" s="1896">
        <v>217150410.912</v>
      </c>
      <c r="O24" s="1979">
        <v>0</v>
      </c>
    </row>
    <row r="25" spans="1:16" ht="15" customHeight="1">
      <c r="A25" s="2089"/>
      <c r="B25" s="1980" t="s">
        <v>241</v>
      </c>
      <c r="C25" s="1896">
        <v>146158056.18108001</v>
      </c>
      <c r="D25" s="1896">
        <v>15092941.571999999</v>
      </c>
      <c r="E25" s="1895">
        <v>14411521.964</v>
      </c>
      <c r="F25" s="2457">
        <v>11083179.192</v>
      </c>
      <c r="G25" s="1895">
        <v>1804592.4669000001</v>
      </c>
      <c r="H25" s="1895">
        <v>34736113.566000007</v>
      </c>
      <c r="I25" s="1895">
        <v>6946180.2709999997</v>
      </c>
      <c r="J25" s="2457">
        <v>525063.33799999999</v>
      </c>
      <c r="K25" s="1896">
        <v>507196.95400000009</v>
      </c>
      <c r="L25" s="1896">
        <v>1533465.5549999999</v>
      </c>
      <c r="M25" s="1895">
        <v>14651974.544019978</v>
      </c>
      <c r="N25" s="1896">
        <v>247450286.30400002</v>
      </c>
      <c r="O25" s="1979">
        <v>0</v>
      </c>
    </row>
    <row r="26" spans="1:16" ht="21" customHeight="1">
      <c r="A26" s="2089">
        <v>2025</v>
      </c>
      <c r="B26" s="1980" t="s">
        <v>242</v>
      </c>
      <c r="C26" s="1896">
        <v>124740332.65530002</v>
      </c>
      <c r="D26" s="1896">
        <v>18895853.296</v>
      </c>
      <c r="E26" s="1896">
        <v>15375861.591000002</v>
      </c>
      <c r="F26" s="2083">
        <v>14653741.381000001</v>
      </c>
      <c r="G26" s="1895">
        <v>2418160.0360000003</v>
      </c>
      <c r="H26" s="1895">
        <v>40866314.557000004</v>
      </c>
      <c r="I26" s="1896">
        <v>6272833.5049999999</v>
      </c>
      <c r="J26" s="2457">
        <v>392040.37400000007</v>
      </c>
      <c r="K26" s="1895">
        <v>373937.56999999995</v>
      </c>
      <c r="L26" s="1895">
        <v>1242365.5989999999</v>
      </c>
      <c r="M26" s="1896">
        <v>14243517.279700007</v>
      </c>
      <c r="N26" s="1895">
        <v>239474958.64400002</v>
      </c>
      <c r="O26" s="1979">
        <v>0</v>
      </c>
    </row>
    <row r="27" spans="1:16" ht="15" customHeight="1">
      <c r="A27" s="2089"/>
      <c r="B27" s="1980" t="s">
        <v>243</v>
      </c>
      <c r="C27" s="1896">
        <v>141407533</v>
      </c>
      <c r="D27" s="1896">
        <v>16772243</v>
      </c>
      <c r="E27" s="1896">
        <v>14643018</v>
      </c>
      <c r="F27" s="2083">
        <v>14324472</v>
      </c>
      <c r="G27" s="1896">
        <v>2629806</v>
      </c>
      <c r="H27" s="1896">
        <v>47590121</v>
      </c>
      <c r="I27" s="1896">
        <v>6770847</v>
      </c>
      <c r="J27" s="2083">
        <v>437797</v>
      </c>
      <c r="K27" s="1896">
        <v>383623</v>
      </c>
      <c r="L27" s="1896">
        <v>1323818</v>
      </c>
      <c r="M27" s="1896">
        <v>14983354</v>
      </c>
      <c r="N27" s="1896">
        <v>261266632</v>
      </c>
      <c r="O27" s="1979">
        <v>0</v>
      </c>
    </row>
    <row r="28" spans="1:16" ht="15" customHeight="1">
      <c r="A28" s="2089"/>
      <c r="B28" s="1980" t="s">
        <v>240</v>
      </c>
      <c r="C28" s="1896">
        <f>ROUND(C33,0)+ROUND(C34,0)+ROUND(C35,0)</f>
        <v>131390350</v>
      </c>
      <c r="D28" s="1896">
        <f t="shared" ref="D28:N28" si="2">ROUND(D33,0)+ROUND(D34,0)+ROUND(D35,0)</f>
        <v>19611576</v>
      </c>
      <c r="E28" s="1896">
        <f t="shared" si="2"/>
        <v>13938247</v>
      </c>
      <c r="F28" s="2083">
        <f t="shared" si="2"/>
        <v>17549558</v>
      </c>
      <c r="G28" s="1896">
        <f t="shared" si="2"/>
        <v>2743949</v>
      </c>
      <c r="H28" s="1896">
        <f t="shared" si="2"/>
        <v>45856945</v>
      </c>
      <c r="I28" s="1896">
        <f t="shared" si="2"/>
        <v>5348639</v>
      </c>
      <c r="J28" s="2083">
        <f t="shared" si="2"/>
        <v>345304</v>
      </c>
      <c r="K28" s="1896">
        <f t="shared" si="2"/>
        <v>231217</v>
      </c>
      <c r="L28" s="1896">
        <f t="shared" si="2"/>
        <v>1108636</v>
      </c>
      <c r="M28" s="1896">
        <f t="shared" si="2"/>
        <v>11887339</v>
      </c>
      <c r="N28" s="1896">
        <f t="shared" si="2"/>
        <v>250011760</v>
      </c>
      <c r="O28" s="1979">
        <f t="shared" ref="O28" si="3">ROUND(N28,0)-ROUND(M28,0)-ROUND(L28,0)-ROUND(K28,0)-ROUND(J28,0)-ROUND(I28,0)-ROUND(H28,0)-ROUND(G28,0)-ROUND(F28,0)-ROUND(E28,0)-ROUND(D28,0)-ROUND(C28,0)</f>
        <v>0</v>
      </c>
    </row>
    <row r="29" spans="1:16" ht="15" customHeight="1">
      <c r="A29" s="2089"/>
      <c r="B29" s="1980" t="s">
        <v>241</v>
      </c>
      <c r="C29" s="1896">
        <f>ROUND(C38,0)+ROUND(C37,0)+ROUND(C36,0)</f>
        <v>176190000</v>
      </c>
      <c r="D29" s="1896">
        <f t="shared" ref="D29:N29" si="4">ROUND(D38,0)+ROUND(D37,0)+ROUND(D36,0)</f>
        <v>17235836</v>
      </c>
      <c r="E29" s="1896">
        <f t="shared" si="4"/>
        <v>22725071</v>
      </c>
      <c r="F29" s="2083">
        <f t="shared" si="4"/>
        <v>17141711</v>
      </c>
      <c r="G29" s="1896">
        <f t="shared" si="4"/>
        <v>3686705</v>
      </c>
      <c r="H29" s="1896">
        <f t="shared" si="4"/>
        <v>38180902</v>
      </c>
      <c r="I29" s="1896">
        <f t="shared" si="4"/>
        <v>8061394</v>
      </c>
      <c r="J29" s="2083">
        <f t="shared" si="4"/>
        <v>655734</v>
      </c>
      <c r="K29" s="1896">
        <f t="shared" si="4"/>
        <v>610011</v>
      </c>
      <c r="L29" s="1896">
        <f t="shared" si="4"/>
        <v>2080839</v>
      </c>
      <c r="M29" s="1896">
        <f t="shared" si="4"/>
        <v>17855338</v>
      </c>
      <c r="N29" s="1896">
        <f t="shared" si="4"/>
        <v>304423541</v>
      </c>
      <c r="O29" s="1979">
        <f t="shared" ref="O29" si="5">ROUND(N29,0)-ROUND(M29,0)-ROUND(L29,0)-ROUND(K29,0)-ROUND(J29,0)-ROUND(I29,0)-ROUND(H29,0)-ROUND(G29,0)-ROUND(F29,0)-ROUND(E29,0)-ROUND(D29,0)-ROUND(C29,0)</f>
        <v>0</v>
      </c>
    </row>
    <row r="30" spans="1:16" ht="21" customHeight="1">
      <c r="A30" s="2113">
        <v>2026</v>
      </c>
      <c r="B30" s="2114" t="s">
        <v>242</v>
      </c>
      <c r="C30" s="2084">
        <f>ROUND(C39,0)+ROUND(C40,0)+ROUND(C41,0)</f>
        <v>100194376</v>
      </c>
      <c r="D30" s="2084">
        <f t="shared" ref="D30:N30" si="6">ROUND(D39,0)+ROUND(D40,0)+ROUND(D41,0)</f>
        <v>12553214</v>
      </c>
      <c r="E30" s="2084">
        <f t="shared" si="6"/>
        <v>14290924</v>
      </c>
      <c r="F30" s="2085">
        <f t="shared" si="6"/>
        <v>13697288</v>
      </c>
      <c r="G30" s="2084">
        <f t="shared" si="6"/>
        <v>2096184</v>
      </c>
      <c r="H30" s="2084">
        <f t="shared" si="6"/>
        <v>24138777</v>
      </c>
      <c r="I30" s="2084">
        <f t="shared" si="6"/>
        <v>5428327</v>
      </c>
      <c r="J30" s="2085">
        <f t="shared" si="6"/>
        <v>355745</v>
      </c>
      <c r="K30" s="2084">
        <f t="shared" si="6"/>
        <v>401938</v>
      </c>
      <c r="L30" s="2084">
        <f t="shared" si="6"/>
        <v>1277167</v>
      </c>
      <c r="M30" s="2084">
        <f t="shared" si="6"/>
        <v>10926127</v>
      </c>
      <c r="N30" s="2084">
        <f t="shared" si="6"/>
        <v>185360067</v>
      </c>
      <c r="O30" s="2432">
        <f t="shared" ref="O30" si="7">ROUND(N30,0)-ROUND(M30,0)-ROUND(L30,0)-ROUND(K30,0)-ROUND(J30,0)-ROUND(I30,0)-ROUND(H30,0)-ROUND(G30,0)-ROUND(F30,0)-ROUND(E30,0)-ROUND(D30,0)-ROUND(C30,0)</f>
        <v>0</v>
      </c>
    </row>
    <row r="31" spans="1:16" ht="21" customHeight="1">
      <c r="A31" s="2089">
        <v>2025</v>
      </c>
      <c r="B31" s="1978" t="s">
        <v>427</v>
      </c>
      <c r="C31" s="1896">
        <v>48681819.181990005</v>
      </c>
      <c r="D31" s="1896">
        <v>5148664.0719999997</v>
      </c>
      <c r="E31" s="1896">
        <v>4895812.5520000001</v>
      </c>
      <c r="F31" s="1896">
        <v>4807568.0940000005</v>
      </c>
      <c r="G31" s="1896">
        <v>885374.1100000001</v>
      </c>
      <c r="H31" s="1896">
        <v>16070728.705</v>
      </c>
      <c r="I31" s="1896">
        <v>1987591.7939999998</v>
      </c>
      <c r="J31" s="1896">
        <v>157203.18700000001</v>
      </c>
      <c r="K31" s="1896">
        <v>95628.615000000005</v>
      </c>
      <c r="L31" s="1896">
        <v>444760.42399999988</v>
      </c>
      <c r="M31" s="1896">
        <v>4710375.4470099928</v>
      </c>
      <c r="N31" s="1896">
        <v>87885526.481999993</v>
      </c>
      <c r="O31" s="1979">
        <v>0</v>
      </c>
      <c r="P31" s="1979">
        <v>0</v>
      </c>
    </row>
    <row r="32" spans="1:16" ht="15.75" customHeight="1">
      <c r="A32" s="2089"/>
      <c r="B32" s="1978" t="s">
        <v>428</v>
      </c>
      <c r="C32" s="1896">
        <f>'[79]POS by country'!$I$187</f>
        <v>45291156.691439994</v>
      </c>
      <c r="D32" s="1896">
        <f>'[79]POS by country'!$I$184</f>
        <v>5840648.1289999988</v>
      </c>
      <c r="E32" s="1896">
        <f>'[79]POS by country'!$I$188</f>
        <v>4054998.699</v>
      </c>
      <c r="F32" s="1895">
        <f>'[79]POS by country'!$I$186-0.2</f>
        <v>4215813.4129999997</v>
      </c>
      <c r="G32" s="1896">
        <f>'[79]POS by country'!$I$185</f>
        <v>765520.87199999997</v>
      </c>
      <c r="H32" s="1896">
        <f>'[79]POS by country'!$I$136</f>
        <v>15622653.052639998</v>
      </c>
      <c r="I32" s="1896">
        <f>'[79]POS by country'!$I$63</f>
        <v>1759919.0258199996</v>
      </c>
      <c r="J32" s="1896">
        <f>'[79]POS by country'!$I$26</f>
        <v>85015.024000000005</v>
      </c>
      <c r="K32" s="1896">
        <f>'[79]POS by country'!$I$27</f>
        <v>86091.973000000042</v>
      </c>
      <c r="L32" s="1896">
        <f>'[79]POS by country'!$I$205</f>
        <v>354656.88300000003</v>
      </c>
      <c r="M32" s="1895">
        <f>N32-(SUM(C32:L32))-0.2</f>
        <v>3633282.4419999896</v>
      </c>
      <c r="N32" s="1896">
        <f>'[79]POS by country'!$I$266</f>
        <v>81709756.404899999</v>
      </c>
      <c r="O32" s="1979">
        <f t="shared" ref="O32:O36" si="8">ROUND(N32,0)-ROUND(M32,0)-ROUND(L32,0)-ROUND(K32,0)-ROUND(J32,0)-ROUND(I32,0)-ROUND(H32,0)-ROUND(G32,0)-ROUND(F32,0)-ROUND(E32,0)-ROUND(D32,0)-ROUND(C32,0)</f>
        <v>0</v>
      </c>
      <c r="P32" s="1979">
        <f>N32-'44'!H32</f>
        <v>0</v>
      </c>
    </row>
    <row r="33" spans="1:16" ht="15.75" customHeight="1">
      <c r="A33" s="2089"/>
      <c r="B33" s="1978" t="s">
        <v>429</v>
      </c>
      <c r="C33" s="1896">
        <f>'[80]POS by country'!$I$187</f>
        <v>42642260.629999995</v>
      </c>
      <c r="D33" s="1896">
        <f>'[80]POS by country'!$I$184</f>
        <v>5841615.8880000003</v>
      </c>
      <c r="E33" s="1896">
        <f>'[80]POS by country'!$I$188</f>
        <v>4374037.3270000005</v>
      </c>
      <c r="F33" s="1896">
        <f>'[80]POS by country'!$I$186</f>
        <v>4875959.4349999996</v>
      </c>
      <c r="G33" s="1896">
        <f>'[80]POS by country'!$I$185</f>
        <v>766137.55099999998</v>
      </c>
      <c r="H33" s="1896">
        <f>'[80]POS by country'!$I$136</f>
        <v>14071934.754000001</v>
      </c>
      <c r="I33" s="1896">
        <f>'[80]POS by country'!$I$63</f>
        <v>1416154.3969999999</v>
      </c>
      <c r="J33" s="1896">
        <f>'[80]POS by country'!$I$26</f>
        <v>111432.727</v>
      </c>
      <c r="K33" s="1896">
        <f>'[80]POS by country'!$I$27</f>
        <v>59476.891999999993</v>
      </c>
      <c r="L33" s="1896">
        <f>'[80]POS by country'!$I$205</f>
        <v>344716.245</v>
      </c>
      <c r="M33" s="1896">
        <f t="shared" ref="M33:M38" si="9">N33-(SUM(C33:L33))</f>
        <v>3101674.7060000002</v>
      </c>
      <c r="N33" s="1896">
        <f>'[80]POS by country'!$I$266</f>
        <v>77605400.552000001</v>
      </c>
      <c r="O33" s="1979">
        <f t="shared" si="8"/>
        <v>0</v>
      </c>
      <c r="P33" s="1979">
        <f>N33-'44'!H33</f>
        <v>0</v>
      </c>
    </row>
    <row r="34" spans="1:16" ht="15.75" customHeight="1">
      <c r="A34" s="2089"/>
      <c r="B34" s="1978" t="s">
        <v>430</v>
      </c>
      <c r="C34" s="1896">
        <f>'[81]POS by country'!$I$187</f>
        <v>46827567.741999999</v>
      </c>
      <c r="D34" s="1896">
        <f>'[81]POS by country'!$I$184</f>
        <v>7255306.7520000003</v>
      </c>
      <c r="E34" s="1896">
        <f>'[81]POS by country'!$I$188</f>
        <v>4242347.7419999996</v>
      </c>
      <c r="F34" s="1896">
        <f>'[81]POS by country'!$I$186</f>
        <v>8583536.1140000001</v>
      </c>
      <c r="G34" s="1896">
        <f>'[81]POS by country'!$I$185</f>
        <v>1100927.6329999999</v>
      </c>
      <c r="H34" s="1896">
        <f>'[81]POS by country'!$I$136</f>
        <v>17099466.908</v>
      </c>
      <c r="I34" s="1896">
        <f>'[81]POS by country'!$I$63</f>
        <v>1998123.145</v>
      </c>
      <c r="J34" s="1896">
        <f>'[81]POS by country'!$I$26</f>
        <v>87467.34199999999</v>
      </c>
      <c r="K34" s="1896">
        <f>'[81]POS by country'!$I$27</f>
        <v>73067.975000000006</v>
      </c>
      <c r="L34" s="1895">
        <f>'[81]POS by country'!$I$205-0.2</f>
        <v>334612.35200000001</v>
      </c>
      <c r="M34" s="1896">
        <f t="shared" si="9"/>
        <v>4885021.3550000191</v>
      </c>
      <c r="N34" s="1896">
        <f>'[81]POS by country'!$I$266</f>
        <v>92487445.060000002</v>
      </c>
      <c r="O34" s="1979">
        <f t="shared" si="8"/>
        <v>0</v>
      </c>
      <c r="P34" s="1979">
        <f>N34-'44'!H34</f>
        <v>-1.0000020265579224E-3</v>
      </c>
    </row>
    <row r="35" spans="1:16" ht="15.75" customHeight="1">
      <c r="A35" s="2089"/>
      <c r="B35" s="1978" t="s">
        <v>431</v>
      </c>
      <c r="C35" s="1896">
        <f>'[82]POS by country'!$I$187</f>
        <v>41920521.270999998</v>
      </c>
      <c r="D35" s="1896">
        <f>'[82]POS by country'!$I$184</f>
        <v>6514653.449</v>
      </c>
      <c r="E35" s="1896">
        <f>'[82]POS by country'!$I$188</f>
        <v>5321862.0829999996</v>
      </c>
      <c r="F35" s="1896">
        <f>'[82]POS by country'!$I$186</f>
        <v>4090062.5539999995</v>
      </c>
      <c r="G35" s="1895">
        <f>'[82]POS by country'!$I$185-0.2</f>
        <v>876883.41900000011</v>
      </c>
      <c r="H35" s="1896">
        <f>'[82]POS by country'!$I$136</f>
        <v>14685542.685000002</v>
      </c>
      <c r="I35" s="1896">
        <f>'[82]POS by country'!$I$63</f>
        <v>1934361.5750000002</v>
      </c>
      <c r="J35" s="1896">
        <f>'[82]POS by country'!$I$26</f>
        <v>146403.54399999999</v>
      </c>
      <c r="K35" s="1896">
        <f>'[82]POS by country'!$I$27</f>
        <v>98671.781999999977</v>
      </c>
      <c r="L35" s="1896">
        <f>'[82]POS by country'!$I$205</f>
        <v>429308.223</v>
      </c>
      <c r="M35" s="1896">
        <f t="shared" si="9"/>
        <v>3900643.1780000031</v>
      </c>
      <c r="N35" s="1896">
        <f>'[82]POS by country'!$I$266</f>
        <v>79918913.763000011</v>
      </c>
      <c r="O35" s="1979">
        <f t="shared" si="8"/>
        <v>0</v>
      </c>
      <c r="P35" s="1979">
        <f>N35-'44'!H35</f>
        <v>0</v>
      </c>
    </row>
    <row r="36" spans="1:16" ht="15.75" customHeight="1">
      <c r="A36" s="2089"/>
      <c r="B36" s="1978" t="s">
        <v>420</v>
      </c>
      <c r="C36" s="1896">
        <f>'[83]POS by country'!$I$187</f>
        <v>46626444.491300002</v>
      </c>
      <c r="D36" s="1896">
        <f>'[83]POS by country'!$I$184</f>
        <v>4990096.68</v>
      </c>
      <c r="E36" s="1896">
        <f>'[83]POS by country'!$I$188</f>
        <v>6078894.0659999996</v>
      </c>
      <c r="F36" s="1896">
        <f>'[83]POS by country'!$I$186</f>
        <v>4960087.7369999997</v>
      </c>
      <c r="G36" s="1896">
        <f>'[83]POS by country'!$I$185</f>
        <v>947108.96099999989</v>
      </c>
      <c r="H36" s="1896">
        <f>'[83]POS by country'!$I$136</f>
        <v>14475746.208000001</v>
      </c>
      <c r="I36" s="1896">
        <f>'[83]POS by country'!$I$63</f>
        <v>2254968.2039999999</v>
      </c>
      <c r="J36" s="1896">
        <f>'[83]POS by country'!$I$26</f>
        <v>209158.23</v>
      </c>
      <c r="K36" s="1896">
        <f>'[83]POS by country'!$I$27</f>
        <v>157250.97199999998</v>
      </c>
      <c r="L36" s="1896">
        <f>'[83]POS by country'!$I$205</f>
        <v>576486.65800000005</v>
      </c>
      <c r="M36" s="1895">
        <f>N36-(SUM(C36:L36))+0.2</f>
        <v>4711744.5646999897</v>
      </c>
      <c r="N36" s="1895">
        <f>'[83]POS by country'!$I$266+0.3</f>
        <v>85987986.571999997</v>
      </c>
      <c r="O36" s="1979">
        <f t="shared" si="8"/>
        <v>0</v>
      </c>
      <c r="P36" s="1979">
        <f>N36-'44'!H36</f>
        <v>-2.0000189542770386E-3</v>
      </c>
    </row>
    <row r="37" spans="1:16" ht="15.75" customHeight="1">
      <c r="A37" s="2089"/>
      <c r="B37" s="1978" t="s">
        <v>421</v>
      </c>
      <c r="C37" s="1896">
        <f>'[84]POS by country'!$I$187</f>
        <v>74537317.548449993</v>
      </c>
      <c r="D37" s="1896">
        <f>'[84]POS by country'!$I$184</f>
        <v>6321566.6629999997</v>
      </c>
      <c r="E37" s="1896">
        <f>'[84]POS by country'!$I$188</f>
        <v>7398651.7259999998</v>
      </c>
      <c r="F37" s="1896">
        <f>'[84]POS by country'!$I$186</f>
        <v>6768807.6349999998</v>
      </c>
      <c r="G37" s="1896">
        <f>'[84]POS by country'!$I$185</f>
        <v>1319488.622</v>
      </c>
      <c r="H37" s="1896">
        <f>'[84]POS by country'!$I$136</f>
        <v>13533175.043999996</v>
      </c>
      <c r="I37" s="1896">
        <f>'[84]POS by country'!$I$63</f>
        <v>3031943.2460000012</v>
      </c>
      <c r="J37" s="1896">
        <f>'[84]POS by country'!$I$26</f>
        <v>263327.212</v>
      </c>
      <c r="K37" s="1896">
        <f>'[84]POS by country'!$I$27</f>
        <v>230722.22399999999</v>
      </c>
      <c r="L37" s="1896">
        <f>'[84]POS by country'!$I$205</f>
        <v>774686.38100000005</v>
      </c>
      <c r="M37" s="1896">
        <f t="shared" si="9"/>
        <v>6891705.3495500088</v>
      </c>
      <c r="N37" s="1895">
        <f>'[84]POS by country'!$I$266+1</f>
        <v>121071391.65100001</v>
      </c>
      <c r="O37" s="1979">
        <f t="shared" ref="O37" si="10">ROUND(N37,0)-ROUND(M37,0)-ROUND(L37,0)-ROUND(K37,0)-ROUND(J37,0)-ROUND(I37,0)-ROUND(H37,0)-ROUND(G37,0)-ROUND(F37,0)-ROUND(E37,0)-ROUND(D37,0)-ROUND(C37,0)</f>
        <v>0</v>
      </c>
      <c r="P37" s="1979">
        <f>N37-'44'!H37</f>
        <v>8.0000028014183044E-2</v>
      </c>
    </row>
    <row r="38" spans="1:16" ht="15.75" customHeight="1">
      <c r="A38" s="2089"/>
      <c r="B38" s="1978" t="s">
        <v>422</v>
      </c>
      <c r="C38" s="1896">
        <f>'[85]POS by country'!$I$187</f>
        <v>55026237.721000001</v>
      </c>
      <c r="D38" s="1896">
        <f>'[85]POS by country'!$I$184</f>
        <v>5924172.4749999996</v>
      </c>
      <c r="E38" s="1896">
        <f>'[85]POS by country'!$I$188</f>
        <v>9247525.4019999988</v>
      </c>
      <c r="F38" s="1896">
        <f>'[85]POS by country'!$I$186</f>
        <v>5412815.3090000004</v>
      </c>
      <c r="G38" s="1896">
        <f>'[85]POS by country'!$I$185</f>
        <v>1420106.784</v>
      </c>
      <c r="H38" s="1895">
        <f>'[85]POS by country'!$I$136+0.5</f>
        <v>10171980.693000004</v>
      </c>
      <c r="I38" s="1896">
        <f>'[85]POS by country'!$I$63</f>
        <v>2774483.0659999996</v>
      </c>
      <c r="J38" s="1896">
        <f>'[85]POS by country'!$I$26</f>
        <v>183248.82299999997</v>
      </c>
      <c r="K38" s="1896">
        <f>'[85]POS by country'!$I$27</f>
        <v>222037.99800000008</v>
      </c>
      <c r="L38" s="1896">
        <f>'[85]POS by country'!$I$205</f>
        <v>729665.86800000002</v>
      </c>
      <c r="M38" s="1896">
        <f t="shared" si="9"/>
        <v>6251887.5440000147</v>
      </c>
      <c r="N38" s="1896">
        <f>'[85]POS by country'!$I$266</f>
        <v>97364161.683000013</v>
      </c>
      <c r="O38" s="1979">
        <f t="shared" ref="O38" si="11">ROUND(N38,0)-ROUND(M38,0)-ROUND(L38,0)-ROUND(K38,0)-ROUND(J38,0)-ROUND(I38,0)-ROUND(H38,0)-ROUND(G38,0)-ROUND(F38,0)-ROUND(E38,0)-ROUND(D38,0)-ROUND(C38,0)</f>
        <v>0</v>
      </c>
      <c r="P38" s="1979">
        <f>N38-'44'!H38</f>
        <v>-0.13500000536441803</v>
      </c>
    </row>
    <row r="39" spans="1:16" ht="21" customHeight="1">
      <c r="A39" s="2089">
        <v>2026</v>
      </c>
      <c r="B39" s="1978" t="s">
        <v>423</v>
      </c>
      <c r="C39" s="1895">
        <f>'[86]POS by country'!$I$187-0.5</f>
        <v>45204035.748000003</v>
      </c>
      <c r="D39" s="1896">
        <f>'[86]POS by country'!$I$184</f>
        <v>6140204.4840000002</v>
      </c>
      <c r="E39" s="1896">
        <f>'[86]POS by country'!$I$188</f>
        <v>5699258.5310000004</v>
      </c>
      <c r="F39" s="1896">
        <f>'[86]POS by country'!$I$186</f>
        <v>5485290.324000001</v>
      </c>
      <c r="G39" s="1896">
        <f>'[86]POS by country'!$I$185</f>
        <v>1029795.372</v>
      </c>
      <c r="H39" s="1896">
        <f>'[86]POS by country'!$I$136</f>
        <v>8629922.0789999999</v>
      </c>
      <c r="I39" s="1896">
        <f>'[86]POS by country'!$I$63</f>
        <v>2194935.7909999993</v>
      </c>
      <c r="J39" s="1896">
        <f>'[86]POS by country'!$I$26+0.2</f>
        <v>173449.39800000002</v>
      </c>
      <c r="K39" s="1896">
        <f>'[86]POS by country'!$I$27</f>
        <v>188668.74600000001</v>
      </c>
      <c r="L39" s="1895">
        <f>'[86]POS by country'!$I$205-0.5</f>
        <v>544526.05000000005</v>
      </c>
      <c r="M39" s="1896">
        <f>N39-(SUM(C39:L39))</f>
        <v>5208314.8669999987</v>
      </c>
      <c r="N39" s="1896">
        <f>'[86]POS by country'!$I$266</f>
        <v>80498401.390000001</v>
      </c>
      <c r="O39" s="1979">
        <f t="shared" ref="O39" si="12">ROUND(N39,0)-ROUND(M39,0)-ROUND(L39,0)-ROUND(K39,0)-ROUND(J39,0)-ROUND(I39,0)-ROUND(H39,0)-ROUND(G39,0)-ROUND(F39,0)-ROUND(E39,0)-ROUND(D39,0)-ROUND(C39,0)</f>
        <v>0</v>
      </c>
      <c r="P39" s="1979">
        <f>N39-'44'!H39</f>
        <v>-0.15000000596046448</v>
      </c>
    </row>
    <row r="40" spans="1:16" ht="15.75" customHeight="1">
      <c r="A40" s="2089"/>
      <c r="B40" s="1978" t="s">
        <v>424</v>
      </c>
      <c r="C40" s="1896">
        <f>'[87]POS by country'!$I$187</f>
        <v>42147380.032000005</v>
      </c>
      <c r="D40" s="1896">
        <f>'[87]POS by country'!$I$184</f>
        <v>5243211.5950000007</v>
      </c>
      <c r="E40" s="1896">
        <f>'[87]POS by country'!$I$188</f>
        <v>5833322.5940000005</v>
      </c>
      <c r="F40" s="1895">
        <f>'[87]POS by country'!$I$186-0.1</f>
        <v>5612939.4270000011</v>
      </c>
      <c r="G40" s="1896">
        <f>'[87]POS by country'!$I$185</f>
        <v>826293.78699999989</v>
      </c>
      <c r="H40" s="1896">
        <f>'[87]POS by country'!$I$136</f>
        <v>8826203.2899999991</v>
      </c>
      <c r="I40" s="1896">
        <f>'[87]POS by country'!$I$63</f>
        <v>2530402.0010000002</v>
      </c>
      <c r="J40" s="1896">
        <f>'[87]POS by country'!$I$26+0.2</f>
        <v>153564.90100000001</v>
      </c>
      <c r="K40" s="1896">
        <f>'[87]POS by country'!$I$27</f>
        <v>181579.35499999998</v>
      </c>
      <c r="L40" s="1896">
        <f>'[87]POS by country'!$I$205</f>
        <v>602036.10800000012</v>
      </c>
      <c r="M40" s="1896">
        <f>N40-(SUM(C40:L40))</f>
        <v>4580270.1680000126</v>
      </c>
      <c r="N40" s="1896">
        <f>'[87]POS by country'!$I$266</f>
        <v>76537203.258000001</v>
      </c>
      <c r="O40" s="1979">
        <f t="shared" ref="O40" si="13">ROUND(N40,0)-ROUND(M40,0)-ROUND(L40,0)-ROUND(K40,0)-ROUND(J40,0)-ROUND(I40,0)-ROUND(H40,0)-ROUND(G40,0)-ROUND(F40,0)-ROUND(E40,0)-ROUND(D40,0)-ROUND(C40,0)</f>
        <v>0</v>
      </c>
      <c r="P40" s="1979">
        <f>N40-'44'!H40</f>
        <v>-0.15600000321865082</v>
      </c>
    </row>
    <row r="41" spans="1:16" ht="15.75" customHeight="1">
      <c r="A41" s="2089"/>
      <c r="B41" s="1978" t="s">
        <v>425</v>
      </c>
      <c r="C41" s="1896">
        <f>'[88]POS by country'!$I$187</f>
        <v>12842959.793</v>
      </c>
      <c r="D41" s="1896">
        <f>'[88]POS by country'!$I$184</f>
        <v>1169797.621</v>
      </c>
      <c r="E41" s="1896">
        <f>'[88]POS by country'!$I$188</f>
        <v>2758342.45</v>
      </c>
      <c r="F41" s="1896">
        <f>'[88]POS by country'!$I$186</f>
        <v>2599059.497</v>
      </c>
      <c r="G41" s="1896">
        <f>'[88]POS by country'!$I$185</f>
        <v>240095.22100000002</v>
      </c>
      <c r="H41" s="1895">
        <f>'[88]POS by country'!$I$136+0.1</f>
        <v>6682651.5539999995</v>
      </c>
      <c r="I41" s="1896">
        <f>'[88]POS by country'!$I$63</f>
        <v>702989.03800000006</v>
      </c>
      <c r="J41" s="1896">
        <f>'[88]POS by country'!$I$26+0.2</f>
        <v>28730.996999999999</v>
      </c>
      <c r="K41" s="1896">
        <f>'[88]POS by country'!$I$27</f>
        <v>31690.243999999999</v>
      </c>
      <c r="L41" s="1896">
        <f>'[88]POS by country'!$I$205</f>
        <v>130605.249</v>
      </c>
      <c r="M41" s="1896">
        <f>N41-(SUM(C41:L41))</f>
        <v>1137541.7740000002</v>
      </c>
      <c r="N41" s="1896">
        <f>'[88]POS by country'!$I$266</f>
        <v>28324463.438000001</v>
      </c>
      <c r="O41" s="1979">
        <f t="shared" ref="O41" si="14">ROUND(N41,0)-ROUND(M41,0)-ROUND(L41,0)-ROUND(K41,0)-ROUND(J41,0)-ROUND(I41,0)-ROUND(H41,0)-ROUND(G41,0)-ROUND(F41,0)-ROUND(E41,0)-ROUND(D41,0)-ROUND(C41,0)</f>
        <v>0</v>
      </c>
      <c r="P41" s="1979">
        <f>N41-'44'!H41</f>
        <v>0</v>
      </c>
    </row>
    <row r="42" spans="1:16" ht="15.75" customHeight="1">
      <c r="A42" s="2089"/>
      <c r="B42" s="1978" t="s">
        <v>426</v>
      </c>
      <c r="C42" s="1896">
        <f>'[89]POS by country'!$I$187</f>
        <v>26108926.856899999</v>
      </c>
      <c r="D42" s="1896">
        <f>'[89]POS by country'!$I$184</f>
        <v>1964513.2899999998</v>
      </c>
      <c r="E42" s="1896">
        <f>'[89]POS by country'!$I$188</f>
        <v>2839999.7220000001</v>
      </c>
      <c r="F42" s="1896">
        <f>'[89]POS by country'!$I$186</f>
        <v>2888806.352</v>
      </c>
      <c r="G42" s="1896">
        <f>'[89]POS by country'!$I$185</f>
        <v>371595.46199999994</v>
      </c>
      <c r="H42" s="1896">
        <f>'[89]POS by country'!$I$136</f>
        <v>5780569.1099999994</v>
      </c>
      <c r="I42" s="1896">
        <f>'[89]POS by country'!$I$63</f>
        <v>413798.46300000011</v>
      </c>
      <c r="J42" s="1896">
        <f>'[89]POS by country'!$I$26+0.2</f>
        <v>22923.958000000002</v>
      </c>
      <c r="K42" s="1896">
        <f>'[89]POS by country'!$I$27</f>
        <v>-9816.8490000000002</v>
      </c>
      <c r="L42" s="1896">
        <f>'[89]POS by country'!$I$205</f>
        <v>3628.3830000000071</v>
      </c>
      <c r="M42" s="1895">
        <f>N42-(SUM(C42:L42))+2</f>
        <v>916722.04609999806</v>
      </c>
      <c r="N42" s="1896">
        <f>'[89]POS by country'!$I$266</f>
        <v>41301664.793999992</v>
      </c>
      <c r="O42" s="1979">
        <f t="shared" ref="O42" si="15">ROUND(N42,0)-ROUND(M42,0)-ROUND(L42,0)-ROUND(K42,0)-ROUND(J42,0)-ROUND(I42,0)-ROUND(H42,0)-ROUND(G42,0)-ROUND(F42,0)-ROUND(E42,0)-ROUND(D42,0)-ROUND(C42,0)</f>
        <v>0</v>
      </c>
      <c r="P42" s="1979">
        <f>N42-'44'!H42</f>
        <v>0</v>
      </c>
    </row>
    <row r="43" spans="1:16" ht="15.75" customHeight="1">
      <c r="A43" s="2089"/>
      <c r="B43" s="1978" t="s">
        <v>427</v>
      </c>
      <c r="C43" s="1896">
        <f>'[90]POS by country'!$I$187</f>
        <v>58496239.116999999</v>
      </c>
      <c r="D43" s="1896">
        <f>'[90]POS by country'!$I$184</f>
        <v>6102218.5979999993</v>
      </c>
      <c r="E43" s="1896">
        <f>'[90]POS by country'!$I$188</f>
        <v>4221825.5539999995</v>
      </c>
      <c r="F43" s="1896">
        <f>'[90]POS by country'!$I$186</f>
        <v>5188940.6789999995</v>
      </c>
      <c r="G43" s="1896">
        <f>'[90]POS by country'!$I$185</f>
        <v>682644.125</v>
      </c>
      <c r="H43" s="1896">
        <f>'[90]POS by country'!$I$136</f>
        <v>7179459.4759999998</v>
      </c>
      <c r="I43" s="1896">
        <f>'[90]POS by country'!$I$63</f>
        <v>1086706.7989999999</v>
      </c>
      <c r="J43" s="1896">
        <f>'[90]POS by country'!$I$26</f>
        <v>61493.423000000003</v>
      </c>
      <c r="K43" s="1896">
        <f>'[90]POS by country'!$I$27</f>
        <v>48203.876000000004</v>
      </c>
      <c r="L43" s="1896">
        <f>'[90]POS by country'!$I$205</f>
        <v>170932.06299999999</v>
      </c>
      <c r="M43" s="1896">
        <f>N43-(SUM(C43:L43))</f>
        <v>2864536.0370000005</v>
      </c>
      <c r="N43" s="1896">
        <f>'[90]POS by country'!$I$266</f>
        <v>86103199.746999979</v>
      </c>
      <c r="O43" s="1979">
        <f t="shared" ref="O43" si="16">ROUND(N43,0)-ROUND(M43,0)-ROUND(L43,0)-ROUND(K43,0)-ROUND(J43,0)-ROUND(I43,0)-ROUND(H43,0)-ROUND(G43,0)-ROUND(F43,0)-ROUND(E43,0)-ROUND(D43,0)-ROUND(C43,0)</f>
        <v>0</v>
      </c>
      <c r="P43" s="1979">
        <f>N43-'44'!H43</f>
        <v>-0.35000002384185791</v>
      </c>
    </row>
    <row r="44" spans="1:16">
      <c r="A44" s="2112"/>
      <c r="B44" s="2143"/>
      <c r="C44" s="2144"/>
      <c r="D44" s="2144"/>
      <c r="E44" s="2144"/>
      <c r="F44" s="2144"/>
      <c r="G44" s="2144"/>
      <c r="H44" s="2144"/>
      <c r="I44" s="2144"/>
      <c r="J44" s="2144"/>
      <c r="K44" s="2144"/>
      <c r="L44" s="2144"/>
      <c r="M44" s="2144"/>
      <c r="N44" s="2145"/>
    </row>
    <row r="45" spans="1:16">
      <c r="A45" s="2111"/>
      <c r="B45" s="2110"/>
      <c r="C45" s="2109"/>
      <c r="D45" s="2109"/>
      <c r="E45" s="2109"/>
      <c r="F45" s="2109"/>
      <c r="G45" s="2109"/>
      <c r="H45" s="2109"/>
      <c r="I45" s="2109"/>
      <c r="J45" s="2109"/>
      <c r="K45" s="2109"/>
      <c r="L45" s="2109"/>
      <c r="M45" s="2109"/>
      <c r="N45" s="2109"/>
    </row>
    <row r="46" spans="1:16">
      <c r="A46" s="2730" t="s">
        <v>1414</v>
      </c>
      <c r="B46" s="2730"/>
      <c r="C46" s="2730"/>
      <c r="D46" s="2730"/>
      <c r="E46" s="2730"/>
      <c r="F46" s="2730"/>
      <c r="G46" s="2730"/>
      <c r="H46" s="2730"/>
      <c r="I46" s="2730"/>
      <c r="J46" s="2730"/>
      <c r="K46" s="2730"/>
      <c r="L46" s="2730"/>
      <c r="M46" s="2730"/>
      <c r="N46" s="2730"/>
    </row>
    <row r="50" spans="9:14">
      <c r="I50" s="2108"/>
      <c r="J50" s="2108"/>
      <c r="K50" s="2108"/>
      <c r="L50" s="2108"/>
      <c r="M50" s="2108"/>
      <c r="N50" s="2108"/>
    </row>
  </sheetData>
  <mergeCells count="2">
    <mergeCell ref="A11:B12"/>
    <mergeCell ref="A46:N46"/>
  </mergeCells>
  <printOptions horizontalCentered="1"/>
  <pageMargins left="0.25" right="0.25" top="0.75" bottom="0.75" header="0.3" footer="0.3"/>
  <pageSetup scale="71"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Q27"/>
  <sheetViews>
    <sheetView zoomScale="90" zoomScaleNormal="90" workbookViewId="0">
      <selection activeCell="B7" sqref="B7"/>
    </sheetView>
  </sheetViews>
  <sheetFormatPr defaultColWidth="9.1796875" defaultRowHeight="14.5"/>
  <cols>
    <col min="1" max="1" width="30.26953125" style="2125" customWidth="1"/>
    <col min="2" max="15" width="9.1796875" style="2125"/>
    <col min="16" max="16" width="30.26953125" style="2125" customWidth="1"/>
    <col min="17" max="16384" width="9.1796875" style="2125"/>
  </cols>
  <sheetData>
    <row r="1" spans="1:17" s="1094" customFormat="1" ht="21.25" customHeight="1">
      <c r="A1" s="1145" t="s">
        <v>1415</v>
      </c>
      <c r="B1" s="1093"/>
      <c r="C1" s="1093"/>
      <c r="D1" s="1093"/>
      <c r="E1" s="1093"/>
      <c r="F1" s="1093"/>
      <c r="G1" s="1093"/>
      <c r="H1" s="1093"/>
      <c r="I1" s="1093"/>
      <c r="J1" s="1093"/>
      <c r="K1" s="1093"/>
      <c r="L1" s="1093"/>
      <c r="M1" s="1093"/>
      <c r="N1" s="1093"/>
      <c r="O1" s="1093"/>
      <c r="P1" s="1145"/>
    </row>
    <row r="2" spans="1:17" s="1094" customFormat="1" ht="21.25" customHeight="1">
      <c r="A2" s="1145" t="s">
        <v>100</v>
      </c>
      <c r="B2" s="1093"/>
      <c r="C2" s="1093"/>
      <c r="D2" s="1093"/>
      <c r="E2" s="1093"/>
      <c r="F2" s="1093"/>
      <c r="G2" s="1093"/>
      <c r="H2" s="1093"/>
      <c r="I2" s="1093"/>
      <c r="J2" s="1093"/>
      <c r="K2" s="1093"/>
      <c r="L2" s="1093"/>
      <c r="M2" s="1093"/>
      <c r="N2" s="1093"/>
      <c r="O2" s="1093"/>
      <c r="P2" s="1145"/>
    </row>
    <row r="3" spans="1:17" s="1094" customFormat="1" ht="21.25" customHeight="1">
      <c r="A3" s="1145" t="s">
        <v>99</v>
      </c>
      <c r="B3" s="1093"/>
      <c r="C3" s="1093"/>
      <c r="D3" s="1093"/>
      <c r="E3" s="1093"/>
      <c r="F3" s="1093"/>
      <c r="G3" s="1093"/>
      <c r="H3" s="1093"/>
      <c r="I3" s="1093"/>
      <c r="J3" s="1093"/>
      <c r="K3" s="1093"/>
      <c r="L3" s="1093"/>
      <c r="M3" s="1093"/>
      <c r="N3" s="1093"/>
      <c r="O3" s="1093"/>
      <c r="P3" s="1145"/>
    </row>
    <row r="5" spans="1:17" ht="15.75" customHeight="1">
      <c r="A5" s="2737" t="s">
        <v>1416</v>
      </c>
      <c r="B5" s="2740" t="s">
        <v>1417</v>
      </c>
      <c r="C5" s="2741"/>
      <c r="D5" s="2741"/>
      <c r="E5" s="2742" t="s">
        <v>1418</v>
      </c>
      <c r="F5" s="2742"/>
      <c r="G5" s="2743"/>
      <c r="H5" s="2740" t="s">
        <v>1419</v>
      </c>
      <c r="I5" s="2741"/>
      <c r="J5" s="2741"/>
      <c r="K5" s="2742" t="s">
        <v>1420</v>
      </c>
      <c r="L5" s="2742"/>
      <c r="M5" s="2743"/>
      <c r="N5" s="2744" t="s">
        <v>1069</v>
      </c>
      <c r="O5" s="2745"/>
      <c r="P5" s="2737" t="s">
        <v>904</v>
      </c>
    </row>
    <row r="6" spans="1:17" ht="15.75" customHeight="1">
      <c r="A6" s="2737"/>
      <c r="B6" s="2737" t="s">
        <v>1782</v>
      </c>
      <c r="C6" s="2737"/>
      <c r="D6" s="2737"/>
      <c r="E6" s="2737" t="s">
        <v>1781</v>
      </c>
      <c r="F6" s="2737"/>
      <c r="G6" s="2737"/>
      <c r="H6" s="2737" t="str">
        <f>B6</f>
        <v>Q4 2024</v>
      </c>
      <c r="I6" s="2737"/>
      <c r="J6" s="2737"/>
      <c r="K6" s="2737" t="str">
        <f>E6</f>
        <v>Q4 2025</v>
      </c>
      <c r="L6" s="2737"/>
      <c r="M6" s="2737"/>
      <c r="N6" s="2744" t="s">
        <v>400</v>
      </c>
      <c r="O6" s="2745"/>
      <c r="P6" s="2737"/>
    </row>
    <row r="7" spans="1:17" ht="15.5">
      <c r="A7" s="2737"/>
      <c r="B7" s="2127" t="s">
        <v>1421</v>
      </c>
      <c r="C7" s="2127" t="s">
        <v>1422</v>
      </c>
      <c r="D7" s="2127" t="s">
        <v>390</v>
      </c>
      <c r="E7" s="2127" t="s">
        <v>1421</v>
      </c>
      <c r="F7" s="2127" t="s">
        <v>1422</v>
      </c>
      <c r="G7" s="2127" t="s">
        <v>390</v>
      </c>
      <c r="H7" s="2127" t="s">
        <v>1421</v>
      </c>
      <c r="I7" s="2127" t="s">
        <v>1422</v>
      </c>
      <c r="J7" s="2127" t="s">
        <v>390</v>
      </c>
      <c r="K7" s="2127" t="s">
        <v>1421</v>
      </c>
      <c r="L7" s="2127" t="s">
        <v>1422</v>
      </c>
      <c r="M7" s="2127" t="s">
        <v>390</v>
      </c>
      <c r="N7" s="2735" t="str">
        <f>H6</f>
        <v>Q4 2024</v>
      </c>
      <c r="O7" s="2735" t="str">
        <f>K6</f>
        <v>Q4 2025</v>
      </c>
      <c r="P7" s="2737"/>
    </row>
    <row r="8" spans="1:17" ht="15.5">
      <c r="A8" s="2737"/>
      <c r="B8" s="2127" t="s">
        <v>1423</v>
      </c>
      <c r="C8" s="2127" t="s">
        <v>1424</v>
      </c>
      <c r="D8" s="2127" t="s">
        <v>400</v>
      </c>
      <c r="E8" s="2127" t="s">
        <v>1423</v>
      </c>
      <c r="F8" s="2127" t="s">
        <v>1424</v>
      </c>
      <c r="G8" s="2127" t="s">
        <v>400</v>
      </c>
      <c r="H8" s="2127" t="s">
        <v>1423</v>
      </c>
      <c r="I8" s="2127" t="s">
        <v>1424</v>
      </c>
      <c r="J8" s="2127" t="s">
        <v>400</v>
      </c>
      <c r="K8" s="2127" t="s">
        <v>1423</v>
      </c>
      <c r="L8" s="2127" t="s">
        <v>1424</v>
      </c>
      <c r="M8" s="2127" t="s">
        <v>400</v>
      </c>
      <c r="N8" s="2736"/>
      <c r="O8" s="2736"/>
      <c r="P8" s="2737"/>
    </row>
    <row r="9" spans="1:17" ht="18" customHeight="1">
      <c r="A9" s="2128" t="s">
        <v>1425</v>
      </c>
      <c r="B9" s="2137">
        <v>3398</v>
      </c>
      <c r="C9" s="2137">
        <v>2281</v>
      </c>
      <c r="D9" s="2137">
        <v>5679</v>
      </c>
      <c r="E9" s="2137">
        <v>3404</v>
      </c>
      <c r="F9" s="2137">
        <v>2270</v>
      </c>
      <c r="G9" s="2137">
        <v>5674</v>
      </c>
      <c r="H9" s="2137">
        <v>1332</v>
      </c>
      <c r="I9" s="2137">
        <v>263</v>
      </c>
      <c r="J9" s="2137">
        <v>1595</v>
      </c>
      <c r="K9" s="2137">
        <v>1281</v>
      </c>
      <c r="L9" s="2137">
        <v>253</v>
      </c>
      <c r="M9" s="2137">
        <v>1534</v>
      </c>
      <c r="N9" s="2137">
        <v>7274</v>
      </c>
      <c r="O9" s="2137">
        <v>7208</v>
      </c>
      <c r="P9" s="2131" t="s">
        <v>1426</v>
      </c>
      <c r="Q9" s="2126"/>
    </row>
    <row r="10" spans="1:17" ht="15.5">
      <c r="A10" s="2129" t="s">
        <v>32</v>
      </c>
      <c r="B10" s="2136">
        <v>2706</v>
      </c>
      <c r="C10" s="2136">
        <v>1745</v>
      </c>
      <c r="D10" s="2136">
        <v>4451</v>
      </c>
      <c r="E10" s="2136">
        <v>2710</v>
      </c>
      <c r="F10" s="2136">
        <v>1748</v>
      </c>
      <c r="G10" s="2136">
        <v>4458</v>
      </c>
      <c r="H10" s="2136">
        <v>587</v>
      </c>
      <c r="I10" s="2136">
        <v>143</v>
      </c>
      <c r="J10" s="2136">
        <v>730</v>
      </c>
      <c r="K10" s="2136">
        <v>584</v>
      </c>
      <c r="L10" s="2136">
        <v>141</v>
      </c>
      <c r="M10" s="2136">
        <v>725</v>
      </c>
      <c r="N10" s="2136">
        <v>5181</v>
      </c>
      <c r="O10" s="2136">
        <v>5183</v>
      </c>
      <c r="P10" s="2132" t="s">
        <v>33</v>
      </c>
      <c r="Q10" s="2126"/>
    </row>
    <row r="11" spans="1:17" ht="15.5">
      <c r="A11" s="2129" t="s">
        <v>62</v>
      </c>
      <c r="B11" s="2136">
        <v>690</v>
      </c>
      <c r="C11" s="2136">
        <v>536</v>
      </c>
      <c r="D11" s="2136">
        <v>1226</v>
      </c>
      <c r="E11" s="2136">
        <v>692</v>
      </c>
      <c r="F11" s="2136">
        <v>522</v>
      </c>
      <c r="G11" s="2136">
        <v>1214</v>
      </c>
      <c r="H11" s="2136">
        <v>727</v>
      </c>
      <c r="I11" s="2136">
        <v>110</v>
      </c>
      <c r="J11" s="2136">
        <v>837</v>
      </c>
      <c r="K11" s="2136">
        <v>678</v>
      </c>
      <c r="L11" s="2136">
        <v>104</v>
      </c>
      <c r="M11" s="2136">
        <v>782</v>
      </c>
      <c r="N11" s="2136">
        <v>2063</v>
      </c>
      <c r="O11" s="2136">
        <v>1996</v>
      </c>
      <c r="P11" s="2132" t="s">
        <v>63</v>
      </c>
      <c r="Q11" s="2126"/>
    </row>
    <row r="12" spans="1:17" ht="15.5">
      <c r="A12" s="2129" t="s">
        <v>1427</v>
      </c>
      <c r="B12" s="2136">
        <v>2</v>
      </c>
      <c r="C12" s="2136">
        <v>0</v>
      </c>
      <c r="D12" s="2136">
        <v>2</v>
      </c>
      <c r="E12" s="2136">
        <v>2</v>
      </c>
      <c r="F12" s="2136">
        <v>0</v>
      </c>
      <c r="G12" s="2136">
        <v>2</v>
      </c>
      <c r="H12" s="2136">
        <v>18</v>
      </c>
      <c r="I12" s="2136">
        <v>10</v>
      </c>
      <c r="J12" s="2136">
        <v>28</v>
      </c>
      <c r="K12" s="2136">
        <v>19</v>
      </c>
      <c r="L12" s="2136">
        <v>8</v>
      </c>
      <c r="M12" s="2136">
        <v>27</v>
      </c>
      <c r="N12" s="2136">
        <v>30</v>
      </c>
      <c r="O12" s="2136">
        <v>29</v>
      </c>
      <c r="P12" s="2132" t="s">
        <v>1428</v>
      </c>
      <c r="Q12" s="2126"/>
    </row>
    <row r="13" spans="1:17" ht="18" customHeight="1">
      <c r="A13" s="2128" t="s">
        <v>1429</v>
      </c>
      <c r="B13" s="2137">
        <v>2517</v>
      </c>
      <c r="C13" s="2137">
        <v>1562</v>
      </c>
      <c r="D13" s="2137">
        <v>4079</v>
      </c>
      <c r="E13" s="2137">
        <v>2500</v>
      </c>
      <c r="F13" s="2137">
        <v>1567</v>
      </c>
      <c r="G13" s="2137">
        <v>4067</v>
      </c>
      <c r="H13" s="2137">
        <v>2176</v>
      </c>
      <c r="I13" s="2137">
        <v>691</v>
      </c>
      <c r="J13" s="2137">
        <v>2867</v>
      </c>
      <c r="K13" s="2137">
        <v>2140</v>
      </c>
      <c r="L13" s="2137">
        <v>668</v>
      </c>
      <c r="M13" s="2137">
        <v>2808</v>
      </c>
      <c r="N13" s="2137">
        <v>6946</v>
      </c>
      <c r="O13" s="2137">
        <v>6875</v>
      </c>
      <c r="P13" s="2131" t="s">
        <v>1430</v>
      </c>
      <c r="Q13" s="2126"/>
    </row>
    <row r="14" spans="1:17" ht="31">
      <c r="A14" s="2129" t="s">
        <v>1431</v>
      </c>
      <c r="B14" s="2136">
        <v>703</v>
      </c>
      <c r="C14" s="2136">
        <v>458</v>
      </c>
      <c r="D14" s="2136">
        <v>1161</v>
      </c>
      <c r="E14" s="2136">
        <v>694</v>
      </c>
      <c r="F14" s="2136">
        <v>486</v>
      </c>
      <c r="G14" s="2136">
        <v>1180</v>
      </c>
      <c r="H14" s="2136">
        <v>265</v>
      </c>
      <c r="I14" s="2136">
        <v>89</v>
      </c>
      <c r="J14" s="2136">
        <v>354</v>
      </c>
      <c r="K14" s="2136">
        <v>261</v>
      </c>
      <c r="L14" s="2136">
        <v>97</v>
      </c>
      <c r="M14" s="2136">
        <v>358</v>
      </c>
      <c r="N14" s="2136">
        <v>1515</v>
      </c>
      <c r="O14" s="2136">
        <v>1538</v>
      </c>
      <c r="P14" s="2132" t="s">
        <v>1432</v>
      </c>
      <c r="Q14" s="2126"/>
    </row>
    <row r="15" spans="1:17" ht="31">
      <c r="A15" s="2129" t="s">
        <v>1433</v>
      </c>
      <c r="B15" s="2136">
        <v>261</v>
      </c>
      <c r="C15" s="2136">
        <v>254</v>
      </c>
      <c r="D15" s="2136">
        <v>515</v>
      </c>
      <c r="E15" s="2136">
        <v>275</v>
      </c>
      <c r="F15" s="2136">
        <v>263</v>
      </c>
      <c r="G15" s="2136">
        <v>538</v>
      </c>
      <c r="H15" s="2136">
        <v>281</v>
      </c>
      <c r="I15" s="2136">
        <v>157</v>
      </c>
      <c r="J15" s="2136">
        <v>438</v>
      </c>
      <c r="K15" s="2136">
        <v>278</v>
      </c>
      <c r="L15" s="2136">
        <v>149</v>
      </c>
      <c r="M15" s="2136">
        <v>427</v>
      </c>
      <c r="N15" s="2136">
        <v>953</v>
      </c>
      <c r="O15" s="2136">
        <v>965</v>
      </c>
      <c r="P15" s="2132" t="s">
        <v>1434</v>
      </c>
      <c r="Q15" s="2126"/>
    </row>
    <row r="16" spans="1:17" ht="17.25" customHeight="1">
      <c r="A16" s="2129" t="s">
        <v>1435</v>
      </c>
      <c r="B16" s="2136">
        <v>1209</v>
      </c>
      <c r="C16" s="2136">
        <v>635</v>
      </c>
      <c r="D16" s="2136">
        <v>1844</v>
      </c>
      <c r="E16" s="2136">
        <v>1158</v>
      </c>
      <c r="F16" s="2136">
        <v>597</v>
      </c>
      <c r="G16" s="2136">
        <v>1755</v>
      </c>
      <c r="H16" s="2136">
        <v>1406</v>
      </c>
      <c r="I16" s="2136">
        <v>377</v>
      </c>
      <c r="J16" s="2136">
        <v>1783</v>
      </c>
      <c r="K16" s="2136">
        <v>1357</v>
      </c>
      <c r="L16" s="2136">
        <v>357</v>
      </c>
      <c r="M16" s="2136">
        <v>1714</v>
      </c>
      <c r="N16" s="2136">
        <v>3627</v>
      </c>
      <c r="O16" s="2136">
        <v>3469</v>
      </c>
      <c r="P16" s="2132" t="s">
        <v>1436</v>
      </c>
      <c r="Q16" s="2126"/>
    </row>
    <row r="17" spans="1:17" ht="31">
      <c r="A17" s="2297" t="s">
        <v>1437</v>
      </c>
      <c r="B17" s="2136">
        <v>210</v>
      </c>
      <c r="C17" s="2136">
        <v>67</v>
      </c>
      <c r="D17" s="2136">
        <v>277</v>
      </c>
      <c r="E17" s="2136">
        <v>237</v>
      </c>
      <c r="F17" s="2136">
        <v>72</v>
      </c>
      <c r="G17" s="2136">
        <v>309</v>
      </c>
      <c r="H17" s="2136">
        <v>875</v>
      </c>
      <c r="I17" s="2136">
        <v>274</v>
      </c>
      <c r="J17" s="2136">
        <v>1149</v>
      </c>
      <c r="K17" s="2136">
        <v>856</v>
      </c>
      <c r="L17" s="2136">
        <v>257</v>
      </c>
      <c r="M17" s="2136">
        <v>1113</v>
      </c>
      <c r="N17" s="2136">
        <v>1426</v>
      </c>
      <c r="O17" s="2136">
        <v>1422</v>
      </c>
      <c r="P17" s="2133" t="s">
        <v>1438</v>
      </c>
      <c r="Q17" s="2126"/>
    </row>
    <row r="18" spans="1:17" ht="46.5">
      <c r="A18" s="2130" t="s">
        <v>1439</v>
      </c>
      <c r="B18" s="2136">
        <v>442</v>
      </c>
      <c r="C18" s="2136">
        <v>316</v>
      </c>
      <c r="D18" s="2136">
        <v>758</v>
      </c>
      <c r="E18" s="2136">
        <v>439</v>
      </c>
      <c r="F18" s="2136">
        <v>320</v>
      </c>
      <c r="G18" s="2136">
        <v>759</v>
      </c>
      <c r="H18" s="2136">
        <v>126</v>
      </c>
      <c r="I18" s="2136">
        <v>28</v>
      </c>
      <c r="J18" s="2136">
        <v>154</v>
      </c>
      <c r="K18" s="2136">
        <v>123</v>
      </c>
      <c r="L18" s="2136">
        <v>26</v>
      </c>
      <c r="M18" s="2136">
        <v>149</v>
      </c>
      <c r="N18" s="2136">
        <v>912</v>
      </c>
      <c r="O18" s="2136">
        <v>908</v>
      </c>
      <c r="P18" s="2134" t="s">
        <v>1440</v>
      </c>
      <c r="Q18" s="2126"/>
    </row>
    <row r="19" spans="1:17" ht="15.5">
      <c r="A19" s="2129" t="s">
        <v>1441</v>
      </c>
      <c r="B19" s="2136">
        <v>102</v>
      </c>
      <c r="C19" s="2136">
        <v>71</v>
      </c>
      <c r="D19" s="2136">
        <v>173</v>
      </c>
      <c r="E19" s="2136">
        <v>109</v>
      </c>
      <c r="F19" s="2136">
        <v>70</v>
      </c>
      <c r="G19" s="2136">
        <v>179</v>
      </c>
      <c r="H19" s="2136">
        <v>28</v>
      </c>
      <c r="I19" s="2136">
        <v>6</v>
      </c>
      <c r="J19" s="2136">
        <v>34</v>
      </c>
      <c r="K19" s="2136">
        <v>29</v>
      </c>
      <c r="L19" s="2136">
        <v>7</v>
      </c>
      <c r="M19" s="2136">
        <v>36</v>
      </c>
      <c r="N19" s="2136">
        <v>207</v>
      </c>
      <c r="O19" s="2136">
        <v>215</v>
      </c>
      <c r="P19" s="2132" t="s">
        <v>1442</v>
      </c>
      <c r="Q19" s="2126"/>
    </row>
    <row r="20" spans="1:17" ht="15.5">
      <c r="A20" s="2129" t="s">
        <v>75</v>
      </c>
      <c r="B20" s="2136">
        <v>242</v>
      </c>
      <c r="C20" s="2136">
        <v>144</v>
      </c>
      <c r="D20" s="2136">
        <v>386</v>
      </c>
      <c r="E20" s="2136">
        <v>264</v>
      </c>
      <c r="F20" s="2136">
        <v>151</v>
      </c>
      <c r="G20" s="2136">
        <v>415</v>
      </c>
      <c r="H20" s="2136">
        <v>196</v>
      </c>
      <c r="I20" s="2136">
        <v>62</v>
      </c>
      <c r="J20" s="2136">
        <v>258</v>
      </c>
      <c r="K20" s="2136">
        <v>215</v>
      </c>
      <c r="L20" s="2136">
        <v>58</v>
      </c>
      <c r="M20" s="2136">
        <v>273</v>
      </c>
      <c r="N20" s="2136">
        <v>644</v>
      </c>
      <c r="O20" s="2136">
        <v>688</v>
      </c>
      <c r="P20" s="2132" t="s">
        <v>76</v>
      </c>
      <c r="Q20" s="2126"/>
    </row>
    <row r="21" spans="1:17" ht="18" customHeight="1">
      <c r="A21" s="2128" t="s">
        <v>1443</v>
      </c>
      <c r="B21" s="2137">
        <v>251</v>
      </c>
      <c r="C21" s="2137">
        <v>255</v>
      </c>
      <c r="D21" s="2137">
        <v>506</v>
      </c>
      <c r="E21" s="2137">
        <v>295</v>
      </c>
      <c r="F21" s="2137">
        <v>285</v>
      </c>
      <c r="G21" s="2137">
        <v>580</v>
      </c>
      <c r="H21" s="2137">
        <v>49</v>
      </c>
      <c r="I21" s="2137">
        <v>12</v>
      </c>
      <c r="J21" s="2137">
        <v>61</v>
      </c>
      <c r="K21" s="2137">
        <v>98</v>
      </c>
      <c r="L21" s="2137">
        <v>23</v>
      </c>
      <c r="M21" s="2137">
        <v>121</v>
      </c>
      <c r="N21" s="2137">
        <v>567</v>
      </c>
      <c r="O21" s="2137">
        <v>701</v>
      </c>
      <c r="P21" s="2131" t="s">
        <v>1444</v>
      </c>
      <c r="Q21" s="2126"/>
    </row>
    <row r="22" spans="1:17" ht="18" customHeight="1">
      <c r="A22" s="2128" t="s">
        <v>400</v>
      </c>
      <c r="B22" s="2137">
        <v>6166</v>
      </c>
      <c r="C22" s="2137">
        <v>4098</v>
      </c>
      <c r="D22" s="2137">
        <v>10264</v>
      </c>
      <c r="E22" s="2137">
        <v>6199</v>
      </c>
      <c r="F22" s="2137">
        <v>4122</v>
      </c>
      <c r="G22" s="2137">
        <v>10321</v>
      </c>
      <c r="H22" s="2137">
        <v>3557</v>
      </c>
      <c r="I22" s="2137">
        <v>966</v>
      </c>
      <c r="J22" s="2137">
        <v>4523</v>
      </c>
      <c r="K22" s="2137">
        <v>3519</v>
      </c>
      <c r="L22" s="2137">
        <v>944</v>
      </c>
      <c r="M22" s="2137">
        <v>4463</v>
      </c>
      <c r="N22" s="2137">
        <v>14787</v>
      </c>
      <c r="O22" s="2137">
        <v>14784</v>
      </c>
      <c r="P22" s="2131" t="s">
        <v>390</v>
      </c>
      <c r="Q22" s="2509"/>
    </row>
    <row r="23" spans="1:17" ht="42" customHeight="1">
      <c r="A23" s="2738" t="s">
        <v>1445</v>
      </c>
      <c r="B23" s="2738"/>
      <c r="C23" s="2738"/>
      <c r="D23" s="2738"/>
      <c r="E23" s="2738"/>
      <c r="F23" s="2738"/>
      <c r="G23" s="2738"/>
      <c r="H23" s="2738"/>
      <c r="I23" s="2732" t="s">
        <v>1446</v>
      </c>
      <c r="J23" s="2732"/>
      <c r="K23" s="2732"/>
      <c r="L23" s="2732"/>
      <c r="M23" s="2732"/>
      <c r="N23" s="2732"/>
      <c r="O23" s="2732"/>
      <c r="P23" s="2732"/>
    </row>
    <row r="24" spans="1:17" ht="41.25" customHeight="1">
      <c r="A24" s="2739" t="s">
        <v>1447</v>
      </c>
      <c r="B24" s="2739"/>
      <c r="C24" s="2739"/>
      <c r="D24" s="2739"/>
      <c r="E24" s="2739"/>
      <c r="F24" s="2739"/>
      <c r="G24" s="2739"/>
      <c r="H24" s="2739"/>
      <c r="I24" s="2733" t="s">
        <v>1448</v>
      </c>
      <c r="J24" s="2733"/>
      <c r="K24" s="2733"/>
      <c r="L24" s="2733"/>
      <c r="M24" s="2733"/>
      <c r="N24" s="2733"/>
      <c r="O24" s="2733"/>
      <c r="P24" s="2733"/>
    </row>
    <row r="25" spans="1:17">
      <c r="A25" s="2731"/>
      <c r="B25" s="2731"/>
      <c r="C25" s="2731"/>
      <c r="D25" s="2731"/>
      <c r="E25" s="2731"/>
      <c r="F25" s="2731"/>
      <c r="G25" s="2731"/>
      <c r="H25" s="2731"/>
      <c r="I25" s="2734"/>
      <c r="J25" s="2734"/>
      <c r="K25" s="2734"/>
      <c r="L25" s="2734"/>
      <c r="M25" s="2734"/>
      <c r="N25" s="2734"/>
      <c r="O25" s="2734"/>
      <c r="P25" s="2734"/>
    </row>
    <row r="26" spans="1:17">
      <c r="A26" s="2135"/>
      <c r="B26" s="2135"/>
      <c r="C26" s="2135"/>
      <c r="D26" s="2135"/>
      <c r="E26" s="2135"/>
      <c r="F26" s="2135"/>
      <c r="G26" s="2135"/>
      <c r="H26" s="2135"/>
      <c r="I26" s="2135"/>
      <c r="J26" s="2135"/>
      <c r="K26" s="2135"/>
      <c r="L26" s="2135"/>
      <c r="M26" s="2135"/>
      <c r="N26" s="2135"/>
      <c r="O26" s="2135"/>
    </row>
    <row r="27" spans="1:17" s="1061" customFormat="1" ht="15.5">
      <c r="A27" s="1254" t="s">
        <v>1449</v>
      </c>
      <c r="B27" s="1092"/>
      <c r="C27" s="1092"/>
      <c r="D27" s="1092"/>
      <c r="E27" s="1092"/>
      <c r="F27" s="1092"/>
      <c r="G27" s="1092"/>
      <c r="H27" s="1092"/>
      <c r="I27" s="1092"/>
      <c r="J27" s="1092"/>
      <c r="K27" s="1092"/>
      <c r="L27" s="1092"/>
      <c r="M27" s="1092"/>
      <c r="N27" s="1092"/>
      <c r="O27" s="1092"/>
      <c r="P27" s="1092"/>
    </row>
  </sheetData>
  <mergeCells count="20">
    <mergeCell ref="K6:M6"/>
    <mergeCell ref="N6:O6"/>
    <mergeCell ref="E6:G6"/>
    <mergeCell ref="A5:A8"/>
    <mergeCell ref="A25:H25"/>
    <mergeCell ref="I23:P23"/>
    <mergeCell ref="I24:P24"/>
    <mergeCell ref="I25:P25"/>
    <mergeCell ref="O7:O8"/>
    <mergeCell ref="P5:P8"/>
    <mergeCell ref="A23:H23"/>
    <mergeCell ref="B6:D6"/>
    <mergeCell ref="A24:H24"/>
    <mergeCell ref="B5:D5"/>
    <mergeCell ref="E5:G5"/>
    <mergeCell ref="H5:J5"/>
    <mergeCell ref="K5:M5"/>
    <mergeCell ref="N7:N8"/>
    <mergeCell ref="H6:J6"/>
    <mergeCell ref="N5:O5"/>
  </mergeCells>
  <printOptions horizontalCentered="1"/>
  <pageMargins left="0.25" right="0.25" top="0.75" bottom="0.75" header="0.3" footer="0.3"/>
  <pageSetup scale="72" fitToHeight="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4">
    <pageSetUpPr fitToPage="1"/>
  </sheetPr>
  <dimension ref="A1:U57"/>
  <sheetViews>
    <sheetView zoomScaleNormal="100" workbookViewId="0">
      <selection activeCell="P11" sqref="P11"/>
    </sheetView>
  </sheetViews>
  <sheetFormatPr defaultColWidth="9.1796875" defaultRowHeight="12.5"/>
  <cols>
    <col min="1" max="1" width="46.453125" style="449" customWidth="1"/>
    <col min="2" max="6" width="10.453125" style="449" hidden="1" customWidth="1"/>
    <col min="7" max="16" width="10.453125" style="449" customWidth="1"/>
    <col min="17" max="17" width="36.81640625" style="449" customWidth="1"/>
    <col min="18" max="16384" width="9.1796875" style="895"/>
  </cols>
  <sheetData>
    <row r="1" spans="1:19" s="1238" customFormat="1" ht="18" customHeight="1">
      <c r="A1" s="1143" t="s">
        <v>1450</v>
      </c>
      <c r="B1" s="1236"/>
      <c r="C1" s="1236"/>
      <c r="D1" s="1236"/>
      <c r="E1" s="1236"/>
      <c r="F1" s="1236"/>
      <c r="G1" s="1236"/>
      <c r="H1" s="1236"/>
      <c r="I1" s="1236"/>
      <c r="J1" s="1236"/>
      <c r="K1" s="1236"/>
      <c r="L1" s="1236"/>
      <c r="M1" s="1236"/>
      <c r="N1" s="1236"/>
      <c r="O1" s="1236"/>
      <c r="P1" s="1236"/>
      <c r="Q1" s="1237"/>
    </row>
    <row r="2" spans="1:19" s="1238" customFormat="1" ht="16.5">
      <c r="A2" s="1144" t="s">
        <v>1451</v>
      </c>
      <c r="B2" s="1239"/>
      <c r="C2" s="1239"/>
      <c r="D2" s="1239"/>
      <c r="E2" s="1239"/>
      <c r="F2" s="1239"/>
      <c r="G2" s="1239"/>
      <c r="H2" s="1239"/>
      <c r="I2" s="1239"/>
      <c r="J2" s="1239"/>
      <c r="K2" s="1239"/>
      <c r="L2" s="1239"/>
      <c r="M2" s="1239"/>
      <c r="N2" s="1239"/>
      <c r="O2" s="1239"/>
      <c r="P2" s="1239"/>
      <c r="Q2" s="1237"/>
    </row>
    <row r="3" spans="1:19" s="1238" customFormat="1" ht="16.5">
      <c r="A3" s="1117" t="s">
        <v>101</v>
      </c>
      <c r="B3" s="1239"/>
      <c r="C3" s="1239"/>
      <c r="D3" s="1239"/>
      <c r="E3" s="1239"/>
      <c r="F3" s="1239"/>
      <c r="G3" s="1239"/>
      <c r="H3" s="1239"/>
      <c r="I3" s="1239"/>
      <c r="J3" s="1239"/>
      <c r="K3" s="1239"/>
      <c r="L3" s="1239"/>
      <c r="M3" s="1239"/>
      <c r="N3" s="1239"/>
      <c r="O3" s="1239"/>
      <c r="P3" s="1239"/>
      <c r="Q3" s="1237"/>
    </row>
    <row r="4" spans="1:19" ht="14">
      <c r="A4" s="449" t="s">
        <v>377</v>
      </c>
      <c r="Q4" s="1240" t="s">
        <v>378</v>
      </c>
    </row>
    <row r="5" spans="1:19" ht="13">
      <c r="A5" s="2746" t="s">
        <v>1452</v>
      </c>
      <c r="B5" s="2749">
        <v>2023</v>
      </c>
      <c r="C5" s="2141">
        <v>2023</v>
      </c>
      <c r="D5" s="2141"/>
      <c r="E5" s="2141"/>
      <c r="F5" s="2141"/>
      <c r="G5" s="2749">
        <v>2024</v>
      </c>
      <c r="H5" s="2755">
        <v>2024</v>
      </c>
      <c r="I5" s="2756"/>
      <c r="J5" s="2756"/>
      <c r="K5" s="2757"/>
      <c r="L5" s="2749" t="s">
        <v>1453</v>
      </c>
      <c r="M5" s="2758" t="s">
        <v>1453</v>
      </c>
      <c r="N5" s="2759"/>
      <c r="O5" s="2759"/>
      <c r="P5" s="2760"/>
      <c r="Q5" s="2752" t="s">
        <v>1454</v>
      </c>
    </row>
    <row r="6" spans="1:19" ht="13">
      <c r="A6" s="2747"/>
      <c r="B6" s="2750"/>
      <c r="C6" s="2086" t="s">
        <v>1455</v>
      </c>
      <c r="D6" s="2099" t="s">
        <v>1456</v>
      </c>
      <c r="E6" s="2086" t="s">
        <v>1457</v>
      </c>
      <c r="F6" s="2099" t="s">
        <v>1458</v>
      </c>
      <c r="G6" s="2750"/>
      <c r="H6" s="2086" t="s">
        <v>1455</v>
      </c>
      <c r="I6" s="2099" t="s">
        <v>1456</v>
      </c>
      <c r="J6" s="2086" t="s">
        <v>1457</v>
      </c>
      <c r="K6" s="2099" t="s">
        <v>1458</v>
      </c>
      <c r="L6" s="2750"/>
      <c r="M6" s="2086" t="s">
        <v>1455</v>
      </c>
      <c r="N6" s="2099" t="s">
        <v>1456</v>
      </c>
      <c r="O6" s="2086" t="s">
        <v>1457</v>
      </c>
      <c r="P6" s="2086" t="s">
        <v>1458</v>
      </c>
      <c r="Q6" s="2753"/>
    </row>
    <row r="7" spans="1:19" ht="13">
      <c r="A7" s="2748"/>
      <c r="B7" s="2751"/>
      <c r="C7" s="1879" t="s">
        <v>242</v>
      </c>
      <c r="D7" s="1879" t="s">
        <v>243</v>
      </c>
      <c r="E7" s="1879" t="s">
        <v>240</v>
      </c>
      <c r="F7" s="1879" t="s">
        <v>241</v>
      </c>
      <c r="G7" s="2751"/>
      <c r="H7" s="1879" t="s">
        <v>242</v>
      </c>
      <c r="I7" s="1879" t="s">
        <v>243</v>
      </c>
      <c r="J7" s="1879" t="s">
        <v>240</v>
      </c>
      <c r="K7" s="1879" t="s">
        <v>241</v>
      </c>
      <c r="L7" s="2751"/>
      <c r="M7" s="1879" t="s">
        <v>242</v>
      </c>
      <c r="N7" s="1879" t="s">
        <v>243</v>
      </c>
      <c r="O7" s="1879" t="s">
        <v>240</v>
      </c>
      <c r="P7" s="1879" t="s">
        <v>241</v>
      </c>
      <c r="Q7" s="2754"/>
    </row>
    <row r="8" spans="1:19" ht="30.75" customHeight="1">
      <c r="A8" s="896" t="s">
        <v>1459</v>
      </c>
      <c r="B8" s="1463">
        <f t="shared" ref="B8:B10" si="0">SUM(C8:F8)</f>
        <v>1015.0000000000002</v>
      </c>
      <c r="C8" s="1891">
        <f t="shared" ref="C8:O8" si="1">C9+C16+C27+C34</f>
        <v>226.40000000000035</v>
      </c>
      <c r="D8" s="1891">
        <f t="shared" si="1"/>
        <v>215.80000000000024</v>
      </c>
      <c r="E8" s="1891">
        <f t="shared" si="1"/>
        <v>326.5999999999998</v>
      </c>
      <c r="F8" s="1891">
        <f t="shared" si="1"/>
        <v>246.19999999999982</v>
      </c>
      <c r="G8" s="1463">
        <f t="shared" ref="G8:G10" si="2">SUM(H8:K8)</f>
        <v>858</v>
      </c>
      <c r="H8" s="1891">
        <f t="shared" si="1"/>
        <v>208.20000000000022</v>
      </c>
      <c r="I8" s="1891">
        <f t="shared" si="1"/>
        <v>252.59999999999985</v>
      </c>
      <c r="J8" s="1891">
        <f t="shared" si="1"/>
        <v>148.59999999999988</v>
      </c>
      <c r="K8" s="1891">
        <f t="shared" si="1"/>
        <v>248.60000000000002</v>
      </c>
      <c r="L8" s="1891">
        <f>SUM(M8:P8)</f>
        <v>1061.100000000001</v>
      </c>
      <c r="M8" s="1891">
        <f t="shared" si="1"/>
        <v>269.69999999999993</v>
      </c>
      <c r="N8" s="1891">
        <f t="shared" si="1"/>
        <v>172.89999999999986</v>
      </c>
      <c r="O8" s="1891">
        <f t="shared" si="1"/>
        <v>305.85000000000082</v>
      </c>
      <c r="P8" s="1891">
        <f>P9+P16+P27+P34-0.1</f>
        <v>312.65000000000038</v>
      </c>
      <c r="Q8" s="1892" t="s">
        <v>1460</v>
      </c>
    </row>
    <row r="9" spans="1:19" ht="14">
      <c r="A9" s="897" t="s">
        <v>1461</v>
      </c>
      <c r="B9" s="762">
        <f t="shared" si="0"/>
        <v>1693</v>
      </c>
      <c r="C9" s="762">
        <f t="shared" ref="C9:P9" si="3">C10+C13</f>
        <v>376.60000000000036</v>
      </c>
      <c r="D9" s="762">
        <f t="shared" si="3"/>
        <v>361.40000000000009</v>
      </c>
      <c r="E9" s="762">
        <f t="shared" si="3"/>
        <v>528.69999999999982</v>
      </c>
      <c r="F9" s="762">
        <f t="shared" si="3"/>
        <v>426.29999999999973</v>
      </c>
      <c r="G9" s="762">
        <f t="shared" si="2"/>
        <v>1356.6000000000001</v>
      </c>
      <c r="H9" s="762">
        <f t="shared" si="3"/>
        <v>349.20000000000027</v>
      </c>
      <c r="I9" s="762">
        <f t="shared" si="3"/>
        <v>386.09999999999991</v>
      </c>
      <c r="J9" s="762">
        <f t="shared" si="3"/>
        <v>278.09999999999991</v>
      </c>
      <c r="K9" s="762">
        <f t="shared" si="3"/>
        <v>343.20000000000005</v>
      </c>
      <c r="L9" s="763">
        <f t="shared" ref="L9:L50" si="4">SUM(M9:P9)</f>
        <v>1159.4500000000005</v>
      </c>
      <c r="M9" s="762">
        <f t="shared" si="3"/>
        <v>308.99999999999977</v>
      </c>
      <c r="N9" s="762">
        <f t="shared" si="3"/>
        <v>201.90000000000009</v>
      </c>
      <c r="O9" s="762">
        <f t="shared" si="3"/>
        <v>363.85000000000036</v>
      </c>
      <c r="P9" s="762">
        <f t="shared" si="3"/>
        <v>284.70000000000027</v>
      </c>
      <c r="Q9" s="1885" t="s">
        <v>1462</v>
      </c>
      <c r="R9" s="1482"/>
    </row>
    <row r="10" spans="1:19" ht="14">
      <c r="A10" s="898" t="s">
        <v>1463</v>
      </c>
      <c r="B10" s="762">
        <f t="shared" si="0"/>
        <v>9329.9</v>
      </c>
      <c r="C10" s="762">
        <f t="shared" ref="C10:P10" si="5">C11+C12</f>
        <v>2188.8000000000002</v>
      </c>
      <c r="D10" s="762">
        <f t="shared" si="5"/>
        <v>2267</v>
      </c>
      <c r="E10" s="762">
        <f t="shared" si="5"/>
        <v>2443.1999999999998</v>
      </c>
      <c r="F10" s="762">
        <f t="shared" si="5"/>
        <v>2430.8999999999996</v>
      </c>
      <c r="G10" s="762">
        <f t="shared" si="2"/>
        <v>9128.7000000000007</v>
      </c>
      <c r="H10" s="762">
        <f t="shared" si="5"/>
        <v>2363.8000000000002</v>
      </c>
      <c r="I10" s="762">
        <f t="shared" si="5"/>
        <v>2292.6999999999998</v>
      </c>
      <c r="J10" s="762">
        <f t="shared" si="5"/>
        <v>2202.6999999999998</v>
      </c>
      <c r="K10" s="762">
        <f t="shared" si="5"/>
        <v>2269.5</v>
      </c>
      <c r="L10" s="763">
        <f t="shared" si="4"/>
        <v>9291.7000000000007</v>
      </c>
      <c r="M10" s="762">
        <f t="shared" si="5"/>
        <v>2303.6999999999998</v>
      </c>
      <c r="N10" s="762">
        <f t="shared" si="5"/>
        <v>2088.8000000000002</v>
      </c>
      <c r="O10" s="762">
        <f t="shared" si="5"/>
        <v>2358.8000000000002</v>
      </c>
      <c r="P10" s="762">
        <f t="shared" si="5"/>
        <v>2540.4</v>
      </c>
      <c r="Q10" s="1884" t="s">
        <v>1464</v>
      </c>
    </row>
    <row r="11" spans="1:19" ht="14">
      <c r="A11" s="899" t="s">
        <v>1465</v>
      </c>
      <c r="B11" s="762">
        <f>SUM(C11:F11)</f>
        <v>4664.8999999999996</v>
      </c>
      <c r="C11" s="763">
        <v>998.1</v>
      </c>
      <c r="D11" s="2165">
        <v>1120</v>
      </c>
      <c r="E11" s="2165">
        <v>1316</v>
      </c>
      <c r="F11" s="2165">
        <v>1230.8</v>
      </c>
      <c r="G11" s="762">
        <f>SUM(H11:K11)</f>
        <v>4451.7999999999993</v>
      </c>
      <c r="H11" s="763">
        <v>1140</v>
      </c>
      <c r="I11" s="763">
        <v>1192.7</v>
      </c>
      <c r="J11" s="763">
        <v>1063.5999999999999</v>
      </c>
      <c r="K11" s="763">
        <v>1055.5</v>
      </c>
      <c r="L11" s="763">
        <f t="shared" si="4"/>
        <v>4361.3999999999996</v>
      </c>
      <c r="M11" s="763">
        <v>1083.5</v>
      </c>
      <c r="N11" s="763">
        <v>897.2</v>
      </c>
      <c r="O11" s="763">
        <f>[91]CSO!V6</f>
        <v>1113.7</v>
      </c>
      <c r="P11" s="763">
        <f>[91]CSO!W6</f>
        <v>1267</v>
      </c>
      <c r="Q11" s="1883" t="s">
        <v>1466</v>
      </c>
    </row>
    <row r="12" spans="1:19" ht="14">
      <c r="A12" s="899" t="s">
        <v>1467</v>
      </c>
      <c r="B12" s="762">
        <f t="shared" ref="B12:B13" si="6">SUM(C12:F12)</f>
        <v>4665</v>
      </c>
      <c r="C12" s="763">
        <v>1190.7</v>
      </c>
      <c r="D12" s="2165">
        <v>1147</v>
      </c>
      <c r="E12" s="2165">
        <v>1127.2</v>
      </c>
      <c r="F12" s="2165">
        <v>1200.0999999999999</v>
      </c>
      <c r="G12" s="762">
        <f t="shared" ref="G12:G13" si="7">SUM(H12:K12)</f>
        <v>4676.8999999999996</v>
      </c>
      <c r="H12" s="763">
        <v>1223.8</v>
      </c>
      <c r="I12" s="763">
        <v>1100</v>
      </c>
      <c r="J12" s="763">
        <v>1139.0999999999999</v>
      </c>
      <c r="K12" s="763">
        <v>1214</v>
      </c>
      <c r="L12" s="763">
        <f t="shared" si="4"/>
        <v>4930.3</v>
      </c>
      <c r="M12" s="763">
        <v>1220.2</v>
      </c>
      <c r="N12" s="763">
        <v>1191.5999999999999</v>
      </c>
      <c r="O12" s="763">
        <f>[91]CSO!V9</f>
        <v>1245.0999999999999</v>
      </c>
      <c r="P12" s="763">
        <f>[91]CSO!W9</f>
        <v>1273.4000000000001</v>
      </c>
      <c r="Q12" s="1883" t="s">
        <v>1468</v>
      </c>
    </row>
    <row r="13" spans="1:19" ht="14">
      <c r="A13" s="898" t="s">
        <v>1469</v>
      </c>
      <c r="B13" s="762">
        <f t="shared" si="6"/>
        <v>-7636.9</v>
      </c>
      <c r="C13" s="763">
        <f t="shared" ref="C13:P13" si="8">SUM(C14:C15)</f>
        <v>-1812.1999999999998</v>
      </c>
      <c r="D13" s="763">
        <f t="shared" si="8"/>
        <v>-1905.6</v>
      </c>
      <c r="E13" s="763">
        <f t="shared" si="8"/>
        <v>-1914.5</v>
      </c>
      <c r="F13" s="763">
        <f t="shared" si="8"/>
        <v>-2004.6</v>
      </c>
      <c r="G13" s="762">
        <f t="shared" si="7"/>
        <v>-7772.0999999999995</v>
      </c>
      <c r="H13" s="763">
        <f t="shared" si="8"/>
        <v>-2014.6</v>
      </c>
      <c r="I13" s="763">
        <f t="shared" si="8"/>
        <v>-1906.6</v>
      </c>
      <c r="J13" s="763">
        <f t="shared" si="8"/>
        <v>-1924.6</v>
      </c>
      <c r="K13" s="763">
        <f t="shared" si="8"/>
        <v>-1926.3</v>
      </c>
      <c r="L13" s="763">
        <f t="shared" si="4"/>
        <v>-8132.25</v>
      </c>
      <c r="M13" s="763">
        <f t="shared" si="8"/>
        <v>-1994.7</v>
      </c>
      <c r="N13" s="763">
        <f t="shared" si="8"/>
        <v>-1886.9</v>
      </c>
      <c r="O13" s="763">
        <f t="shared" si="8"/>
        <v>-1994.9499999999998</v>
      </c>
      <c r="P13" s="763">
        <f t="shared" si="8"/>
        <v>-2255.6999999999998</v>
      </c>
      <c r="Q13" s="1884" t="s">
        <v>1470</v>
      </c>
    </row>
    <row r="14" spans="1:19" ht="14">
      <c r="A14" s="899" t="s">
        <v>1465</v>
      </c>
      <c r="B14" s="762">
        <f>SUM(C14:F14)</f>
        <v>-2436.7000000000003</v>
      </c>
      <c r="C14" s="763">
        <v>-524.1</v>
      </c>
      <c r="D14" s="2165">
        <v>-583.6</v>
      </c>
      <c r="E14" s="2165">
        <v>-652.6</v>
      </c>
      <c r="F14" s="2165">
        <v>-676.4</v>
      </c>
      <c r="G14" s="762">
        <f>SUM(H14:K14)</f>
        <v>-2515.1</v>
      </c>
      <c r="H14" s="763">
        <v>-667.1</v>
      </c>
      <c r="I14" s="763">
        <v>-637.9</v>
      </c>
      <c r="J14" s="763">
        <v>-625.79999999999995</v>
      </c>
      <c r="K14" s="763">
        <v>-584.29999999999995</v>
      </c>
      <c r="L14" s="763">
        <f t="shared" si="4"/>
        <v>-2565.4</v>
      </c>
      <c r="M14" s="763">
        <f>[91]CSO!$T$15</f>
        <v>-620.79999999999995</v>
      </c>
      <c r="N14" s="763">
        <v>-510.1</v>
      </c>
      <c r="O14" s="763">
        <f>[91]CSO!V15</f>
        <v>-643.6</v>
      </c>
      <c r="P14" s="763">
        <f>[91]CSO!W15</f>
        <v>-790.90000000000009</v>
      </c>
      <c r="Q14" s="1883" t="s">
        <v>1466</v>
      </c>
    </row>
    <row r="15" spans="1:19" ht="14">
      <c r="A15" s="899" t="s">
        <v>1467</v>
      </c>
      <c r="B15" s="762">
        <f>SUM(C15:F15)</f>
        <v>-5200.2</v>
      </c>
      <c r="C15" s="763">
        <v>-1288.0999999999999</v>
      </c>
      <c r="D15" s="2165">
        <v>-1322</v>
      </c>
      <c r="E15" s="2165">
        <v>-1261.9000000000001</v>
      </c>
      <c r="F15" s="2165">
        <v>-1328.2</v>
      </c>
      <c r="G15" s="762">
        <f>SUM(H15:K15)</f>
        <v>-5257</v>
      </c>
      <c r="H15" s="763">
        <v>-1347.5</v>
      </c>
      <c r="I15" s="763">
        <v>-1268.7</v>
      </c>
      <c r="J15" s="763">
        <v>-1298.8</v>
      </c>
      <c r="K15" s="763">
        <v>-1342</v>
      </c>
      <c r="L15" s="763">
        <f t="shared" si="4"/>
        <v>-5566.8499999999995</v>
      </c>
      <c r="M15" s="763">
        <v>-1373.9</v>
      </c>
      <c r="N15" s="763">
        <v>-1376.8</v>
      </c>
      <c r="O15" s="763">
        <f>[91]CSO!V16</f>
        <v>-1351.35</v>
      </c>
      <c r="P15" s="763">
        <f>[91]CSO!W16</f>
        <v>-1464.8</v>
      </c>
      <c r="Q15" s="1883" t="s">
        <v>1468</v>
      </c>
    </row>
    <row r="16" spans="1:19" ht="30" customHeight="1">
      <c r="A16" s="897" t="s">
        <v>1471</v>
      </c>
      <c r="B16" s="762">
        <f>SUM(C16:F16)</f>
        <v>1303.8000000000002</v>
      </c>
      <c r="C16" s="763">
        <f t="shared" ref="C16:P16" si="9">SUM(C17:C18)</f>
        <v>291.79999999999995</v>
      </c>
      <c r="D16" s="763">
        <f t="shared" si="9"/>
        <v>316.10000000000014</v>
      </c>
      <c r="E16" s="763">
        <f t="shared" si="9"/>
        <v>319.79999999999995</v>
      </c>
      <c r="F16" s="763">
        <f t="shared" si="9"/>
        <v>376.10000000000014</v>
      </c>
      <c r="G16" s="762">
        <f>SUM(H16:K16)</f>
        <v>1748.8</v>
      </c>
      <c r="H16" s="763">
        <f t="shared" si="9"/>
        <v>389.09999999999991</v>
      </c>
      <c r="I16" s="763">
        <f t="shared" si="9"/>
        <v>428.29999999999995</v>
      </c>
      <c r="J16" s="763">
        <f t="shared" si="9"/>
        <v>434.20000000000005</v>
      </c>
      <c r="K16" s="763">
        <f t="shared" si="9"/>
        <v>497.20000000000005</v>
      </c>
      <c r="L16" s="763">
        <f t="shared" si="4"/>
        <v>2152</v>
      </c>
      <c r="M16" s="763">
        <f t="shared" si="9"/>
        <v>507.90000000000009</v>
      </c>
      <c r="N16" s="763">
        <f t="shared" si="9"/>
        <v>527.19999999999982</v>
      </c>
      <c r="O16" s="763">
        <f t="shared" si="9"/>
        <v>523.70000000000027</v>
      </c>
      <c r="P16" s="763">
        <f t="shared" si="9"/>
        <v>593.20000000000005</v>
      </c>
      <c r="Q16" s="1885" t="s">
        <v>1472</v>
      </c>
      <c r="S16" s="1482"/>
    </row>
    <row r="17" spans="1:21" s="901" customFormat="1" ht="14">
      <c r="A17" s="900" t="s">
        <v>1473</v>
      </c>
      <c r="B17" s="763">
        <f t="shared" ref="B17:B34" si="10">SUM(C17:F17)</f>
        <v>5841.5</v>
      </c>
      <c r="C17" s="763">
        <v>1320.6</v>
      </c>
      <c r="D17" s="2165">
        <v>1432.2</v>
      </c>
      <c r="E17" s="2165">
        <v>1443.8</v>
      </c>
      <c r="F17" s="2165">
        <v>1644.9</v>
      </c>
      <c r="G17" s="763">
        <f t="shared" ref="G17:G34" si="11">SUM(H17:K17)</f>
        <v>6401.4000000000005</v>
      </c>
      <c r="H17" s="763">
        <v>1549.6</v>
      </c>
      <c r="I17" s="763">
        <v>1565.5</v>
      </c>
      <c r="J17" s="763">
        <v>1606.5</v>
      </c>
      <c r="K17" s="763">
        <v>1679.8</v>
      </c>
      <c r="L17" s="763">
        <f t="shared" si="4"/>
        <v>7027.6</v>
      </c>
      <c r="M17" s="763">
        <v>1712.2</v>
      </c>
      <c r="N17" s="763">
        <v>1741.6</v>
      </c>
      <c r="O17" s="763">
        <f>[92]services!W3</f>
        <v>1746.4</v>
      </c>
      <c r="P17" s="763">
        <f>[92]services!X3</f>
        <v>1827.4</v>
      </c>
      <c r="Q17" s="1886" t="s">
        <v>1474</v>
      </c>
      <c r="R17" s="1481"/>
      <c r="S17" s="1481"/>
      <c r="T17" s="1481"/>
    </row>
    <row r="18" spans="1:21" s="901" customFormat="1" ht="14">
      <c r="A18" s="900" t="s">
        <v>1475</v>
      </c>
      <c r="B18" s="763">
        <f t="shared" si="10"/>
        <v>-4537.7</v>
      </c>
      <c r="C18" s="763">
        <v>-1028.8</v>
      </c>
      <c r="D18" s="2165">
        <v>-1116.0999999999999</v>
      </c>
      <c r="E18" s="2165">
        <v>-1124</v>
      </c>
      <c r="F18" s="2165">
        <v>-1268.8</v>
      </c>
      <c r="G18" s="763">
        <f t="shared" si="11"/>
        <v>-4652.6000000000004</v>
      </c>
      <c r="H18" s="763">
        <v>-1160.5</v>
      </c>
      <c r="I18" s="763">
        <v>-1137.2</v>
      </c>
      <c r="J18" s="763">
        <v>-1172.3</v>
      </c>
      <c r="K18" s="763">
        <v>-1182.5999999999999</v>
      </c>
      <c r="L18" s="763">
        <f t="shared" si="4"/>
        <v>-4875.5999999999995</v>
      </c>
      <c r="M18" s="763">
        <v>-1204.3</v>
      </c>
      <c r="N18" s="763">
        <v>-1214.4000000000001</v>
      </c>
      <c r="O18" s="763">
        <f>-([92]services!W12)</f>
        <v>-1222.6999999999998</v>
      </c>
      <c r="P18" s="763">
        <f>-([92]services!X12)</f>
        <v>-1234.2</v>
      </c>
      <c r="Q18" s="1886" t="s">
        <v>1476</v>
      </c>
      <c r="T18" s="1481"/>
      <c r="U18" s="1481"/>
    </row>
    <row r="19" spans="1:21" s="901" customFormat="1" ht="14">
      <c r="A19" s="902" t="s">
        <v>1477</v>
      </c>
      <c r="B19" s="763">
        <f t="shared" si="10"/>
        <v>93</v>
      </c>
      <c r="C19" s="763">
        <v>21.8</v>
      </c>
      <c r="D19" s="2165">
        <v>25.3</v>
      </c>
      <c r="E19" s="2165">
        <v>20.2</v>
      </c>
      <c r="F19" s="2165">
        <v>25.7</v>
      </c>
      <c r="G19" s="763">
        <f t="shared" si="11"/>
        <v>82.300000000000011</v>
      </c>
      <c r="H19" s="763">
        <v>19.8</v>
      </c>
      <c r="I19" s="763">
        <v>23.6</v>
      </c>
      <c r="J19" s="763">
        <v>15.3</v>
      </c>
      <c r="K19" s="763">
        <v>23.6</v>
      </c>
      <c r="L19" s="763">
        <f t="shared" si="4"/>
        <v>112.89999999999999</v>
      </c>
      <c r="M19" s="763">
        <v>26.9</v>
      </c>
      <c r="N19" s="763">
        <v>27.1</v>
      </c>
      <c r="O19" s="763">
        <f>[92]services!W23</f>
        <v>27.1</v>
      </c>
      <c r="P19" s="763">
        <f>[92]services!X23</f>
        <v>31.8</v>
      </c>
      <c r="Q19" s="1887" t="s">
        <v>1478</v>
      </c>
      <c r="R19" s="1481"/>
      <c r="S19" s="1481"/>
    </row>
    <row r="20" spans="1:21" ht="14">
      <c r="A20" s="902" t="s">
        <v>1479</v>
      </c>
      <c r="B20" s="763">
        <f t="shared" si="10"/>
        <v>-834.3</v>
      </c>
      <c r="C20" s="763">
        <v>-200.6</v>
      </c>
      <c r="D20" s="2165">
        <v>-205.8</v>
      </c>
      <c r="E20" s="2165">
        <v>-209.5</v>
      </c>
      <c r="F20" s="2165">
        <v>-218.4</v>
      </c>
      <c r="G20" s="763">
        <f t="shared" si="11"/>
        <v>-648.6</v>
      </c>
      <c r="H20" s="763">
        <v>-178.9</v>
      </c>
      <c r="I20" s="763">
        <v>-154.19999999999999</v>
      </c>
      <c r="J20" s="763">
        <v>-162.80000000000001</v>
      </c>
      <c r="K20" s="763">
        <v>-152.69999999999999</v>
      </c>
      <c r="L20" s="763">
        <f t="shared" si="4"/>
        <v>-567.90000000000009</v>
      </c>
      <c r="M20" s="763">
        <v>-147.80000000000001</v>
      </c>
      <c r="N20" s="763">
        <v>-135.80000000000001</v>
      </c>
      <c r="O20" s="763">
        <f>[92]services!W24</f>
        <v>-148.70000000000005</v>
      </c>
      <c r="P20" s="763">
        <f>[92]services!X24</f>
        <v>-135.60000000000002</v>
      </c>
      <c r="Q20" s="1887" t="s">
        <v>1480</v>
      </c>
    </row>
    <row r="21" spans="1:21" ht="14">
      <c r="A21" s="902" t="s">
        <v>1481</v>
      </c>
      <c r="B21" s="763">
        <f t="shared" si="10"/>
        <v>1310.8000000000002</v>
      </c>
      <c r="C21" s="763">
        <v>289.2</v>
      </c>
      <c r="D21" s="2165">
        <v>312.3</v>
      </c>
      <c r="E21" s="2165">
        <v>327.2</v>
      </c>
      <c r="F21" s="2165">
        <v>382.1</v>
      </c>
      <c r="G21" s="763">
        <f t="shared" si="11"/>
        <v>1534.5</v>
      </c>
      <c r="H21" s="763">
        <v>358.5</v>
      </c>
      <c r="I21" s="763">
        <v>367</v>
      </c>
      <c r="J21" s="763">
        <v>381.5</v>
      </c>
      <c r="K21" s="763">
        <v>427.5</v>
      </c>
      <c r="L21" s="763">
        <f t="shared" si="4"/>
        <v>1784</v>
      </c>
      <c r="M21" s="763">
        <v>421.70000000000005</v>
      </c>
      <c r="N21" s="763">
        <v>430.3</v>
      </c>
      <c r="O21" s="763">
        <f>[92]services!W25</f>
        <v>439.6</v>
      </c>
      <c r="P21" s="763">
        <f>[92]services!X25</f>
        <v>492.40000000000003</v>
      </c>
      <c r="Q21" s="1887" t="s">
        <v>1482</v>
      </c>
    </row>
    <row r="22" spans="1:21" ht="14">
      <c r="A22" s="902" t="s">
        <v>1483</v>
      </c>
      <c r="B22" s="763">
        <f t="shared" si="10"/>
        <v>2.7</v>
      </c>
      <c r="C22" s="763">
        <v>0.5</v>
      </c>
      <c r="D22" s="2165">
        <v>0.6</v>
      </c>
      <c r="E22" s="2165">
        <v>0.7</v>
      </c>
      <c r="F22" s="2165">
        <v>0.9</v>
      </c>
      <c r="G22" s="763">
        <f t="shared" si="11"/>
        <v>4.2</v>
      </c>
      <c r="H22" s="763">
        <v>0.8</v>
      </c>
      <c r="I22" s="763">
        <v>1.1000000000000001</v>
      </c>
      <c r="J22" s="763">
        <v>1.2</v>
      </c>
      <c r="K22" s="763">
        <v>1.1000000000000001</v>
      </c>
      <c r="L22" s="763">
        <f t="shared" si="4"/>
        <v>4.9000000000000004</v>
      </c>
      <c r="M22" s="763">
        <v>1.1000000000000001</v>
      </c>
      <c r="N22" s="763">
        <v>1.3</v>
      </c>
      <c r="O22" s="763">
        <f>[92]services!W26</f>
        <v>1.3</v>
      </c>
      <c r="P22" s="763">
        <f>[92]services!X26</f>
        <v>1.2</v>
      </c>
      <c r="Q22" s="1887" t="s">
        <v>1484</v>
      </c>
    </row>
    <row r="23" spans="1:21" ht="14">
      <c r="A23" s="902" t="s">
        <v>1485</v>
      </c>
      <c r="B23" s="763">
        <f t="shared" si="10"/>
        <v>272.79999999999995</v>
      </c>
      <c r="C23" s="763">
        <v>69.2</v>
      </c>
      <c r="D23" s="2165">
        <v>68.5</v>
      </c>
      <c r="E23" s="2165">
        <v>67</v>
      </c>
      <c r="F23" s="2165">
        <v>68.099999999999994</v>
      </c>
      <c r="G23" s="763">
        <f t="shared" si="11"/>
        <v>271.89999999999998</v>
      </c>
      <c r="H23" s="763">
        <v>68.900000000000006</v>
      </c>
      <c r="I23" s="763">
        <v>66.900000000000006</v>
      </c>
      <c r="J23" s="763">
        <v>67.099999999999994</v>
      </c>
      <c r="K23" s="763">
        <v>69</v>
      </c>
      <c r="L23" s="763">
        <f t="shared" si="4"/>
        <v>275.39999999999998</v>
      </c>
      <c r="M23" s="763">
        <v>69</v>
      </c>
      <c r="N23" s="763">
        <v>68.5</v>
      </c>
      <c r="O23" s="763">
        <f>[92]services!W27</f>
        <v>68</v>
      </c>
      <c r="P23" s="763">
        <f>[92]services!X27</f>
        <v>69.899999999999977</v>
      </c>
      <c r="Q23" s="1887" t="s">
        <v>1486</v>
      </c>
    </row>
    <row r="24" spans="1:21" ht="14">
      <c r="A24" s="902" t="s">
        <v>1487</v>
      </c>
      <c r="B24" s="763">
        <f t="shared" si="10"/>
        <v>95.199999999999989</v>
      </c>
      <c r="C24" s="763">
        <v>22.5</v>
      </c>
      <c r="D24" s="2165">
        <v>24.1</v>
      </c>
      <c r="E24" s="2165">
        <v>23.2</v>
      </c>
      <c r="F24" s="2165">
        <v>25.4</v>
      </c>
      <c r="G24" s="763">
        <f t="shared" si="11"/>
        <v>102.6</v>
      </c>
      <c r="H24" s="763">
        <v>24.1</v>
      </c>
      <c r="I24" s="763">
        <v>25.4</v>
      </c>
      <c r="J24" s="763">
        <v>26.3</v>
      </c>
      <c r="K24" s="763">
        <v>26.8</v>
      </c>
      <c r="L24" s="763">
        <f t="shared" si="4"/>
        <v>114.5</v>
      </c>
      <c r="M24" s="763">
        <v>27.8</v>
      </c>
      <c r="N24" s="763">
        <v>28.1</v>
      </c>
      <c r="O24" s="763">
        <f>[92]services!W28</f>
        <v>29</v>
      </c>
      <c r="P24" s="763">
        <f>[92]services!X28</f>
        <v>29.6</v>
      </c>
      <c r="Q24" s="1887" t="s">
        <v>1488</v>
      </c>
    </row>
    <row r="25" spans="1:21" ht="14">
      <c r="A25" s="902" t="s">
        <v>1489</v>
      </c>
      <c r="B25" s="763">
        <f t="shared" si="10"/>
        <v>288.5</v>
      </c>
      <c r="C25" s="763">
        <v>71.099999999999994</v>
      </c>
      <c r="D25" s="2165">
        <v>71.900000000000006</v>
      </c>
      <c r="E25" s="2165">
        <v>72</v>
      </c>
      <c r="F25" s="2165">
        <v>73.5</v>
      </c>
      <c r="G25" s="763">
        <f t="shared" si="11"/>
        <v>318.39999999999998</v>
      </c>
      <c r="H25" s="763">
        <v>73.400000000000006</v>
      </c>
      <c r="I25" s="763">
        <v>78.3</v>
      </c>
      <c r="J25" s="763">
        <v>84.5</v>
      </c>
      <c r="K25" s="763">
        <v>82.2</v>
      </c>
      <c r="L25" s="763">
        <f t="shared" si="4"/>
        <v>332.9</v>
      </c>
      <c r="M25" s="763">
        <v>82.4</v>
      </c>
      <c r="N25" s="763">
        <v>83.5</v>
      </c>
      <c r="O25" s="763">
        <f>[92]services!W29</f>
        <v>84.6</v>
      </c>
      <c r="P25" s="763">
        <f>[92]services!X29</f>
        <v>82.4</v>
      </c>
      <c r="Q25" s="1887" t="s">
        <v>1490</v>
      </c>
    </row>
    <row r="26" spans="1:21" ht="14">
      <c r="A26" s="902" t="s">
        <v>1491</v>
      </c>
      <c r="B26" s="763">
        <f t="shared" si="10"/>
        <v>75.099999999999994</v>
      </c>
      <c r="C26" s="763">
        <v>18.100000000000001</v>
      </c>
      <c r="D26" s="2165">
        <v>19.2</v>
      </c>
      <c r="E26" s="2165">
        <v>19</v>
      </c>
      <c r="F26" s="2165">
        <v>18.8</v>
      </c>
      <c r="G26" s="763">
        <f t="shared" si="11"/>
        <v>83.5</v>
      </c>
      <c r="H26" s="763">
        <v>22.5</v>
      </c>
      <c r="I26" s="763">
        <v>20.2</v>
      </c>
      <c r="J26" s="763">
        <v>21.1</v>
      </c>
      <c r="K26" s="763">
        <v>19.7</v>
      </c>
      <c r="L26" s="763">
        <f t="shared" si="4"/>
        <v>95.300000000000011</v>
      </c>
      <c r="M26" s="763">
        <v>26.8</v>
      </c>
      <c r="N26" s="763">
        <v>24.2</v>
      </c>
      <c r="O26" s="763">
        <f>[92]services!W30</f>
        <v>22.800000000000011</v>
      </c>
      <c r="P26" s="763">
        <f>[92]services!X30</f>
        <v>21.5</v>
      </c>
      <c r="Q26" s="1887" t="s">
        <v>1492</v>
      </c>
    </row>
    <row r="27" spans="1:21" ht="30" customHeight="1">
      <c r="A27" s="897" t="s">
        <v>1493</v>
      </c>
      <c r="B27" s="763">
        <f t="shared" si="10"/>
        <v>-980.39999999999986</v>
      </c>
      <c r="C27" s="763">
        <f t="shared" ref="C27:P27" si="12">SUM(C28:C29)</f>
        <v>-206.39999999999998</v>
      </c>
      <c r="D27" s="763">
        <f t="shared" si="12"/>
        <v>-210.5</v>
      </c>
      <c r="E27" s="763">
        <f t="shared" si="12"/>
        <v>-273.79999999999995</v>
      </c>
      <c r="F27" s="763">
        <f t="shared" si="12"/>
        <v>-289.7</v>
      </c>
      <c r="G27" s="763">
        <f t="shared" si="11"/>
        <v>-1247.4000000000001</v>
      </c>
      <c r="H27" s="763">
        <f t="shared" si="12"/>
        <v>-299.39999999999998</v>
      </c>
      <c r="I27" s="763">
        <f t="shared" si="12"/>
        <v>-311.5</v>
      </c>
      <c r="J27" s="763">
        <f t="shared" si="12"/>
        <v>-317.80000000000007</v>
      </c>
      <c r="K27" s="763">
        <f t="shared" si="12"/>
        <v>-318.70000000000005</v>
      </c>
      <c r="L27" s="763">
        <f t="shared" si="4"/>
        <v>-1293.1999999999998</v>
      </c>
      <c r="M27" s="763">
        <f t="shared" si="12"/>
        <v>-318.59999999999991</v>
      </c>
      <c r="N27" s="763">
        <f t="shared" si="12"/>
        <v>-328.70000000000005</v>
      </c>
      <c r="O27" s="763">
        <f t="shared" si="12"/>
        <v>-327.69999999999982</v>
      </c>
      <c r="P27" s="763">
        <f t="shared" si="12"/>
        <v>-318.19999999999993</v>
      </c>
      <c r="Q27" s="1885" t="s">
        <v>1494</v>
      </c>
    </row>
    <row r="28" spans="1:21" s="901" customFormat="1" ht="14">
      <c r="A28" s="900" t="s">
        <v>1473</v>
      </c>
      <c r="B28" s="763">
        <f t="shared" si="10"/>
        <v>1859.8</v>
      </c>
      <c r="C28" s="763">
        <v>444.5</v>
      </c>
      <c r="D28" s="763">
        <v>453.4</v>
      </c>
      <c r="E28" s="763">
        <v>470.6</v>
      </c>
      <c r="F28" s="763">
        <v>491.3</v>
      </c>
      <c r="G28" s="763">
        <f t="shared" si="11"/>
        <v>2091</v>
      </c>
      <c r="H28" s="763">
        <v>501.1</v>
      </c>
      <c r="I28" s="763">
        <v>521</v>
      </c>
      <c r="J28" s="763">
        <v>531.4</v>
      </c>
      <c r="K28" s="763">
        <v>537.5</v>
      </c>
      <c r="L28" s="763">
        <f t="shared" si="4"/>
        <v>2260.2000000000003</v>
      </c>
      <c r="M28" s="763">
        <v>544.70000000000005</v>
      </c>
      <c r="N28" s="763">
        <v>560</v>
      </c>
      <c r="O28" s="763">
        <f>[93]Data!S229</f>
        <v>575.90000000000009</v>
      </c>
      <c r="P28" s="763">
        <f>[93]Data!T229</f>
        <v>579.6</v>
      </c>
      <c r="Q28" s="1886" t="s">
        <v>1474</v>
      </c>
    </row>
    <row r="29" spans="1:21" s="901" customFormat="1" ht="14">
      <c r="A29" s="900" t="s">
        <v>1475</v>
      </c>
      <c r="B29" s="763">
        <f t="shared" si="10"/>
        <v>-2840.2</v>
      </c>
      <c r="C29" s="763">
        <v>-650.9</v>
      </c>
      <c r="D29" s="763">
        <v>-663.9</v>
      </c>
      <c r="E29" s="763">
        <v>-744.4</v>
      </c>
      <c r="F29" s="763">
        <v>-781</v>
      </c>
      <c r="G29" s="763">
        <f t="shared" si="11"/>
        <v>-3338.3999999999996</v>
      </c>
      <c r="H29" s="763">
        <v>-800.5</v>
      </c>
      <c r="I29" s="763">
        <v>-832.5</v>
      </c>
      <c r="J29" s="763">
        <v>-849.2</v>
      </c>
      <c r="K29" s="763">
        <v>-856.2</v>
      </c>
      <c r="L29" s="763">
        <f t="shared" si="4"/>
        <v>-3553.3999999999996</v>
      </c>
      <c r="M29" s="763">
        <v>-863.3</v>
      </c>
      <c r="N29" s="763">
        <v>-888.7</v>
      </c>
      <c r="O29" s="763">
        <f>-([93]Data!S230)</f>
        <v>-903.59999999999991</v>
      </c>
      <c r="P29" s="763">
        <f>-([93]Data!T230)</f>
        <v>-897.8</v>
      </c>
      <c r="Q29" s="1886" t="s">
        <v>1476</v>
      </c>
    </row>
    <row r="30" spans="1:21" ht="21" customHeight="1">
      <c r="A30" s="902" t="s">
        <v>1495</v>
      </c>
      <c r="B30" s="762">
        <f t="shared" si="10"/>
        <v>-980.40000000000009</v>
      </c>
      <c r="C30" s="763">
        <f t="shared" ref="C30:P30" si="13">C31+C32+C33</f>
        <v>-206.4</v>
      </c>
      <c r="D30" s="763">
        <f t="shared" si="13"/>
        <v>-210.5</v>
      </c>
      <c r="E30" s="763">
        <f t="shared" si="13"/>
        <v>-273.8</v>
      </c>
      <c r="F30" s="763">
        <f t="shared" si="13"/>
        <v>-289.7</v>
      </c>
      <c r="G30" s="762">
        <f t="shared" si="11"/>
        <v>-1247.4000000000001</v>
      </c>
      <c r="H30" s="763">
        <f t="shared" si="13"/>
        <v>-299.39999999999998</v>
      </c>
      <c r="I30" s="763">
        <f t="shared" si="13"/>
        <v>-311.5</v>
      </c>
      <c r="J30" s="763">
        <f t="shared" si="13"/>
        <v>-317.8</v>
      </c>
      <c r="K30" s="763">
        <f t="shared" si="13"/>
        <v>-318.7</v>
      </c>
      <c r="L30" s="763">
        <f t="shared" si="4"/>
        <v>-1293.1999999999998</v>
      </c>
      <c r="M30" s="763">
        <f t="shared" si="13"/>
        <v>-318.59999999999997</v>
      </c>
      <c r="N30" s="763">
        <f t="shared" si="13"/>
        <v>-328.7</v>
      </c>
      <c r="O30" s="763">
        <f t="shared" si="13"/>
        <v>-327.69999999999993</v>
      </c>
      <c r="P30" s="763">
        <f t="shared" si="13"/>
        <v>-318.2</v>
      </c>
      <c r="Q30" s="1887" t="s">
        <v>1496</v>
      </c>
      <c r="R30" s="1482"/>
    </row>
    <row r="31" spans="1:21" ht="14">
      <c r="A31" s="898" t="s">
        <v>1497</v>
      </c>
      <c r="B31" s="762">
        <f t="shared" si="10"/>
        <v>-485.70000000000005</v>
      </c>
      <c r="C31" s="763">
        <v>-118.6</v>
      </c>
      <c r="D31" s="2165">
        <v>-120.9</v>
      </c>
      <c r="E31" s="2165">
        <v>-122.1</v>
      </c>
      <c r="F31" s="2165">
        <v>-124.1</v>
      </c>
      <c r="G31" s="762">
        <f t="shared" si="11"/>
        <v>-569.90000000000009</v>
      </c>
      <c r="H31" s="763">
        <v>-139.9</v>
      </c>
      <c r="I31" s="763">
        <v>-143.30000000000001</v>
      </c>
      <c r="J31" s="763">
        <v>-142.69999999999999</v>
      </c>
      <c r="K31" s="763">
        <v>-144</v>
      </c>
      <c r="L31" s="763">
        <f t="shared" si="4"/>
        <v>-609.20000000000005</v>
      </c>
      <c r="M31" s="763">
        <v>-145.19999999999999</v>
      </c>
      <c r="N31" s="763">
        <v>-152.9</v>
      </c>
      <c r="O31" s="763">
        <f>[93]Data!S237</f>
        <v>-161</v>
      </c>
      <c r="P31" s="763">
        <f>[93]Data!T237</f>
        <v>-150.10000000000002</v>
      </c>
      <c r="Q31" s="1884" t="s">
        <v>1498</v>
      </c>
      <c r="S31" s="950"/>
    </row>
    <row r="32" spans="1:21" ht="14">
      <c r="A32" s="898" t="s">
        <v>1499</v>
      </c>
      <c r="B32" s="762">
        <f t="shared" si="10"/>
        <v>-195.2</v>
      </c>
      <c r="C32" s="763">
        <v>-38.200000000000003</v>
      </c>
      <c r="D32" s="2165">
        <v>-39</v>
      </c>
      <c r="E32" s="2165">
        <v>-60.5</v>
      </c>
      <c r="F32" s="2165">
        <v>-57.5</v>
      </c>
      <c r="G32" s="762">
        <f t="shared" si="11"/>
        <v>-256.3</v>
      </c>
      <c r="H32" s="763">
        <v>-62.3</v>
      </c>
      <c r="I32" s="763">
        <v>-65.400000000000006</v>
      </c>
      <c r="J32" s="763">
        <v>-63.4</v>
      </c>
      <c r="K32" s="763">
        <v>-65.2</v>
      </c>
      <c r="L32" s="763">
        <f t="shared" si="4"/>
        <v>-261.70000000000005</v>
      </c>
      <c r="M32" s="763">
        <v>-66.2</v>
      </c>
      <c r="N32" s="763">
        <v>-66.099999999999994</v>
      </c>
      <c r="O32" s="763">
        <f>[93]Data!S297</f>
        <v>-67.599999999999994</v>
      </c>
      <c r="P32" s="763">
        <f>[93]Data!T297</f>
        <v>-61.800000000000011</v>
      </c>
      <c r="Q32" s="1884" t="s">
        <v>1500</v>
      </c>
      <c r="S32" s="950"/>
    </row>
    <row r="33" spans="1:19" s="915" customFormat="1" ht="14">
      <c r="A33" s="1256" t="s">
        <v>1501</v>
      </c>
      <c r="B33" s="1257">
        <f t="shared" si="10"/>
        <v>-299.5</v>
      </c>
      <c r="C33" s="763">
        <v>-49.6</v>
      </c>
      <c r="D33" s="2165">
        <v>-50.6</v>
      </c>
      <c r="E33" s="2165">
        <v>-91.2</v>
      </c>
      <c r="F33" s="2165">
        <v>-108.1</v>
      </c>
      <c r="G33" s="1257">
        <f t="shared" si="11"/>
        <v>-421.2</v>
      </c>
      <c r="H33" s="763">
        <v>-97.2</v>
      </c>
      <c r="I33" s="763">
        <v>-102.8</v>
      </c>
      <c r="J33" s="763">
        <v>-111.7</v>
      </c>
      <c r="K33" s="763">
        <v>-109.5</v>
      </c>
      <c r="L33" s="763">
        <f t="shared" si="4"/>
        <v>-422.29999999999995</v>
      </c>
      <c r="M33" s="763">
        <v>-107.2</v>
      </c>
      <c r="N33" s="763">
        <v>-109.7</v>
      </c>
      <c r="O33" s="763">
        <f>[93]Data!S324</f>
        <v>-99.099999999999966</v>
      </c>
      <c r="P33" s="763">
        <f>[93]Data!T324</f>
        <v>-106.29999999999995</v>
      </c>
      <c r="Q33" s="1888" t="s">
        <v>1502</v>
      </c>
      <c r="S33" s="950"/>
    </row>
    <row r="34" spans="1:19" s="915" customFormat="1" ht="30" customHeight="1">
      <c r="A34" s="1258" t="s">
        <v>1503</v>
      </c>
      <c r="B34" s="1257">
        <f t="shared" si="10"/>
        <v>-1001.4</v>
      </c>
      <c r="C34" s="763">
        <f t="shared" ref="C34:P34" si="14">C35</f>
        <v>-235.6</v>
      </c>
      <c r="D34" s="763">
        <f t="shared" si="14"/>
        <v>-251.2</v>
      </c>
      <c r="E34" s="763">
        <f t="shared" si="14"/>
        <v>-248.1</v>
      </c>
      <c r="F34" s="763">
        <f t="shared" si="14"/>
        <v>-266.5</v>
      </c>
      <c r="G34" s="1257">
        <f t="shared" si="11"/>
        <v>-1000</v>
      </c>
      <c r="H34" s="763">
        <f t="shared" si="14"/>
        <v>-230.7</v>
      </c>
      <c r="I34" s="763">
        <f t="shared" si="14"/>
        <v>-250.3</v>
      </c>
      <c r="J34" s="763">
        <f t="shared" si="14"/>
        <v>-245.9</v>
      </c>
      <c r="K34" s="763">
        <f t="shared" si="14"/>
        <v>-273.10000000000002</v>
      </c>
      <c r="L34" s="763">
        <f t="shared" si="4"/>
        <v>-957.05</v>
      </c>
      <c r="M34" s="763">
        <f t="shared" si="14"/>
        <v>-228.6</v>
      </c>
      <c r="N34" s="763">
        <f t="shared" si="14"/>
        <v>-227.5</v>
      </c>
      <c r="O34" s="763">
        <f t="shared" si="14"/>
        <v>-254</v>
      </c>
      <c r="P34" s="763">
        <f t="shared" si="14"/>
        <v>-246.95</v>
      </c>
      <c r="Q34" s="1889" t="s">
        <v>1504</v>
      </c>
    </row>
    <row r="35" spans="1:19" s="915" customFormat="1" ht="14">
      <c r="A35" s="1259" t="s">
        <v>1505</v>
      </c>
      <c r="B35" s="1257">
        <f>SUM(C35:F35)</f>
        <v>-1001.4</v>
      </c>
      <c r="C35" s="763">
        <v>-235.6</v>
      </c>
      <c r="D35" s="2165">
        <v>-251.2</v>
      </c>
      <c r="E35" s="2165">
        <v>-248.1</v>
      </c>
      <c r="F35" s="2165">
        <v>-266.5</v>
      </c>
      <c r="G35" s="1257">
        <f>SUM(H35:K35)</f>
        <v>-1000</v>
      </c>
      <c r="H35" s="763">
        <v>-230.7</v>
      </c>
      <c r="I35" s="763">
        <v>-250.3</v>
      </c>
      <c r="J35" s="763">
        <v>-245.9</v>
      </c>
      <c r="K35" s="763">
        <v>-273.10000000000002</v>
      </c>
      <c r="L35" s="763">
        <f t="shared" si="4"/>
        <v>-957.05</v>
      </c>
      <c r="M35" s="763">
        <v>-228.6</v>
      </c>
      <c r="N35" s="763">
        <v>-227.5</v>
      </c>
      <c r="O35" s="763">
        <v>-254</v>
      </c>
      <c r="P35" s="763">
        <f>-([91]WR!$E$53)</f>
        <v>-246.95</v>
      </c>
      <c r="Q35" s="1890" t="s">
        <v>1506</v>
      </c>
    </row>
    <row r="36" spans="1:19" s="915" customFormat="1" ht="30" customHeight="1">
      <c r="A36" s="1260" t="s">
        <v>1507</v>
      </c>
      <c r="B36" s="1261">
        <f>SUM(C36:F36)</f>
        <v>-18.600000000000762</v>
      </c>
      <c r="C36" s="1900">
        <f t="shared" ref="C36:P36" si="15">C37+C39</f>
        <v>77.199999999999903</v>
      </c>
      <c r="D36" s="1900">
        <f t="shared" si="15"/>
        <v>-50.200000000000045</v>
      </c>
      <c r="E36" s="1900">
        <f t="shared" si="15"/>
        <v>113.69999999999993</v>
      </c>
      <c r="F36" s="1900">
        <f t="shared" si="15"/>
        <v>-159.30000000000055</v>
      </c>
      <c r="G36" s="1261">
        <f>SUM(H36:K36)</f>
        <v>95.311918955173667</v>
      </c>
      <c r="H36" s="1900">
        <f t="shared" si="15"/>
        <v>266.93138234672597</v>
      </c>
      <c r="I36" s="1900">
        <f t="shared" si="15"/>
        <v>-406.08603334854138</v>
      </c>
      <c r="J36" s="1900">
        <f t="shared" si="15"/>
        <v>-215.48068772765669</v>
      </c>
      <c r="K36" s="1900">
        <f t="shared" si="15"/>
        <v>449.94725768464576</v>
      </c>
      <c r="L36" s="1463">
        <f t="shared" si="4"/>
        <v>-734.79726587378286</v>
      </c>
      <c r="M36" s="1900">
        <f t="shared" si="15"/>
        <v>-133.49162584011833</v>
      </c>
      <c r="N36" s="1900">
        <f t="shared" si="15"/>
        <v>55.341117613065947</v>
      </c>
      <c r="O36" s="1900">
        <f t="shared" si="15"/>
        <v>-113.14681322067159</v>
      </c>
      <c r="P36" s="1900">
        <f t="shared" si="15"/>
        <v>-543.49994442605885</v>
      </c>
      <c r="Q36" s="2505" t="s">
        <v>1508</v>
      </c>
    </row>
    <row r="37" spans="1:19" s="915" customFormat="1" ht="30" customHeight="1">
      <c r="A37" s="1258" t="s">
        <v>1509</v>
      </c>
      <c r="B37" s="1257">
        <f t="shared" ref="B37:B50" si="16">SUM(C37:F37)</f>
        <v>131.6</v>
      </c>
      <c r="C37" s="763">
        <f t="shared" ref="C37:P37" si="17">C38</f>
        <v>0</v>
      </c>
      <c r="D37" s="763">
        <f t="shared" si="17"/>
        <v>0</v>
      </c>
      <c r="E37" s="763">
        <f t="shared" si="17"/>
        <v>0</v>
      </c>
      <c r="F37" s="763">
        <f t="shared" si="17"/>
        <v>131.6</v>
      </c>
      <c r="G37" s="1257">
        <f t="shared" ref="G37:G50" si="18">SUM(H37:K37)</f>
        <v>87.2</v>
      </c>
      <c r="H37" s="763">
        <f t="shared" si="17"/>
        <v>0</v>
      </c>
      <c r="I37" s="763">
        <f t="shared" si="17"/>
        <v>0</v>
      </c>
      <c r="J37" s="763">
        <f t="shared" si="17"/>
        <v>0</v>
      </c>
      <c r="K37" s="763">
        <f t="shared" si="17"/>
        <v>87.2</v>
      </c>
      <c r="L37" s="763">
        <f t="shared" si="4"/>
        <v>77.5</v>
      </c>
      <c r="M37" s="763">
        <f t="shared" si="17"/>
        <v>0</v>
      </c>
      <c r="N37" s="763">
        <f t="shared" si="17"/>
        <v>10.199999999999999</v>
      </c>
      <c r="O37" s="763">
        <f t="shared" si="17"/>
        <v>36.1</v>
      </c>
      <c r="P37" s="763">
        <f t="shared" si="17"/>
        <v>31.2</v>
      </c>
      <c r="Q37" s="1889" t="s">
        <v>1510</v>
      </c>
    </row>
    <row r="38" spans="1:19" s="915" customFormat="1" ht="14">
      <c r="A38" s="1259" t="s">
        <v>1511</v>
      </c>
      <c r="B38" s="1257">
        <f t="shared" si="16"/>
        <v>131.6</v>
      </c>
      <c r="C38" s="763">
        <v>0</v>
      </c>
      <c r="D38" s="2165">
        <v>0</v>
      </c>
      <c r="E38" s="2165">
        <v>0</v>
      </c>
      <c r="F38" s="2165">
        <v>131.6</v>
      </c>
      <c r="G38" s="1257">
        <f t="shared" si="18"/>
        <v>87.2</v>
      </c>
      <c r="H38" s="763">
        <v>0</v>
      </c>
      <c r="I38" s="763">
        <v>0</v>
      </c>
      <c r="J38" s="763">
        <v>0</v>
      </c>
      <c r="K38" s="763">
        <v>87.2</v>
      </c>
      <c r="L38" s="763">
        <f t="shared" si="4"/>
        <v>77.5</v>
      </c>
      <c r="M38" s="763">
        <v>0</v>
      </c>
      <c r="N38" s="763">
        <v>10.199999999999999</v>
      </c>
      <c r="O38" s="763">
        <f>[93]Data!S428</f>
        <v>36.1</v>
      </c>
      <c r="P38" s="763">
        <f>[93]Data!T428</f>
        <v>31.2</v>
      </c>
      <c r="Q38" s="1890" t="s">
        <v>1512</v>
      </c>
    </row>
    <row r="39" spans="1:19" ht="30" customHeight="1">
      <c r="A39" s="897" t="s">
        <v>1513</v>
      </c>
      <c r="B39" s="762">
        <f t="shared" si="16"/>
        <v>-150.20000000000076</v>
      </c>
      <c r="C39" s="763">
        <f t="shared" ref="C39:P39" si="19">C40+C43+C46+C49</f>
        <v>77.199999999999903</v>
      </c>
      <c r="D39" s="763">
        <f t="shared" si="19"/>
        <v>-50.200000000000045</v>
      </c>
      <c r="E39" s="763">
        <f t="shared" si="19"/>
        <v>113.69999999999993</v>
      </c>
      <c r="F39" s="763">
        <f t="shared" si="19"/>
        <v>-290.90000000000055</v>
      </c>
      <c r="G39" s="762">
        <f t="shared" si="18"/>
        <v>8.1119189551736781</v>
      </c>
      <c r="H39" s="763">
        <f t="shared" si="19"/>
        <v>266.93138234672597</v>
      </c>
      <c r="I39" s="763">
        <f t="shared" si="19"/>
        <v>-406.08603334854138</v>
      </c>
      <c r="J39" s="763">
        <f t="shared" si="19"/>
        <v>-215.48068772765669</v>
      </c>
      <c r="K39" s="763">
        <f t="shared" si="19"/>
        <v>362.74725768464577</v>
      </c>
      <c r="L39" s="763">
        <f t="shared" si="4"/>
        <v>-812.29726587378286</v>
      </c>
      <c r="M39" s="763">
        <f t="shared" si="19"/>
        <v>-133.49162584011833</v>
      </c>
      <c r="N39" s="763">
        <f t="shared" si="19"/>
        <v>45.141117613065944</v>
      </c>
      <c r="O39" s="763">
        <f t="shared" si="19"/>
        <v>-149.24681322067158</v>
      </c>
      <c r="P39" s="763">
        <f t="shared" si="19"/>
        <v>-574.69994442605889</v>
      </c>
      <c r="Q39" s="1885" t="s">
        <v>1514</v>
      </c>
    </row>
    <row r="40" spans="1:19" ht="14">
      <c r="A40" s="900" t="s">
        <v>1515</v>
      </c>
      <c r="B40" s="762">
        <f t="shared" si="16"/>
        <v>2298.3999999999992</v>
      </c>
      <c r="C40" s="763">
        <f t="shared" ref="C40:P40" si="20">C41+C42</f>
        <v>1060.8</v>
      </c>
      <c r="D40" s="763">
        <f t="shared" si="20"/>
        <v>351.5</v>
      </c>
      <c r="E40" s="763">
        <f t="shared" si="20"/>
        <v>568</v>
      </c>
      <c r="F40" s="763">
        <f t="shared" si="20"/>
        <v>318.09999999999928</v>
      </c>
      <c r="G40" s="762">
        <f t="shared" si="18"/>
        <v>876.26000000000022</v>
      </c>
      <c r="H40" s="763">
        <f t="shared" si="20"/>
        <v>261.42999999999847</v>
      </c>
      <c r="I40" s="763">
        <f t="shared" si="20"/>
        <v>-36.959999999999127</v>
      </c>
      <c r="J40" s="763">
        <f t="shared" si="20"/>
        <v>64.829999999999927</v>
      </c>
      <c r="K40" s="763">
        <f t="shared" si="20"/>
        <v>586.96000000000095</v>
      </c>
      <c r="L40" s="763">
        <f t="shared" si="4"/>
        <v>101.90999999999985</v>
      </c>
      <c r="M40" s="763">
        <f t="shared" si="20"/>
        <v>-46.540000000000873</v>
      </c>
      <c r="N40" s="763">
        <f t="shared" si="20"/>
        <v>-57.419999999996435</v>
      </c>
      <c r="O40" s="763">
        <f t="shared" si="20"/>
        <v>136.33999999999651</v>
      </c>
      <c r="P40" s="763">
        <f t="shared" si="20"/>
        <v>69.530000000000655</v>
      </c>
      <c r="Q40" s="1886" t="s">
        <v>1516</v>
      </c>
    </row>
    <row r="41" spans="1:19" ht="14">
      <c r="A41" s="898" t="s">
        <v>1517</v>
      </c>
      <c r="B41" s="762">
        <f t="shared" si="16"/>
        <v>-418.49999999999994</v>
      </c>
      <c r="C41" s="763">
        <v>-78.400000000000006</v>
      </c>
      <c r="D41" s="2165">
        <v>-76.3</v>
      </c>
      <c r="E41" s="2165">
        <v>-146.1</v>
      </c>
      <c r="F41" s="2165">
        <v>-117.7</v>
      </c>
      <c r="G41" s="762">
        <f>H41+I41+J41+K41</f>
        <v>-202.60000000000036</v>
      </c>
      <c r="H41" s="763">
        <f>'[94]IIP Detailed'!$X$8-'[94]IIP Detailed'!$Y$8</f>
        <v>56.399999999999636</v>
      </c>
      <c r="I41" s="763">
        <f>'[95]53'!H10-'[95]53'!I10</f>
        <v>-37</v>
      </c>
      <c r="J41" s="763">
        <f>'[95]53'!I10-'[95]53'!J10</f>
        <v>-77.100000000000364</v>
      </c>
      <c r="K41" s="763">
        <f>'[95]53'!J10-'[95]53'!K10</f>
        <v>-144.89999999999964</v>
      </c>
      <c r="L41" s="763">
        <f t="shared" si="4"/>
        <v>-206.79999999999927</v>
      </c>
      <c r="M41" s="763">
        <f>'[95]53'!K10-'[95]53'!M10</f>
        <v>164.5</v>
      </c>
      <c r="N41" s="763">
        <f>'[95]53'!M10-'[95]53'!N10</f>
        <v>-143.89999999999964</v>
      </c>
      <c r="O41" s="763">
        <f>'[95]53'!N10-'[95]53'!O10</f>
        <v>-78.970000000001164</v>
      </c>
      <c r="P41" s="763">
        <f>'[95]53'!O10-'[95]53'!P10</f>
        <v>-148.42999999999847</v>
      </c>
      <c r="Q41" s="1884" t="s">
        <v>1518</v>
      </c>
    </row>
    <row r="42" spans="1:19" ht="14">
      <c r="A42" s="898" t="s">
        <v>1519</v>
      </c>
      <c r="B42" s="762">
        <f t="shared" si="16"/>
        <v>2716.8999999999992</v>
      </c>
      <c r="C42" s="763">
        <v>1139.2</v>
      </c>
      <c r="D42" s="2165">
        <v>427.8</v>
      </c>
      <c r="E42" s="2165">
        <v>714.1</v>
      </c>
      <c r="F42" s="2165">
        <v>435.79999999999927</v>
      </c>
      <c r="G42" s="762">
        <f t="shared" si="18"/>
        <v>1078.8600000000006</v>
      </c>
      <c r="H42" s="763">
        <f>'[94]IIP Detailed'!$Y$49-'[94]IIP Detailed'!$X$49</f>
        <v>205.02999999999884</v>
      </c>
      <c r="I42" s="763">
        <f>'[95]53'!I15-'[95]53'!H15</f>
        <v>4.0000000000873115E-2</v>
      </c>
      <c r="J42" s="763">
        <f>'[95]53'!J15-'[95]53'!I15</f>
        <v>141.93000000000029</v>
      </c>
      <c r="K42" s="763">
        <f>'[95]53'!K15-'[95]53'!J15</f>
        <v>731.86000000000058</v>
      </c>
      <c r="L42" s="763">
        <f t="shared" si="4"/>
        <v>308.70999999999913</v>
      </c>
      <c r="M42" s="763">
        <f>'[95]53'!M15-'[95]53'!K15</f>
        <v>-211.04000000000087</v>
      </c>
      <c r="N42" s="763">
        <f>'[95]53'!N15-'[95]53'!M15</f>
        <v>86.480000000003201</v>
      </c>
      <c r="O42" s="763">
        <f>'[95]53'!O15-'[95]53'!N15</f>
        <v>215.30999999999767</v>
      </c>
      <c r="P42" s="763">
        <f>'[95]53'!P15-'[95]53'!O15</f>
        <v>217.95999999999913</v>
      </c>
      <c r="Q42" s="1884" t="s">
        <v>1520</v>
      </c>
    </row>
    <row r="43" spans="1:19" ht="30" customHeight="1">
      <c r="A43" s="900" t="s">
        <v>1521</v>
      </c>
      <c r="B43" s="762">
        <f t="shared" si="16"/>
        <v>299.60000000000014</v>
      </c>
      <c r="C43" s="763">
        <f t="shared" ref="C43:D43" si="21">SUM(C44:C45)</f>
        <v>401.5</v>
      </c>
      <c r="D43" s="763">
        <f t="shared" si="21"/>
        <v>676.8</v>
      </c>
      <c r="E43" s="763">
        <f t="shared" ref="E43:P43" si="22">SUM(E44:E45)</f>
        <v>-334.3</v>
      </c>
      <c r="F43" s="763">
        <f t="shared" si="22"/>
        <v>-444.39999999999986</v>
      </c>
      <c r="G43" s="762">
        <f t="shared" si="18"/>
        <v>-443.50282617593621</v>
      </c>
      <c r="H43" s="763">
        <f t="shared" si="22"/>
        <v>82.73287906173573</v>
      </c>
      <c r="I43" s="763">
        <f t="shared" si="22"/>
        <v>-236.73136026634711</v>
      </c>
      <c r="J43" s="763">
        <f t="shared" si="22"/>
        <v>-140.60148598219894</v>
      </c>
      <c r="K43" s="763">
        <f t="shared" si="22"/>
        <v>-148.90285898912589</v>
      </c>
      <c r="L43" s="763">
        <f t="shared" si="4"/>
        <v>1478.2022529746628</v>
      </c>
      <c r="M43" s="763">
        <f t="shared" si="22"/>
        <v>-434.51597537047019</v>
      </c>
      <c r="N43" s="763">
        <f t="shared" si="22"/>
        <v>1281.6608192390195</v>
      </c>
      <c r="O43" s="763">
        <f t="shared" si="22"/>
        <v>651.77679835335402</v>
      </c>
      <c r="P43" s="763">
        <f t="shared" si="22"/>
        <v>-20.719389247240542</v>
      </c>
      <c r="Q43" s="1886" t="s">
        <v>1522</v>
      </c>
    </row>
    <row r="44" spans="1:19" ht="14">
      <c r="A44" s="898" t="s">
        <v>1523</v>
      </c>
      <c r="B44" s="762">
        <f t="shared" si="16"/>
        <v>-2001.3</v>
      </c>
      <c r="C44" s="763">
        <v>-659.7</v>
      </c>
      <c r="D44" s="2165">
        <v>-75.099999999999994</v>
      </c>
      <c r="E44" s="2165">
        <v>-143.9</v>
      </c>
      <c r="F44" s="2165">
        <v>-1122.5999999999999</v>
      </c>
      <c r="G44" s="762">
        <f t="shared" si="18"/>
        <v>-1725.7858272032754</v>
      </c>
      <c r="H44" s="763">
        <f>'[94]IIP Detailed'!$X$16-'[94]IIP Detailed'!$Y$16</f>
        <v>-60.590106750743871</v>
      </c>
      <c r="I44" s="763">
        <f>'[95]53'!H11-'[95]53'!I11</f>
        <v>-242.4683818079975</v>
      </c>
      <c r="J44" s="763">
        <f>'[95]53'!I11-'[95]53'!J11</f>
        <v>-706.76189852975949</v>
      </c>
      <c r="K44" s="763">
        <f>'[95]53'!J11-'[95]53'!K11</f>
        <v>-715.96544011477454</v>
      </c>
      <c r="L44" s="763">
        <f t="shared" si="4"/>
        <v>-561.85309724778563</v>
      </c>
      <c r="M44" s="763">
        <f>'[95]53'!K11-'[95]53'!M11</f>
        <v>-74.91961192404051</v>
      </c>
      <c r="N44" s="763">
        <f>'[95]53'!M11-'[95]53'!N11</f>
        <v>344.55845064621826</v>
      </c>
      <c r="O44" s="763">
        <f>'[95]53'!N11-'[95]53'!O11</f>
        <v>-136.35595859745445</v>
      </c>
      <c r="P44" s="763">
        <f>'[95]53'!O11-'[95]53'!P11</f>
        <v>-695.13597737250893</v>
      </c>
      <c r="Q44" s="1884" t="s">
        <v>1524</v>
      </c>
      <c r="S44" s="1482"/>
    </row>
    <row r="45" spans="1:19" ht="14">
      <c r="A45" s="898" t="s">
        <v>1525</v>
      </c>
      <c r="B45" s="762">
        <f t="shared" si="16"/>
        <v>2300.8999999999996</v>
      </c>
      <c r="C45" s="763">
        <v>1061.2</v>
      </c>
      <c r="D45" s="2165">
        <v>751.9</v>
      </c>
      <c r="E45" s="2165">
        <v>-190.4</v>
      </c>
      <c r="F45" s="2165">
        <v>678.2</v>
      </c>
      <c r="G45" s="762">
        <f t="shared" si="18"/>
        <v>1282.2830010273392</v>
      </c>
      <c r="H45" s="763">
        <f>'[94]IIP Detailed'!$Y$55-'[94]IIP Detailed'!$X$55</f>
        <v>143.3229858124796</v>
      </c>
      <c r="I45" s="763">
        <f>'[95]53'!I16-'[95]53'!H16</f>
        <v>5.7370215416503925</v>
      </c>
      <c r="J45" s="763">
        <f>'[95]53'!J16-'[95]53'!I16</f>
        <v>566.16041254756055</v>
      </c>
      <c r="K45" s="763">
        <f>'[95]53'!K16-'[95]53'!J16</f>
        <v>567.06258112564865</v>
      </c>
      <c r="L45" s="763">
        <f t="shared" si="4"/>
        <v>2040.0553502224484</v>
      </c>
      <c r="M45" s="763">
        <f>'[95]53'!M16-'[95]53'!K16</f>
        <v>-359.59636344642968</v>
      </c>
      <c r="N45" s="763">
        <f>'[95]53'!N16-'[95]53'!M16</f>
        <v>937.10236859280121</v>
      </c>
      <c r="O45" s="763">
        <f>'[95]53'!O16-'[95]53'!N16</f>
        <v>788.13275695080847</v>
      </c>
      <c r="P45" s="763">
        <f>'[95]53'!P16-'[95]53'!O16</f>
        <v>674.41658812526839</v>
      </c>
      <c r="Q45" s="1884" t="s">
        <v>1526</v>
      </c>
      <c r="S45" s="1482"/>
    </row>
    <row r="46" spans="1:19" ht="30" customHeight="1">
      <c r="A46" s="900" t="s">
        <v>1527</v>
      </c>
      <c r="B46" s="762">
        <f t="shared" si="16"/>
        <v>-2635.2000000000003</v>
      </c>
      <c r="C46" s="763">
        <f t="shared" ref="C46:P46" si="23">SUM(C47:C48)</f>
        <v>-1449.7</v>
      </c>
      <c r="D46" s="763">
        <f t="shared" si="23"/>
        <v>-464.9</v>
      </c>
      <c r="E46" s="763">
        <f t="shared" si="23"/>
        <v>-581.70000000000005</v>
      </c>
      <c r="F46" s="763">
        <f t="shared" si="23"/>
        <v>-138.89999999999998</v>
      </c>
      <c r="G46" s="762">
        <f t="shared" si="18"/>
        <v>-517.14525486889033</v>
      </c>
      <c r="H46" s="763">
        <f t="shared" si="23"/>
        <v>-73.531496715007961</v>
      </c>
      <c r="I46" s="763">
        <f t="shared" si="23"/>
        <v>-149.39467308219537</v>
      </c>
      <c r="J46" s="763">
        <f t="shared" si="23"/>
        <v>265.39079825454246</v>
      </c>
      <c r="K46" s="763">
        <f t="shared" si="23"/>
        <v>-559.60988332622946</v>
      </c>
      <c r="L46" s="763">
        <f t="shared" si="4"/>
        <v>-2135.2095188484454</v>
      </c>
      <c r="M46" s="763">
        <f t="shared" si="23"/>
        <v>-28.235650469647226</v>
      </c>
      <c r="N46" s="763">
        <f t="shared" si="23"/>
        <v>-786.5997016259571</v>
      </c>
      <c r="O46" s="763">
        <f t="shared" si="23"/>
        <v>-1148.6636115740221</v>
      </c>
      <c r="P46" s="763">
        <f t="shared" si="23"/>
        <v>-171.71055517881905</v>
      </c>
      <c r="Q46" s="1886" t="s">
        <v>1528</v>
      </c>
    </row>
    <row r="47" spans="1:19" ht="14">
      <c r="A47" s="898" t="s">
        <v>1523</v>
      </c>
      <c r="B47" s="762">
        <f t="shared" si="16"/>
        <v>-3279.2</v>
      </c>
      <c r="C47" s="763">
        <v>-985</v>
      </c>
      <c r="D47" s="2165">
        <v>-210.5</v>
      </c>
      <c r="E47" s="2165">
        <v>-1181.2</v>
      </c>
      <c r="F47" s="2165">
        <v>-902.5</v>
      </c>
      <c r="G47" s="762">
        <f t="shared" si="18"/>
        <v>-1912.0286243590381</v>
      </c>
      <c r="H47" s="763">
        <f>'[94]IIP Detailed'!$X$28-'[94]IIP Detailed'!$Y$28</f>
        <v>-827.42831082331395</v>
      </c>
      <c r="I47" s="763">
        <f>'[95]53'!H12-'[95]53'!I12</f>
        <v>-931.12807822883042</v>
      </c>
      <c r="J47" s="763">
        <f>'[95]53'!I12-'[95]53'!J12</f>
        <v>-452.86096223239292</v>
      </c>
      <c r="K47" s="763">
        <f>'[95]53'!J12-'[95]53'!K12</f>
        <v>299.38872692549921</v>
      </c>
      <c r="L47" s="763">
        <f t="shared" si="4"/>
        <v>-2458.6768305348596</v>
      </c>
      <c r="M47" s="763">
        <f>'[95]53'!K12-'[95]53'!M12</f>
        <v>391.96859932099323</v>
      </c>
      <c r="N47" s="763">
        <f>'[95]53'!M12-'[95]53'!N12</f>
        <v>-2387.4170261831096</v>
      </c>
      <c r="O47" s="763">
        <f>'[95]53'!N12-'[95]53'!O12</f>
        <v>-898.63843917375925</v>
      </c>
      <c r="P47" s="763">
        <f>'[95]53'!O12-'[95]53'!P12</f>
        <v>435.41003550101595</v>
      </c>
      <c r="Q47" s="1884" t="s">
        <v>1524</v>
      </c>
      <c r="S47" s="1482"/>
    </row>
    <row r="48" spans="1:19" ht="14">
      <c r="A48" s="898" t="s">
        <v>1525</v>
      </c>
      <c r="B48" s="762">
        <f t="shared" si="16"/>
        <v>644</v>
      </c>
      <c r="C48" s="763">
        <v>-464.7</v>
      </c>
      <c r="D48" s="2165">
        <v>-254.4</v>
      </c>
      <c r="E48" s="2165">
        <v>599.5</v>
      </c>
      <c r="F48" s="2165">
        <v>763.6</v>
      </c>
      <c r="G48" s="762">
        <f t="shared" si="18"/>
        <v>1394.8833694901477</v>
      </c>
      <c r="H48" s="763">
        <f>'[94]IIP Detailed'!$Y$64-'[94]IIP Detailed'!$X$64</f>
        <v>753.89681410830599</v>
      </c>
      <c r="I48" s="763">
        <f>'[95]53'!I17-'[95]53'!H17</f>
        <v>781.73340514663505</v>
      </c>
      <c r="J48" s="763">
        <f>'[95]53'!J17-'[95]53'!I17</f>
        <v>718.25176048693538</v>
      </c>
      <c r="K48" s="763">
        <f>'[95]53'!K17-'[95]53'!J17</f>
        <v>-858.99861025172868</v>
      </c>
      <c r="L48" s="763">
        <f t="shared" si="4"/>
        <v>323.46731168641418</v>
      </c>
      <c r="M48" s="763">
        <f>'[95]53'!M17-'[95]53'!K17</f>
        <v>-420.20424979064046</v>
      </c>
      <c r="N48" s="763">
        <f>'[95]53'!N17-'[95]53'!M17</f>
        <v>1600.8173245571525</v>
      </c>
      <c r="O48" s="763">
        <f>'[95]53'!O17-'[95]53'!N17</f>
        <v>-250.02517240026282</v>
      </c>
      <c r="P48" s="763">
        <f>'[95]53'!P17-'[95]53'!O17</f>
        <v>-607.120590679835</v>
      </c>
      <c r="Q48" s="1884" t="s">
        <v>1526</v>
      </c>
      <c r="S48" s="1482"/>
    </row>
    <row r="49" spans="1:19" ht="30" customHeight="1">
      <c r="A49" s="900" t="s">
        <v>1529</v>
      </c>
      <c r="B49" s="762">
        <f t="shared" si="16"/>
        <v>-113.00000000000001</v>
      </c>
      <c r="C49" s="763">
        <v>64.599999999999994</v>
      </c>
      <c r="D49" s="2165">
        <v>-613.6</v>
      </c>
      <c r="E49" s="2165">
        <v>461.7</v>
      </c>
      <c r="F49" s="2165">
        <v>-25.7</v>
      </c>
      <c r="G49" s="762">
        <f t="shared" si="18"/>
        <v>92.5</v>
      </c>
      <c r="H49" s="763">
        <f>'[94]IIP Detailed'!$X$43-'[94]IIP Detailed'!$Y$43</f>
        <v>-3.7000000000002728</v>
      </c>
      <c r="I49" s="763">
        <f>'[95]53'!H13-'[95]53'!I13</f>
        <v>17.000000000000227</v>
      </c>
      <c r="J49" s="763">
        <f>'[95]53'!I13-'[95]53'!J13</f>
        <v>-405.10000000000014</v>
      </c>
      <c r="K49" s="763">
        <f>'[95]53'!J13-'[95]53'!K13</f>
        <v>484.30000000000018</v>
      </c>
      <c r="L49" s="763">
        <f t="shared" si="4"/>
        <v>-257.20000000000005</v>
      </c>
      <c r="M49" s="763">
        <f>'[95]53'!K13-'[95]53'!M13</f>
        <v>375.79999999999995</v>
      </c>
      <c r="N49" s="763">
        <f>'[95]53'!M13-'[95]53'!N13</f>
        <v>-392.5</v>
      </c>
      <c r="O49" s="763">
        <f>'[95]53'!N13-'[95]53'!O13</f>
        <v>211.29999999999995</v>
      </c>
      <c r="P49" s="763">
        <f>'[95]53'!O13-'[95]53'!P13</f>
        <v>-451.79999999999995</v>
      </c>
      <c r="Q49" s="1886" t="s">
        <v>1530</v>
      </c>
      <c r="S49" s="1482"/>
    </row>
    <row r="50" spans="1:19" ht="30" customHeight="1">
      <c r="A50" s="896" t="s">
        <v>1531</v>
      </c>
      <c r="B50" s="1463">
        <f t="shared" si="16"/>
        <v>-996.39999999999952</v>
      </c>
      <c r="C50" s="1894">
        <f t="shared" ref="C50:P50" si="24">-(C8+C36)</f>
        <v>-303.60000000000025</v>
      </c>
      <c r="D50" s="1894">
        <f t="shared" si="24"/>
        <v>-165.60000000000019</v>
      </c>
      <c r="E50" s="1894">
        <f t="shared" si="24"/>
        <v>-440.29999999999973</v>
      </c>
      <c r="F50" s="1894">
        <f t="shared" si="24"/>
        <v>-86.899999999999267</v>
      </c>
      <c r="G50" s="1463">
        <f t="shared" si="18"/>
        <v>-953.31191895517361</v>
      </c>
      <c r="H50" s="1894">
        <f t="shared" si="24"/>
        <v>-475.13138234672618</v>
      </c>
      <c r="I50" s="1894">
        <f t="shared" si="24"/>
        <v>153.48603334854153</v>
      </c>
      <c r="J50" s="1894">
        <f t="shared" si="24"/>
        <v>66.880687727656806</v>
      </c>
      <c r="K50" s="1894">
        <f t="shared" si="24"/>
        <v>-698.54725768464573</v>
      </c>
      <c r="L50" s="2503">
        <f t="shared" si="4"/>
        <v>-326.30273412621813</v>
      </c>
      <c r="M50" s="1894">
        <f t="shared" si="24"/>
        <v>-136.2083741598816</v>
      </c>
      <c r="N50" s="1894">
        <f t="shared" si="24"/>
        <v>-228.2411176130658</v>
      </c>
      <c r="O50" s="1894">
        <f t="shared" si="24"/>
        <v>-192.70318677932923</v>
      </c>
      <c r="P50" s="1894">
        <f t="shared" si="24"/>
        <v>230.84994442605847</v>
      </c>
      <c r="Q50" s="1892" t="s">
        <v>1532</v>
      </c>
    </row>
    <row r="51" spans="1:19" ht="21" customHeight="1">
      <c r="A51" s="600" t="s">
        <v>1533</v>
      </c>
      <c r="B51" s="903"/>
      <c r="C51" s="903"/>
      <c r="D51" s="903"/>
      <c r="E51" s="903"/>
      <c r="F51" s="903"/>
      <c r="G51" s="903"/>
      <c r="H51" s="903"/>
      <c r="I51" s="903"/>
      <c r="J51" s="903"/>
      <c r="K51" s="903"/>
      <c r="L51" s="903"/>
      <c r="M51" s="903"/>
      <c r="N51" s="903"/>
      <c r="O51" s="903"/>
      <c r="P51" s="903"/>
      <c r="Q51" s="601" t="s">
        <v>1534</v>
      </c>
    </row>
    <row r="52" spans="1:19">
      <c r="A52" s="764" t="s">
        <v>1535</v>
      </c>
      <c r="Q52" s="765" t="s">
        <v>1536</v>
      </c>
    </row>
    <row r="54" spans="1:19" s="1061" customFormat="1" ht="15.5">
      <c r="A54" s="1254" t="s">
        <v>1537</v>
      </c>
      <c r="B54" s="1092"/>
      <c r="C54" s="1092"/>
      <c r="D54" s="1092"/>
      <c r="E54" s="1092"/>
      <c r="F54" s="1092"/>
      <c r="G54" s="1092"/>
      <c r="H54" s="1092"/>
      <c r="I54" s="1092"/>
      <c r="J54" s="1092"/>
      <c r="K54" s="1092"/>
      <c r="L54" s="1092"/>
      <c r="M54" s="1092"/>
      <c r="N54" s="1092"/>
      <c r="O54" s="1092"/>
      <c r="P54" s="1092"/>
      <c r="Q54" s="1092"/>
    </row>
    <row r="55" spans="1:19">
      <c r="B55" s="1310"/>
      <c r="C55" s="1310"/>
      <c r="D55" s="1310"/>
      <c r="E55" s="1310"/>
      <c r="F55" s="1310"/>
      <c r="G55" s="1310"/>
      <c r="H55" s="1310"/>
      <c r="I55" s="1310"/>
      <c r="J55" s="1310"/>
      <c r="K55" s="1310"/>
      <c r="L55" s="1310"/>
      <c r="M55" s="1310"/>
      <c r="N55" s="1310"/>
      <c r="O55" s="1310"/>
      <c r="P55" s="1310"/>
    </row>
    <row r="56" spans="1:19">
      <c r="B56" s="1310"/>
      <c r="C56" s="1310"/>
      <c r="D56" s="1310"/>
      <c r="E56" s="1310"/>
      <c r="F56" s="1310"/>
      <c r="G56" s="1310"/>
      <c r="H56" s="1310"/>
      <c r="I56" s="1310"/>
      <c r="J56" s="1310"/>
      <c r="K56" s="1310"/>
      <c r="L56" s="1310"/>
      <c r="M56" s="1310"/>
      <c r="N56" s="1310"/>
      <c r="O56" s="1310"/>
      <c r="P56" s="1310"/>
    </row>
    <row r="57" spans="1:19">
      <c r="B57" s="1310"/>
      <c r="C57" s="1310"/>
      <c r="D57" s="1310"/>
      <c r="E57" s="1310"/>
      <c r="F57" s="1310"/>
      <c r="G57" s="1310"/>
      <c r="H57" s="1310"/>
      <c r="I57" s="1310"/>
      <c r="J57" s="1310"/>
      <c r="K57" s="1310"/>
      <c r="L57" s="1310"/>
      <c r="M57" s="1310"/>
      <c r="N57" s="1310"/>
      <c r="O57" s="1310"/>
      <c r="P57" s="1310"/>
    </row>
  </sheetData>
  <mergeCells count="7">
    <mergeCell ref="A5:A7"/>
    <mergeCell ref="B5:B7"/>
    <mergeCell ref="G5:G7"/>
    <mergeCell ref="Q5:Q7"/>
    <mergeCell ref="H5:K5"/>
    <mergeCell ref="L5:L7"/>
    <mergeCell ref="M5:P5"/>
  </mergeCells>
  <printOptions horizontalCentered="1" verticalCentered="1"/>
  <pageMargins left="0" right="0" top="0" bottom="0" header="0.3" footer="0.3"/>
  <pageSetup paperSize="9" scale="61"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5">
    <pageSetUpPr fitToPage="1"/>
  </sheetPr>
  <dimension ref="A1:T36"/>
  <sheetViews>
    <sheetView zoomScale="80" zoomScaleNormal="80" workbookViewId="0">
      <selection activeCell="P10" sqref="P10"/>
    </sheetView>
  </sheetViews>
  <sheetFormatPr defaultColWidth="9.1796875" defaultRowHeight="15.5"/>
  <cols>
    <col min="1" max="1" width="32.7265625" style="185" customWidth="1"/>
    <col min="2" max="6" width="13.7265625" style="185" hidden="1" customWidth="1"/>
    <col min="7" max="16" width="13.7265625" style="185" customWidth="1"/>
    <col min="17" max="17" width="29.7265625" style="185" customWidth="1"/>
    <col min="18" max="19" width="9.1796875" style="185"/>
    <col min="20" max="20" width="15.453125" style="185" customWidth="1"/>
    <col min="21" max="16384" width="9.1796875" style="185"/>
  </cols>
  <sheetData>
    <row r="1" spans="1:20" s="1140" customFormat="1" ht="18" customHeight="1">
      <c r="A1" s="1138" t="s">
        <v>1538</v>
      </c>
      <c r="B1" s="1138"/>
      <c r="C1" s="1138"/>
      <c r="D1" s="1138"/>
      <c r="E1" s="1138"/>
      <c r="F1" s="1138"/>
      <c r="G1" s="1138"/>
      <c r="H1" s="1138"/>
      <c r="I1" s="1138"/>
      <c r="J1" s="1138"/>
      <c r="K1" s="1138"/>
      <c r="L1" s="1138"/>
      <c r="M1" s="1138"/>
      <c r="N1" s="1138"/>
      <c r="O1" s="1138"/>
      <c r="P1" s="1138"/>
      <c r="Q1" s="1139"/>
    </row>
    <row r="2" spans="1:20" s="1140" customFormat="1" ht="18" customHeight="1">
      <c r="A2" s="1139" t="s">
        <v>104</v>
      </c>
      <c r="B2" s="1139"/>
      <c r="C2" s="1139"/>
      <c r="D2" s="1139"/>
      <c r="E2" s="1139"/>
      <c r="F2" s="1139"/>
      <c r="G2" s="1139"/>
      <c r="H2" s="1139"/>
      <c r="I2" s="1139"/>
      <c r="J2" s="1139"/>
      <c r="K2" s="1139"/>
      <c r="L2" s="1139"/>
      <c r="M2" s="1139"/>
      <c r="N2" s="1139"/>
      <c r="O2" s="1139"/>
      <c r="P2" s="1139"/>
      <c r="Q2" s="1139"/>
    </row>
    <row r="3" spans="1:20" s="1140" customFormat="1" ht="18" customHeight="1">
      <c r="A3" s="1139" t="s">
        <v>103</v>
      </c>
      <c r="B3" s="1139"/>
      <c r="C3" s="1139"/>
      <c r="D3" s="1139"/>
      <c r="E3" s="1139"/>
      <c r="F3" s="1139"/>
      <c r="G3" s="1139"/>
      <c r="H3" s="1139"/>
      <c r="I3" s="1139"/>
      <c r="J3" s="1139"/>
      <c r="K3" s="1139"/>
      <c r="L3" s="1139"/>
      <c r="M3" s="1139"/>
      <c r="N3" s="1139"/>
      <c r="O3" s="1139"/>
      <c r="P3" s="1139"/>
      <c r="Q3" s="1139"/>
    </row>
    <row r="4" spans="1:20" s="667" customFormat="1">
      <c r="A4" s="915" t="s">
        <v>1207</v>
      </c>
      <c r="B4" s="1141"/>
      <c r="C4" s="1141"/>
      <c r="D4" s="1141"/>
      <c r="E4" s="1141"/>
      <c r="F4" s="1141"/>
      <c r="G4" s="1141"/>
      <c r="H4" s="1141"/>
      <c r="I4" s="1141"/>
      <c r="J4" s="1141"/>
      <c r="K4" s="1141"/>
      <c r="L4" s="1141"/>
      <c r="M4" s="1141"/>
      <c r="N4" s="1141"/>
      <c r="O4" s="1141"/>
      <c r="P4" s="1141"/>
      <c r="Q4" s="1142" t="s">
        <v>378</v>
      </c>
    </row>
    <row r="5" spans="1:20" s="667" customFormat="1" ht="18" customHeight="1">
      <c r="A5" s="2764" t="s">
        <v>1452</v>
      </c>
      <c r="B5" s="2767">
        <v>2023</v>
      </c>
      <c r="C5" s="1326">
        <v>2023</v>
      </c>
      <c r="D5" s="1326"/>
      <c r="E5" s="1326"/>
      <c r="F5" s="1326"/>
      <c r="G5" s="2767">
        <v>2024</v>
      </c>
      <c r="H5" s="2770">
        <v>2024</v>
      </c>
      <c r="I5" s="2771"/>
      <c r="J5" s="2771"/>
      <c r="K5" s="2772"/>
      <c r="L5" s="2767" t="s">
        <v>1453</v>
      </c>
      <c r="M5" s="1326" t="s">
        <v>1453</v>
      </c>
      <c r="N5" s="1326"/>
      <c r="O5" s="1326"/>
      <c r="P5" s="1326"/>
      <c r="Q5" s="2761" t="s">
        <v>1454</v>
      </c>
    </row>
    <row r="6" spans="1:20" s="667" customFormat="1" ht="18" customHeight="1">
      <c r="A6" s="2765"/>
      <c r="B6" s="2768"/>
      <c r="C6" s="2016" t="s">
        <v>1455</v>
      </c>
      <c r="D6" s="2016" t="s">
        <v>1456</v>
      </c>
      <c r="E6" s="2016" t="s">
        <v>1457</v>
      </c>
      <c r="F6" s="2090" t="s">
        <v>1458</v>
      </c>
      <c r="G6" s="2768"/>
      <c r="H6" s="2016" t="s">
        <v>1455</v>
      </c>
      <c r="I6" s="2016" t="s">
        <v>1456</v>
      </c>
      <c r="J6" s="2016" t="s">
        <v>1457</v>
      </c>
      <c r="K6" s="2090" t="s">
        <v>1458</v>
      </c>
      <c r="L6" s="2768"/>
      <c r="M6" s="2016" t="s">
        <v>1455</v>
      </c>
      <c r="N6" s="2016" t="s">
        <v>1456</v>
      </c>
      <c r="O6" s="2016" t="s">
        <v>1457</v>
      </c>
      <c r="P6" s="2016" t="s">
        <v>1458</v>
      </c>
      <c r="Q6" s="2762"/>
    </row>
    <row r="7" spans="1:20" ht="18" customHeight="1">
      <c r="A7" s="2766"/>
      <c r="B7" s="2769"/>
      <c r="C7" s="1880" t="s">
        <v>242</v>
      </c>
      <c r="D7" s="1880" t="s">
        <v>243</v>
      </c>
      <c r="E7" s="1880" t="s">
        <v>240</v>
      </c>
      <c r="F7" s="1880" t="s">
        <v>241</v>
      </c>
      <c r="G7" s="2769"/>
      <c r="H7" s="1880" t="s">
        <v>242</v>
      </c>
      <c r="I7" s="1880" t="s">
        <v>243</v>
      </c>
      <c r="J7" s="1880" t="s">
        <v>240</v>
      </c>
      <c r="K7" s="1880" t="s">
        <v>241</v>
      </c>
      <c r="L7" s="2773"/>
      <c r="M7" s="1880" t="s">
        <v>242</v>
      </c>
      <c r="N7" s="1880" t="s">
        <v>243</v>
      </c>
      <c r="O7" s="1880" t="s">
        <v>240</v>
      </c>
      <c r="P7" s="1880" t="s">
        <v>241</v>
      </c>
      <c r="Q7" s="2763"/>
    </row>
    <row r="8" spans="1:20" s="889" customFormat="1" ht="33" customHeight="1">
      <c r="A8" s="1170" t="s">
        <v>1539</v>
      </c>
      <c r="B8" s="1798">
        <f>F8</f>
        <v>10572.700000000004</v>
      </c>
      <c r="C8" s="1798">
        <f t="shared" ref="C8:P8" si="0">C9-C14</f>
        <v>10200.099999999999</v>
      </c>
      <c r="D8" s="1798">
        <f t="shared" si="0"/>
        <v>10250.299999999996</v>
      </c>
      <c r="E8" s="1798">
        <f t="shared" si="0"/>
        <v>10136.599999999999</v>
      </c>
      <c r="F8" s="1798">
        <f t="shared" si="0"/>
        <v>10572.700000000004</v>
      </c>
      <c r="G8" s="1798">
        <f>K8</f>
        <v>10419.495693180805</v>
      </c>
      <c r="H8" s="1798">
        <f>H9-H14-0.1</f>
        <v>10160.576229789249</v>
      </c>
      <c r="I8" s="1798">
        <f>I9-I14-0.1</f>
        <v>10566.562263137783</v>
      </c>
      <c r="J8" s="1798">
        <f t="shared" si="0"/>
        <v>10782.342950865444</v>
      </c>
      <c r="K8" s="1798">
        <f t="shared" si="0"/>
        <v>10419.495693180805</v>
      </c>
      <c r="L8" s="2504">
        <f>P8</f>
        <v>11231.542959054575</v>
      </c>
      <c r="M8" s="1798">
        <f t="shared" si="0"/>
        <v>10552.987319020911</v>
      </c>
      <c r="N8" s="1798">
        <f t="shared" si="0"/>
        <v>10507.746201407841</v>
      </c>
      <c r="O8" s="1798">
        <f t="shared" si="0"/>
        <v>10657.093014628517</v>
      </c>
      <c r="P8" s="1798">
        <f t="shared" si="0"/>
        <v>11231.542959054575</v>
      </c>
      <c r="Q8" s="1171" t="s">
        <v>1540</v>
      </c>
    </row>
    <row r="9" spans="1:20" s="483" customFormat="1" ht="30" customHeight="1">
      <c r="A9" s="1010" t="s">
        <v>816</v>
      </c>
      <c r="B9" s="1011">
        <f t="shared" ref="B9:B17" si="1">F9</f>
        <v>62206.1</v>
      </c>
      <c r="C9" s="1011">
        <f t="shared" ref="C9:D9" si="2">SUM(C10:C13)</f>
        <v>58052.6</v>
      </c>
      <c r="D9" s="1011">
        <f t="shared" si="2"/>
        <v>59028.1</v>
      </c>
      <c r="E9" s="1011">
        <f t="shared" ref="E9:O9" si="3">SUM(E10:E13)</f>
        <v>60037.599999999999</v>
      </c>
      <c r="F9" s="1011">
        <f t="shared" si="3"/>
        <v>62206.1</v>
      </c>
      <c r="G9" s="1011">
        <f t="shared" ref="G9:G17" si="4">K9</f>
        <v>65954.125197947928</v>
      </c>
      <c r="H9" s="1011">
        <f>SUM(H10:H13)+0.1</f>
        <v>63041.529163959662</v>
      </c>
      <c r="I9" s="1011">
        <f t="shared" si="3"/>
        <v>64235.025623996487</v>
      </c>
      <c r="J9" s="1011">
        <f>SUM(J10:J13)+0.1</f>
        <v>65876.948484758643</v>
      </c>
      <c r="K9" s="1011">
        <f>SUM(K10:K13)+0.1</f>
        <v>65954.125197947928</v>
      </c>
      <c r="L9" s="1017">
        <f t="shared" ref="L9:L17" si="5">P9</f>
        <v>69438.455125730557</v>
      </c>
      <c r="M9" s="1011">
        <f t="shared" si="3"/>
        <v>65096.676210550962</v>
      </c>
      <c r="N9" s="1011">
        <f t="shared" si="3"/>
        <v>67675.934786087848</v>
      </c>
      <c r="O9" s="1011">
        <f t="shared" si="3"/>
        <v>68578.599183859071</v>
      </c>
      <c r="P9" s="1011">
        <f>SUM(P10:P13)-0.1</f>
        <v>69438.455125730557</v>
      </c>
      <c r="Q9" s="1009" t="s">
        <v>1541</v>
      </c>
    </row>
    <row r="10" spans="1:20" s="483" customFormat="1" ht="22.5" customHeight="1">
      <c r="A10" s="1012" t="s">
        <v>1542</v>
      </c>
      <c r="B10" s="1013">
        <f t="shared" si="1"/>
        <v>8297.4</v>
      </c>
      <c r="C10" s="1013">
        <v>7957.3</v>
      </c>
      <c r="D10" s="1013">
        <v>8033.6</v>
      </c>
      <c r="E10" s="1013">
        <v>8179.7</v>
      </c>
      <c r="F10" s="1013">
        <v>8297.4</v>
      </c>
      <c r="G10" s="1013">
        <f t="shared" si="4"/>
        <v>8500</v>
      </c>
      <c r="H10" s="1013">
        <f>'[94]IIP Detailed'!$Y$8</f>
        <v>8241</v>
      </c>
      <c r="I10" s="1013">
        <f>'[94]IIP Detailed'!$Z$8</f>
        <v>8278</v>
      </c>
      <c r="J10" s="1013">
        <f>'[94]IIP Detailed'!$AA$8</f>
        <v>8355.1</v>
      </c>
      <c r="K10" s="1013">
        <f>'[94]IIP Detailed'!$AB$8</f>
        <v>8500</v>
      </c>
      <c r="L10" s="1013">
        <f t="shared" si="5"/>
        <v>8706.7999999999993</v>
      </c>
      <c r="M10" s="1013">
        <f>'[94]IIP Detailed'!$AC$8</f>
        <v>8335.5</v>
      </c>
      <c r="N10" s="1013">
        <f>'[94]IIP Detailed'!$AD$8</f>
        <v>8479.4</v>
      </c>
      <c r="O10" s="1013">
        <f>'[94]IIP Detailed'!$AE$8</f>
        <v>8558.3700000000008</v>
      </c>
      <c r="P10" s="1013">
        <f>'[94]IIP Detailed'!$AF$8</f>
        <v>8706.7999999999993</v>
      </c>
      <c r="Q10" s="1014" t="s">
        <v>1543</v>
      </c>
      <c r="T10" s="1837"/>
    </row>
    <row r="11" spans="1:20" s="483" customFormat="1" ht="22.5" customHeight="1">
      <c r="A11" s="1012" t="s">
        <v>1544</v>
      </c>
      <c r="B11" s="1013">
        <f t="shared" si="1"/>
        <v>20292.099999999999</v>
      </c>
      <c r="C11" s="1013">
        <v>18950.5</v>
      </c>
      <c r="D11" s="1013">
        <v>19025.599999999999</v>
      </c>
      <c r="E11" s="1013">
        <v>19169.5</v>
      </c>
      <c r="F11" s="1013">
        <v>20292.099999999999</v>
      </c>
      <c r="G11" s="1013">
        <f t="shared" si="4"/>
        <v>22017.862455227736</v>
      </c>
      <c r="H11" s="1013">
        <f>'[94]IIP Detailed'!$Y$16</f>
        <v>20352.666734775205</v>
      </c>
      <c r="I11" s="1013">
        <f>'[94]IIP Detailed'!$Z$16</f>
        <v>20595.135116583202</v>
      </c>
      <c r="J11" s="1013">
        <f>'[94]IIP Detailed'!$AA$16</f>
        <v>21301.897015112962</v>
      </c>
      <c r="K11" s="1013">
        <f>'[94]IIP Detailed'!$AB$16</f>
        <v>22017.862455227736</v>
      </c>
      <c r="L11" s="1013">
        <f t="shared" si="5"/>
        <v>22579.715552475522</v>
      </c>
      <c r="M11" s="1013">
        <f>'[94]IIP Detailed'!$AC$16</f>
        <v>22092.782067151777</v>
      </c>
      <c r="N11" s="1013">
        <f>'[94]IIP Detailed'!$AD$16</f>
        <v>21748.223616505558</v>
      </c>
      <c r="O11" s="1013">
        <f>'[94]IIP Detailed'!$AE$16</f>
        <v>21884.579575103013</v>
      </c>
      <c r="P11" s="1013">
        <f>'[94]IIP Detailed'!$AF$16</f>
        <v>22579.715552475522</v>
      </c>
      <c r="Q11" s="1014" t="s">
        <v>1545</v>
      </c>
      <c r="T11" s="1837"/>
    </row>
    <row r="12" spans="1:20" s="483" customFormat="1" ht="22.5" customHeight="1">
      <c r="A12" s="1012" t="s">
        <v>1546</v>
      </c>
      <c r="B12" s="1013">
        <f t="shared" si="1"/>
        <v>31805</v>
      </c>
      <c r="C12" s="1013">
        <v>29510.799999999999</v>
      </c>
      <c r="D12" s="1013">
        <v>29721.3</v>
      </c>
      <c r="E12" s="1013">
        <v>30902.5</v>
      </c>
      <c r="F12" s="1013">
        <v>31805</v>
      </c>
      <c r="G12" s="1013">
        <f t="shared" si="4"/>
        <v>33717.062742720176</v>
      </c>
      <c r="H12" s="1013">
        <f>'[94]IIP Detailed'!$Y$28</f>
        <v>32632.462429184452</v>
      </c>
      <c r="I12" s="1013">
        <f>'[94]IIP Detailed'!$Z$28</f>
        <v>33563.590507413282</v>
      </c>
      <c r="J12" s="1013">
        <f>'[94]IIP Detailed'!$AA$28</f>
        <v>34016.451469645675</v>
      </c>
      <c r="K12" s="1013">
        <f>'[94]IIP Detailed'!$AB$28</f>
        <v>33717.062742720176</v>
      </c>
      <c r="L12" s="1013">
        <f t="shared" si="5"/>
        <v>36175.739573255036</v>
      </c>
      <c r="M12" s="1013">
        <f>'[94]IIP Detailed'!$AC$28</f>
        <v>33325.094143399183</v>
      </c>
      <c r="N12" s="1013">
        <f>'[94]IIP Detailed'!$AD$28</f>
        <v>35712.511169582292</v>
      </c>
      <c r="O12" s="1013">
        <f>'[94]IIP Detailed'!$AE$28</f>
        <v>36611.149608756052</v>
      </c>
      <c r="P12" s="1013">
        <f>'[94]IIP Detailed'!$AF$28</f>
        <v>36175.739573255036</v>
      </c>
      <c r="Q12" s="1014" t="s">
        <v>1547</v>
      </c>
      <c r="T12" s="1837"/>
    </row>
    <row r="13" spans="1:20" s="483" customFormat="1" ht="22.5" customHeight="1">
      <c r="A13" s="1015" t="s">
        <v>1548</v>
      </c>
      <c r="B13" s="1013">
        <f t="shared" si="1"/>
        <v>1811.6</v>
      </c>
      <c r="C13" s="1013">
        <v>1634</v>
      </c>
      <c r="D13" s="1013">
        <v>2247.6</v>
      </c>
      <c r="E13" s="1013">
        <v>1785.9</v>
      </c>
      <c r="F13" s="1013">
        <v>1811.6</v>
      </c>
      <c r="G13" s="1013">
        <f t="shared" si="4"/>
        <v>1719.1</v>
      </c>
      <c r="H13" s="1013">
        <f>'[94]IIP Detailed'!$Y$43</f>
        <v>1815.3000000000002</v>
      </c>
      <c r="I13" s="1013">
        <f>'[94]IIP Detailed'!$Z$43</f>
        <v>1798.3</v>
      </c>
      <c r="J13" s="1013">
        <f>'[94]IIP Detailed'!$AA$43</f>
        <v>2203.4</v>
      </c>
      <c r="K13" s="1013">
        <f>'[94]IIP Detailed'!$AB$43</f>
        <v>1719.1</v>
      </c>
      <c r="L13" s="1013">
        <f t="shared" si="5"/>
        <v>1976.3</v>
      </c>
      <c r="M13" s="1013">
        <f>'[94]IIP Detailed'!$AC$43</f>
        <v>1343.3</v>
      </c>
      <c r="N13" s="1013">
        <f>'[94]IIP Detailed'!$AD$43</f>
        <v>1735.8</v>
      </c>
      <c r="O13" s="1013">
        <f>'[94]IIP Detailed'!$AE$43</f>
        <v>1524.5</v>
      </c>
      <c r="P13" s="1013">
        <f>'[94]IIP Detailed'!$AF$43</f>
        <v>1976.3</v>
      </c>
      <c r="Q13" s="1014" t="s">
        <v>1549</v>
      </c>
      <c r="T13" s="1837"/>
    </row>
    <row r="14" spans="1:20" s="483" customFormat="1" ht="30" customHeight="1">
      <c r="A14" s="1016" t="s">
        <v>1066</v>
      </c>
      <c r="B14" s="1017">
        <f t="shared" si="1"/>
        <v>51633.399999999994</v>
      </c>
      <c r="C14" s="1017">
        <f t="shared" ref="C14:N14" si="6">SUM(C15:C17)</f>
        <v>47852.5</v>
      </c>
      <c r="D14" s="1017">
        <f t="shared" si="6"/>
        <v>48777.8</v>
      </c>
      <c r="E14" s="1017">
        <f t="shared" si="6"/>
        <v>49901</v>
      </c>
      <c r="F14" s="1017">
        <f t="shared" si="6"/>
        <v>51633.399999999994</v>
      </c>
      <c r="G14" s="1017">
        <f t="shared" si="4"/>
        <v>55534.629504767123</v>
      </c>
      <c r="H14" s="1017">
        <f t="shared" si="6"/>
        <v>52880.852934170412</v>
      </c>
      <c r="I14" s="1017">
        <f t="shared" si="6"/>
        <v>53668.363360858704</v>
      </c>
      <c r="J14" s="1017">
        <f>SUM(J15:J17)-0.1</f>
        <v>55094.605533893198</v>
      </c>
      <c r="K14" s="1017">
        <f t="shared" si="6"/>
        <v>55534.629504767123</v>
      </c>
      <c r="L14" s="1017">
        <f t="shared" si="5"/>
        <v>58206.912166675982</v>
      </c>
      <c r="M14" s="1017">
        <f>SUM(M15:M17)-0.1</f>
        <v>54543.688891530051</v>
      </c>
      <c r="N14" s="1017">
        <f t="shared" si="6"/>
        <v>57168.188584680007</v>
      </c>
      <c r="O14" s="1017">
        <f>SUM(O15:O17)-0.1</f>
        <v>57921.506169230553</v>
      </c>
      <c r="P14" s="1017">
        <f t="shared" ref="P14" si="7">SUM(P15:P17)</f>
        <v>58206.912166675982</v>
      </c>
      <c r="Q14" s="1009" t="s">
        <v>1550</v>
      </c>
    </row>
    <row r="15" spans="1:20" s="483" customFormat="1" ht="22.5" customHeight="1">
      <c r="A15" s="1015" t="s">
        <v>1551</v>
      </c>
      <c r="B15" s="1013">
        <f t="shared" si="1"/>
        <v>16344.9</v>
      </c>
      <c r="C15" s="1013">
        <v>14767.2</v>
      </c>
      <c r="D15" s="1013">
        <v>15195</v>
      </c>
      <c r="E15" s="1013">
        <v>15909.1</v>
      </c>
      <c r="F15" s="1013">
        <v>16344.9</v>
      </c>
      <c r="G15" s="1013">
        <f t="shared" si="4"/>
        <v>17423.79</v>
      </c>
      <c r="H15" s="1013">
        <f>'[94]IIP Detailed'!$Y$49</f>
        <v>16549.96</v>
      </c>
      <c r="I15" s="1013">
        <f>'[94]IIP Detailed'!$Z$49</f>
        <v>16550</v>
      </c>
      <c r="J15" s="1013">
        <f>'[94]IIP Detailed'!$AA$49</f>
        <v>16691.93</v>
      </c>
      <c r="K15" s="1013">
        <f>'[94]IIP Detailed'!$AB$49</f>
        <v>17423.79</v>
      </c>
      <c r="L15" s="1013">
        <f t="shared" si="5"/>
        <v>17732.55</v>
      </c>
      <c r="M15" s="1013">
        <f>'[94]IIP Detailed'!$AC$49</f>
        <v>17212.75</v>
      </c>
      <c r="N15" s="1013">
        <f>'[94]IIP Detailed'!$AD$49</f>
        <v>17299.230000000003</v>
      </c>
      <c r="O15" s="1013">
        <f>'[94]IIP Detailed'!$AE$49</f>
        <v>17514.54</v>
      </c>
      <c r="P15" s="1013">
        <f>'[94]IIP Detailed'!$AF$49</f>
        <v>17732.55</v>
      </c>
      <c r="Q15" s="1014" t="s">
        <v>1552</v>
      </c>
      <c r="T15" s="1837"/>
    </row>
    <row r="16" spans="1:20" s="483" customFormat="1" ht="22.5" customHeight="1">
      <c r="A16" s="1015" t="s">
        <v>1544</v>
      </c>
      <c r="B16" s="1013">
        <f t="shared" si="1"/>
        <v>11702.4</v>
      </c>
      <c r="C16" s="1013">
        <v>10462.700000000001</v>
      </c>
      <c r="D16" s="1013">
        <v>11214.6</v>
      </c>
      <c r="E16" s="1013">
        <v>11024.2</v>
      </c>
      <c r="F16" s="1013">
        <v>11702.4</v>
      </c>
      <c r="G16" s="1013">
        <f t="shared" si="4"/>
        <v>12984.698581006289</v>
      </c>
      <c r="H16" s="1013">
        <f>'[94]IIP Detailed'!$Y$55</f>
        <v>11845.738565791429</v>
      </c>
      <c r="I16" s="1013">
        <f>'[94]IIP Detailed'!$Z$55</f>
        <v>11851.47558733308</v>
      </c>
      <c r="J16" s="1013">
        <f>'[94]IIP Detailed'!$AA$55</f>
        <v>12417.63599988064</v>
      </c>
      <c r="K16" s="1013">
        <f>'[94]IIP Detailed'!$AB$55</f>
        <v>12984.698581006289</v>
      </c>
      <c r="L16" s="1013">
        <f t="shared" si="5"/>
        <v>15024.753931228737</v>
      </c>
      <c r="M16" s="1013">
        <f>'[94]IIP Detailed'!$AC$55</f>
        <v>12625.102217559859</v>
      </c>
      <c r="N16" s="1013">
        <f>'[94]IIP Detailed'!$AD$55</f>
        <v>13562.20458615266</v>
      </c>
      <c r="O16" s="1013">
        <f>'[94]IIP Detailed'!$AE$55</f>
        <v>14350.337343103469</v>
      </c>
      <c r="P16" s="1013">
        <f>'[94]IIP Detailed'!$AF$55</f>
        <v>15024.753931228737</v>
      </c>
      <c r="Q16" s="1014" t="s">
        <v>1545</v>
      </c>
      <c r="T16" s="1837"/>
    </row>
    <row r="17" spans="1:20" s="483" customFormat="1" ht="22.5" customHeight="1">
      <c r="A17" s="1012" t="s">
        <v>1546</v>
      </c>
      <c r="B17" s="1018">
        <f t="shared" si="1"/>
        <v>23586.1</v>
      </c>
      <c r="C17" s="1018">
        <v>22622.6</v>
      </c>
      <c r="D17" s="1018">
        <v>22368.2</v>
      </c>
      <c r="E17" s="1018">
        <v>22967.7</v>
      </c>
      <c r="F17" s="1018">
        <v>23586.1</v>
      </c>
      <c r="G17" s="1018">
        <f t="shared" si="4"/>
        <v>25126.140923760831</v>
      </c>
      <c r="H17" s="1018">
        <f>'[94]IIP Detailed'!$Y$64</f>
        <v>24485.15436837899</v>
      </c>
      <c r="I17" s="1018">
        <f>'[94]IIP Detailed'!$Z$64</f>
        <v>25266.887773525625</v>
      </c>
      <c r="J17" s="1018">
        <f>'[94]IIP Detailed'!$AA$64</f>
        <v>25985.13953401256</v>
      </c>
      <c r="K17" s="1018">
        <f>'[94]IIP Detailed'!$AB$64</f>
        <v>25126.140923760831</v>
      </c>
      <c r="L17" s="1018">
        <f t="shared" si="5"/>
        <v>25449.608235447246</v>
      </c>
      <c r="M17" s="1018">
        <f>'[94]IIP Detailed'!$AC$64</f>
        <v>24705.936673970191</v>
      </c>
      <c r="N17" s="1018">
        <f>'[94]IIP Detailed'!$AD$64</f>
        <v>26306.753998527343</v>
      </c>
      <c r="O17" s="1018">
        <f>'[94]IIP Detailed'!$AE$64</f>
        <v>26056.728826127081</v>
      </c>
      <c r="P17" s="1018">
        <f>'[94]IIP Detailed'!$AF$64</f>
        <v>25449.608235447246</v>
      </c>
      <c r="Q17" s="1014" t="s">
        <v>1547</v>
      </c>
      <c r="T17" s="1837"/>
    </row>
    <row r="18" spans="1:20" s="654" customFormat="1" ht="20.25" customHeight="1">
      <c r="A18" s="652" t="s">
        <v>1553</v>
      </c>
      <c r="B18" s="1019"/>
      <c r="C18" s="1019"/>
      <c r="D18" s="1019"/>
      <c r="E18" s="1019"/>
      <c r="F18" s="1019"/>
      <c r="G18" s="1019"/>
      <c r="H18" s="1019"/>
      <c r="I18" s="1019"/>
      <c r="J18" s="1019"/>
      <c r="K18" s="1019"/>
      <c r="L18" s="1019"/>
      <c r="M18" s="1019"/>
      <c r="N18" s="1019"/>
      <c r="O18" s="1019"/>
      <c r="P18" s="1019"/>
      <c r="Q18" s="1020" t="s">
        <v>1554</v>
      </c>
    </row>
    <row r="19" spans="1:20">
      <c r="B19" s="1021"/>
      <c r="C19" s="1021"/>
      <c r="D19" s="1021"/>
      <c r="E19" s="1021"/>
      <c r="F19" s="1021"/>
      <c r="G19" s="1021"/>
      <c r="H19" s="1021"/>
      <c r="I19" s="1021"/>
      <c r="J19" s="1021"/>
      <c r="K19" s="1021"/>
      <c r="L19" s="1021"/>
      <c r="M19" s="1021"/>
      <c r="N19" s="1021"/>
      <c r="O19" s="1021"/>
      <c r="P19" s="1021"/>
    </row>
    <row r="21" spans="1:20">
      <c r="C21" s="614"/>
      <c r="D21" s="614"/>
      <c r="E21" s="614"/>
      <c r="F21" s="614"/>
      <c r="H21" s="614"/>
      <c r="I21" s="614"/>
      <c r="J21" s="614"/>
      <c r="K21" s="614"/>
      <c r="L21" s="614"/>
      <c r="M21" s="614"/>
      <c r="N21" s="614"/>
      <c r="O21" s="614"/>
      <c r="P21" s="614"/>
    </row>
    <row r="26" spans="1:20">
      <c r="A26" s="655" t="s">
        <v>1555</v>
      </c>
      <c r="B26" s="317"/>
      <c r="C26" s="317"/>
      <c r="D26" s="317"/>
      <c r="E26" s="317"/>
      <c r="F26" s="317"/>
      <c r="G26" s="317"/>
      <c r="H26" s="317"/>
      <c r="I26" s="317"/>
      <c r="J26" s="317"/>
      <c r="K26" s="317"/>
      <c r="L26" s="317"/>
      <c r="M26" s="317"/>
      <c r="N26" s="317"/>
      <c r="O26" s="317"/>
      <c r="P26" s="317"/>
      <c r="Q26" s="317"/>
    </row>
    <row r="31" spans="1:20" s="667" customFormat="1"/>
    <row r="32" spans="1:20" s="667" customFormat="1"/>
    <row r="33" s="667" customFormat="1"/>
    <row r="34" s="667" customFormat="1"/>
    <row r="35" s="667" customFormat="1"/>
    <row r="36" s="667" customFormat="1"/>
  </sheetData>
  <mergeCells count="6">
    <mergeCell ref="Q5:Q7"/>
    <mergeCell ref="A5:A7"/>
    <mergeCell ref="B5:B7"/>
    <mergeCell ref="G5:G7"/>
    <mergeCell ref="H5:K5"/>
    <mergeCell ref="L5:L7"/>
  </mergeCells>
  <printOptions horizontalCentered="1" verticalCentered="1"/>
  <pageMargins left="0.5" right="0.5" top="0" bottom="0" header="0.3" footer="0.3"/>
  <pageSetup paperSize="9" scale="6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F0000"/>
  </sheetPr>
  <dimension ref="A1:AE50"/>
  <sheetViews>
    <sheetView zoomScale="90" zoomScaleNormal="90" workbookViewId="0">
      <pane ySplit="12" topLeftCell="A40" activePane="bottomLeft" state="frozen"/>
      <selection activeCell="B44" sqref="B44"/>
      <selection pane="bottomLeft" activeCell="F44" sqref="F44"/>
    </sheetView>
  </sheetViews>
  <sheetFormatPr defaultColWidth="8.81640625" defaultRowHeight="12.5"/>
  <cols>
    <col min="1" max="2" width="9.7265625" customWidth="1"/>
    <col min="3" max="3" width="13.1796875" bestFit="1" customWidth="1"/>
    <col min="4" max="4" width="14.26953125" customWidth="1"/>
    <col min="5" max="5" width="20.26953125" bestFit="1" customWidth="1"/>
    <col min="6" max="6" width="21" bestFit="1" customWidth="1"/>
    <col min="7" max="7" width="16" customWidth="1"/>
    <col min="8" max="8" width="18" customWidth="1"/>
    <col min="9" max="9" width="9.26953125" style="261" customWidth="1"/>
  </cols>
  <sheetData>
    <row r="1" spans="1:18" s="1076" customFormat="1" ht="18">
      <c r="A1" s="1073" t="s">
        <v>1556</v>
      </c>
      <c r="B1" s="1074"/>
      <c r="C1" s="1074"/>
      <c r="D1" s="1074"/>
      <c r="E1" s="1074"/>
      <c r="F1" s="1074"/>
      <c r="G1" s="1074"/>
      <c r="H1" s="1074"/>
      <c r="I1" s="1075"/>
    </row>
    <row r="2" spans="1:18" s="1076" customFormat="1" ht="18" hidden="1">
      <c r="A2" s="1077" t="s">
        <v>373</v>
      </c>
      <c r="B2" s="1074"/>
      <c r="C2" s="1074"/>
      <c r="D2" s="1074"/>
      <c r="E2" s="1074"/>
      <c r="F2" s="1074"/>
      <c r="G2" s="1074"/>
      <c r="H2" s="1074"/>
      <c r="I2" s="1075"/>
    </row>
    <row r="3" spans="1:18" s="1076" customFormat="1" ht="19" hidden="1">
      <c r="A3" s="1078" t="s">
        <v>374</v>
      </c>
      <c r="B3" s="1074"/>
      <c r="C3" s="1074"/>
      <c r="D3" s="1074"/>
      <c r="E3" s="1074"/>
      <c r="F3" s="1074"/>
      <c r="G3" s="1074"/>
      <c r="H3" s="1074"/>
      <c r="I3" s="1075"/>
    </row>
    <row r="4" spans="1:18" s="1076" customFormat="1" ht="18">
      <c r="A4" s="1077" t="s">
        <v>1557</v>
      </c>
      <c r="B4" s="1074"/>
      <c r="C4" s="1074"/>
      <c r="D4" s="1074"/>
      <c r="E4" s="1074"/>
      <c r="F4" s="1074"/>
      <c r="G4" s="1074"/>
      <c r="H4" s="1074"/>
      <c r="I4" s="1075"/>
    </row>
    <row r="5" spans="1:18" s="1076" customFormat="1" ht="19">
      <c r="A5" s="1078" t="s">
        <v>105</v>
      </c>
      <c r="B5" s="1074"/>
      <c r="C5" s="1074"/>
      <c r="D5" s="1074"/>
      <c r="E5" s="1074"/>
      <c r="F5" s="1074"/>
      <c r="G5" s="1074"/>
      <c r="H5" s="1074"/>
      <c r="I5" s="1075"/>
    </row>
    <row r="6" spans="1:18" s="9" customFormat="1" ht="15.5">
      <c r="I6" s="250"/>
    </row>
    <row r="7" spans="1:18" s="9" customFormat="1" ht="15.5">
      <c r="A7" s="2417" t="s">
        <v>377</v>
      </c>
      <c r="B7" s="177"/>
      <c r="C7" s="177"/>
      <c r="D7" s="177"/>
      <c r="E7" s="177"/>
      <c r="F7" s="177"/>
      <c r="G7" s="177"/>
      <c r="H7" s="1148" t="s">
        <v>378</v>
      </c>
      <c r="I7" s="250"/>
    </row>
    <row r="8" spans="1:18" s="36" customFormat="1" ht="18" customHeight="1">
      <c r="A8" s="58"/>
      <c r="C8" s="313" t="s">
        <v>1558</v>
      </c>
      <c r="D8" s="56"/>
      <c r="E8" s="2418" t="s">
        <v>1559</v>
      </c>
      <c r="F8" s="2418"/>
      <c r="G8" s="2419"/>
      <c r="H8" s="2420" t="s">
        <v>1560</v>
      </c>
      <c r="I8" s="258"/>
    </row>
    <row r="9" spans="1:18" s="36" customFormat="1" ht="18" customHeight="1">
      <c r="A9" s="26" t="s">
        <v>387</v>
      </c>
      <c r="B9" s="76"/>
      <c r="C9" s="89" t="s">
        <v>405</v>
      </c>
      <c r="D9" s="90"/>
      <c r="E9" s="63" t="s">
        <v>1561</v>
      </c>
      <c r="F9" s="61" t="s">
        <v>1562</v>
      </c>
      <c r="G9" s="61" t="s">
        <v>1563</v>
      </c>
      <c r="H9" s="380" t="s">
        <v>1564</v>
      </c>
      <c r="I9" s="258"/>
    </row>
    <row r="10" spans="1:18" s="36" customFormat="1" ht="18" customHeight="1">
      <c r="A10" s="84" t="s">
        <v>395</v>
      </c>
      <c r="B10" s="127"/>
      <c r="C10" s="374" t="s">
        <v>1565</v>
      </c>
      <c r="D10" s="61" t="s">
        <v>1724</v>
      </c>
      <c r="E10" s="112" t="s">
        <v>1566</v>
      </c>
      <c r="F10" s="61" t="s">
        <v>1567</v>
      </c>
      <c r="G10" s="208" t="s">
        <v>383</v>
      </c>
      <c r="H10" s="178" t="s">
        <v>400</v>
      </c>
      <c r="I10" s="258"/>
    </row>
    <row r="11" spans="1:18" s="41" customFormat="1" ht="18" customHeight="1">
      <c r="A11" s="99"/>
      <c r="B11" s="62"/>
      <c r="C11" s="128" t="s">
        <v>1568</v>
      </c>
      <c r="D11" s="86" t="s">
        <v>1277</v>
      </c>
      <c r="E11" s="112" t="s">
        <v>1569</v>
      </c>
      <c r="F11" s="112" t="s">
        <v>1570</v>
      </c>
      <c r="G11" s="112" t="s">
        <v>388</v>
      </c>
      <c r="H11" s="178" t="s">
        <v>1571</v>
      </c>
      <c r="I11" s="259"/>
    </row>
    <row r="12" spans="1:18" s="36" customFormat="1" ht="18" customHeight="1">
      <c r="A12" s="67"/>
      <c r="B12" s="68"/>
      <c r="C12" s="213"/>
      <c r="D12" s="91"/>
      <c r="E12" s="92" t="s">
        <v>1572</v>
      </c>
      <c r="F12" s="91" t="s">
        <v>1573</v>
      </c>
      <c r="G12" s="2421" t="s">
        <v>1005</v>
      </c>
      <c r="H12" s="218" t="s">
        <v>418</v>
      </c>
      <c r="I12" s="260"/>
    </row>
    <row r="13" spans="1:18" s="357" customFormat="1" ht="21" customHeight="1">
      <c r="A13" s="263">
        <v>2016</v>
      </c>
      <c r="B13" s="402"/>
      <c r="C13" s="2466">
        <v>150317</v>
      </c>
      <c r="D13" s="1528">
        <v>2.5</v>
      </c>
      <c r="E13" s="1970">
        <v>32.700000000000003</v>
      </c>
      <c r="F13" s="1970">
        <v>68.8</v>
      </c>
      <c r="G13" s="1972">
        <f>'1'!D13</f>
        <v>815.9</v>
      </c>
      <c r="H13" s="2355">
        <f t="shared" ref="H13:H18" si="0">SUM(D13:G13)</f>
        <v>919.9</v>
      </c>
      <c r="I13" s="382"/>
      <c r="J13" s="1303"/>
      <c r="K13" s="889"/>
      <c r="L13" s="889"/>
      <c r="M13" s="889"/>
      <c r="N13" s="889"/>
      <c r="O13" s="889"/>
      <c r="P13" s="889"/>
      <c r="Q13" s="889"/>
    </row>
    <row r="14" spans="1:18" s="357" customFormat="1" ht="14.25" customHeight="1">
      <c r="A14" s="356">
        <v>2017</v>
      </c>
      <c r="B14" s="402"/>
      <c r="C14" s="2466">
        <v>150317</v>
      </c>
      <c r="D14" s="1528">
        <v>2.5</v>
      </c>
      <c r="E14" s="1970">
        <v>34.5</v>
      </c>
      <c r="F14" s="1970">
        <v>70.2</v>
      </c>
      <c r="G14" s="1972">
        <f>'1'!D14</f>
        <v>880.6</v>
      </c>
      <c r="H14" s="2355">
        <f t="shared" si="0"/>
        <v>987.80000000000007</v>
      </c>
      <c r="I14" s="382"/>
      <c r="J14" s="889"/>
      <c r="K14" s="889"/>
      <c r="L14" s="889"/>
      <c r="M14" s="889"/>
      <c r="N14" s="889"/>
      <c r="O14" s="889"/>
      <c r="P14" s="889"/>
      <c r="Q14" s="889"/>
      <c r="R14" s="889"/>
    </row>
    <row r="15" spans="1:18" s="889" customFormat="1" ht="14.25" customHeight="1">
      <c r="A15" s="884">
        <v>2018</v>
      </c>
      <c r="B15" s="1001"/>
      <c r="C15" s="2466">
        <v>150317</v>
      </c>
      <c r="D15" s="1528">
        <v>2.5</v>
      </c>
      <c r="E15" s="1970">
        <v>35.9</v>
      </c>
      <c r="F15" s="1970">
        <v>73.2</v>
      </c>
      <c r="G15" s="1972">
        <f>'1'!D15</f>
        <v>699.8</v>
      </c>
      <c r="H15" s="2355">
        <f t="shared" si="0"/>
        <v>811.4</v>
      </c>
      <c r="I15" s="382"/>
    </row>
    <row r="16" spans="1:18" s="889" customFormat="1" ht="14.25" customHeight="1">
      <c r="A16" s="884">
        <v>2019</v>
      </c>
      <c r="B16" s="1001"/>
      <c r="C16" s="2466">
        <v>150317</v>
      </c>
      <c r="D16" s="1528">
        <v>2.5</v>
      </c>
      <c r="E16" s="1970">
        <v>35.6</v>
      </c>
      <c r="F16" s="1970">
        <v>72.5</v>
      </c>
      <c r="G16" s="1972">
        <f>'1'!D16</f>
        <v>1276.0999999999999</v>
      </c>
      <c r="H16" s="2355">
        <f t="shared" si="0"/>
        <v>1386.6999999999998</v>
      </c>
      <c r="I16" s="382"/>
    </row>
    <row r="17" spans="1:10" s="889" customFormat="1" ht="14.25" customHeight="1">
      <c r="A17" s="884">
        <v>2020</v>
      </c>
      <c r="B17" s="1001"/>
      <c r="C17" s="2466">
        <v>150317</v>
      </c>
      <c r="D17" s="1528">
        <v>2.5</v>
      </c>
      <c r="E17" s="1970">
        <v>34.4</v>
      </c>
      <c r="F17" s="1970">
        <v>70</v>
      </c>
      <c r="G17" s="1972">
        <f>'1'!D17</f>
        <v>732</v>
      </c>
      <c r="H17" s="2355">
        <f t="shared" si="0"/>
        <v>838.9</v>
      </c>
      <c r="I17" s="382"/>
    </row>
    <row r="18" spans="1:10" s="889" customFormat="1" ht="14.25" customHeight="1">
      <c r="A18" s="884">
        <v>2021</v>
      </c>
      <c r="B18" s="1001"/>
      <c r="C18" s="2466">
        <v>150317</v>
      </c>
      <c r="D18" s="1528">
        <v>2.5</v>
      </c>
      <c r="E18" s="1970">
        <v>240.6</v>
      </c>
      <c r="F18" s="1970">
        <v>73.5</v>
      </c>
      <c r="G18" s="1972">
        <f>'1'!D18</f>
        <v>1468.6</v>
      </c>
      <c r="H18" s="2355">
        <f t="shared" si="0"/>
        <v>1785.1999999999998</v>
      </c>
      <c r="I18" s="382"/>
    </row>
    <row r="19" spans="1:10" s="483" customFormat="1" ht="14.25" customHeight="1">
      <c r="A19" s="1782">
        <v>2022</v>
      </c>
      <c r="B19" s="2354"/>
      <c r="C19" s="2466">
        <v>150317</v>
      </c>
      <c r="D19" s="1528">
        <v>2.5</v>
      </c>
      <c r="E19" s="1970">
        <v>225.6</v>
      </c>
      <c r="F19" s="1970">
        <v>68.900000000000006</v>
      </c>
      <c r="G19" s="1972">
        <v>1401.6</v>
      </c>
      <c r="H19" s="2355">
        <v>1698.6</v>
      </c>
      <c r="I19" s="1855"/>
    </row>
    <row r="20" spans="1:10" s="483" customFormat="1" ht="14.25" customHeight="1">
      <c r="A20" s="1782">
        <v>2023</v>
      </c>
      <c r="B20" s="2354"/>
      <c r="C20" s="2466">
        <v>150317</v>
      </c>
      <c r="D20" s="1528">
        <v>2.5</v>
      </c>
      <c r="E20" s="1970">
        <v>227.4</v>
      </c>
      <c r="F20" s="1970">
        <v>69</v>
      </c>
      <c r="G20" s="1972">
        <v>1512.7</v>
      </c>
      <c r="H20" s="2355">
        <v>1811.6</v>
      </c>
      <c r="I20" s="1855"/>
    </row>
    <row r="21" spans="1:10" s="483" customFormat="1" ht="14.25" customHeight="1">
      <c r="A21" s="1782">
        <v>2024</v>
      </c>
      <c r="B21" s="2354"/>
      <c r="C21" s="2466">
        <v>150317</v>
      </c>
      <c r="D21" s="1528">
        <v>2.5</v>
      </c>
      <c r="E21" s="1970">
        <v>224.1</v>
      </c>
      <c r="F21" s="1970">
        <v>67.5</v>
      </c>
      <c r="G21" s="1972">
        <v>1425</v>
      </c>
      <c r="H21" s="2355">
        <v>1719.1</v>
      </c>
      <c r="I21" s="1855"/>
    </row>
    <row r="22" spans="1:10" s="483" customFormat="1" ht="14.25" customHeight="1">
      <c r="A22" s="2058">
        <v>2025</v>
      </c>
      <c r="B22" s="2171"/>
      <c r="C22" s="2467">
        <f t="shared" ref="C22:H22" si="1">C29</f>
        <v>150317</v>
      </c>
      <c r="D22" s="2172">
        <f t="shared" si="1"/>
        <v>244.1</v>
      </c>
      <c r="E22" s="2173">
        <f t="shared" si="1"/>
        <v>231.9</v>
      </c>
      <c r="F22" s="2173">
        <f t="shared" si="1"/>
        <v>69.5</v>
      </c>
      <c r="G22" s="2175">
        <f t="shared" si="1"/>
        <v>1430.8</v>
      </c>
      <c r="H22" s="2176">
        <f t="shared" si="1"/>
        <v>1976.3</v>
      </c>
      <c r="I22" s="1855"/>
    </row>
    <row r="23" spans="1:10" s="889" customFormat="1" ht="21" customHeight="1">
      <c r="A23" s="884">
        <v>2024</v>
      </c>
      <c r="B23" s="1001" t="s">
        <v>243</v>
      </c>
      <c r="C23" s="2466">
        <v>150317</v>
      </c>
      <c r="D23" s="1528">
        <v>2.5</v>
      </c>
      <c r="E23" s="1970">
        <v>223.3</v>
      </c>
      <c r="F23" s="1970">
        <v>67.5</v>
      </c>
      <c r="G23" s="1972">
        <v>1505</v>
      </c>
      <c r="H23" s="2355">
        <v>1798.3</v>
      </c>
      <c r="I23" s="2433"/>
    </row>
    <row r="24" spans="1:10" s="889" customFormat="1" ht="15" customHeight="1">
      <c r="A24" s="884"/>
      <c r="B24" s="1001" t="s">
        <v>240</v>
      </c>
      <c r="C24" s="2466">
        <v>150317</v>
      </c>
      <c r="D24" s="1528">
        <v>2.5</v>
      </c>
      <c r="E24" s="1970">
        <v>223.7</v>
      </c>
      <c r="F24" s="1970">
        <v>67.5</v>
      </c>
      <c r="G24" s="1972">
        <v>1909.7</v>
      </c>
      <c r="H24" s="2355">
        <v>2203.4</v>
      </c>
      <c r="I24" s="2433"/>
    </row>
    <row r="25" spans="1:10" s="889" customFormat="1" ht="15" customHeight="1">
      <c r="A25" s="884"/>
      <c r="B25" s="1001" t="s">
        <v>241</v>
      </c>
      <c r="C25" s="2466">
        <v>150317</v>
      </c>
      <c r="D25" s="1528">
        <v>2.5</v>
      </c>
      <c r="E25" s="1970">
        <v>224.1</v>
      </c>
      <c r="F25" s="1970">
        <v>67.5</v>
      </c>
      <c r="G25" s="1972">
        <v>1425</v>
      </c>
      <c r="H25" s="2355">
        <v>1719.1</v>
      </c>
      <c r="I25" s="2433"/>
    </row>
    <row r="26" spans="1:10" s="889" customFormat="1" ht="21" customHeight="1">
      <c r="A26" s="884">
        <v>2025</v>
      </c>
      <c r="B26" s="1001" t="s">
        <v>242</v>
      </c>
      <c r="C26" s="2466">
        <v>150317</v>
      </c>
      <c r="D26" s="1528">
        <v>2.5</v>
      </c>
      <c r="E26" s="1970">
        <v>224.5</v>
      </c>
      <c r="F26" s="1970">
        <v>67.5</v>
      </c>
      <c r="G26" s="1972">
        <v>1048.8</v>
      </c>
      <c r="H26" s="2355">
        <v>1343.3</v>
      </c>
      <c r="I26" s="2433"/>
    </row>
    <row r="27" spans="1:10" s="889" customFormat="1" ht="15" customHeight="1">
      <c r="A27" s="884"/>
      <c r="B27" s="1001" t="s">
        <v>243</v>
      </c>
      <c r="C27" s="2466">
        <v>150317</v>
      </c>
      <c r="D27" s="1528">
        <v>2.5</v>
      </c>
      <c r="E27" s="1970">
        <v>231.3</v>
      </c>
      <c r="F27" s="1970">
        <v>69.5</v>
      </c>
      <c r="G27" s="1972">
        <v>1432.5</v>
      </c>
      <c r="H27" s="2355">
        <v>1735.8</v>
      </c>
      <c r="I27" s="2433"/>
    </row>
    <row r="28" spans="1:10" s="889" customFormat="1" ht="15" customHeight="1">
      <c r="A28" s="884"/>
      <c r="B28" s="1001" t="s">
        <v>240</v>
      </c>
      <c r="C28" s="2466">
        <f t="shared" ref="C28:H28" si="2">C35</f>
        <v>150317</v>
      </c>
      <c r="D28" s="1528">
        <f t="shared" si="2"/>
        <v>2.5</v>
      </c>
      <c r="E28" s="1970">
        <f t="shared" si="2"/>
        <v>231.6</v>
      </c>
      <c r="F28" s="1970">
        <f t="shared" si="2"/>
        <v>69.5</v>
      </c>
      <c r="G28" s="1972">
        <f t="shared" si="2"/>
        <v>1220.9000000000001</v>
      </c>
      <c r="H28" s="2355">
        <f t="shared" si="2"/>
        <v>1524.5</v>
      </c>
      <c r="I28" s="2433"/>
    </row>
    <row r="29" spans="1:10" s="889" customFormat="1" ht="15" customHeight="1">
      <c r="A29" s="884"/>
      <c r="B29" s="1001" t="s">
        <v>241</v>
      </c>
      <c r="C29" s="2466">
        <f t="shared" ref="C29:H29" si="3">C38</f>
        <v>150317</v>
      </c>
      <c r="D29" s="1528">
        <f t="shared" si="3"/>
        <v>244.1</v>
      </c>
      <c r="E29" s="1970">
        <f t="shared" si="3"/>
        <v>231.9</v>
      </c>
      <c r="F29" s="1970">
        <f t="shared" si="3"/>
        <v>69.5</v>
      </c>
      <c r="G29" s="1972">
        <f t="shared" si="3"/>
        <v>1430.8</v>
      </c>
      <c r="H29" s="2355">
        <f t="shared" si="3"/>
        <v>1976.3</v>
      </c>
      <c r="I29" s="2433"/>
    </row>
    <row r="30" spans="1:10" s="889" customFormat="1" ht="21" customHeight="1">
      <c r="A30" s="1681">
        <v>2026</v>
      </c>
      <c r="B30" s="1682" t="s">
        <v>242</v>
      </c>
      <c r="C30" s="2467">
        <f t="shared" ref="C30:H30" si="4">C41</f>
        <v>150317</v>
      </c>
      <c r="D30" s="2172">
        <f t="shared" si="4"/>
        <v>261.2</v>
      </c>
      <c r="E30" s="2173">
        <f t="shared" si="4"/>
        <v>232.2</v>
      </c>
      <c r="F30" s="2173">
        <f t="shared" si="4"/>
        <v>69.5</v>
      </c>
      <c r="G30" s="2175">
        <f t="shared" si="4"/>
        <v>1945.4</v>
      </c>
      <c r="H30" s="2176">
        <f t="shared" si="4"/>
        <v>2508.3000000000002</v>
      </c>
      <c r="I30" s="2433"/>
    </row>
    <row r="31" spans="1:10" s="483" customFormat="1" ht="21" customHeight="1">
      <c r="A31" s="1782">
        <v>2025</v>
      </c>
      <c r="B31" s="1783" t="s">
        <v>427</v>
      </c>
      <c r="C31" s="2466">
        <v>150317</v>
      </c>
      <c r="D31" s="1528">
        <v>2.5</v>
      </c>
      <c r="E31" s="1970">
        <v>231.3</v>
      </c>
      <c r="F31" s="1970">
        <v>69.5</v>
      </c>
      <c r="G31" s="1972">
        <v>1710</v>
      </c>
      <c r="H31" s="2355">
        <v>2013.3</v>
      </c>
      <c r="I31" s="1855"/>
    </row>
    <row r="32" spans="1:10" s="483" customFormat="1" ht="15" customHeight="1">
      <c r="A32" s="1782"/>
      <c r="B32" s="1783" t="s">
        <v>428</v>
      </c>
      <c r="C32" s="2466">
        <v>150317</v>
      </c>
      <c r="D32" s="1528">
        <f>'1'!C32</f>
        <v>2.5</v>
      </c>
      <c r="E32" s="1970">
        <v>231.3</v>
      </c>
      <c r="F32" s="1970">
        <v>69.5</v>
      </c>
      <c r="G32" s="1972">
        <f>'1'!D32</f>
        <v>1432.5</v>
      </c>
      <c r="H32" s="2355">
        <f t="shared" ref="H32" si="5">SUM(D32:G32)</f>
        <v>1735.8</v>
      </c>
      <c r="I32" s="1855"/>
      <c r="J32" s="1837"/>
    </row>
    <row r="33" spans="1:31" s="483" customFormat="1" ht="15" customHeight="1">
      <c r="A33" s="1782"/>
      <c r="B33" s="1783" t="s">
        <v>429</v>
      </c>
      <c r="C33" s="2466">
        <v>150317</v>
      </c>
      <c r="D33" s="1528">
        <f>'1'!C33</f>
        <v>2.5</v>
      </c>
      <c r="E33" s="1970">
        <v>231.3</v>
      </c>
      <c r="F33" s="1970">
        <v>69.5</v>
      </c>
      <c r="G33" s="1972">
        <f>'1'!D33</f>
        <v>1605.2</v>
      </c>
      <c r="H33" s="2355">
        <f t="shared" ref="H33" si="6">SUM(D33:G33)</f>
        <v>1908.5</v>
      </c>
      <c r="I33" s="1855"/>
      <c r="J33" s="1837"/>
    </row>
    <row r="34" spans="1:31" s="483" customFormat="1" ht="15" customHeight="1">
      <c r="A34" s="1782"/>
      <c r="B34" s="1783" t="s">
        <v>430</v>
      </c>
      <c r="C34" s="2466">
        <v>150317</v>
      </c>
      <c r="D34" s="1528">
        <f>'1'!C34</f>
        <v>2.5</v>
      </c>
      <c r="E34" s="1970">
        <v>231.6</v>
      </c>
      <c r="F34" s="1970">
        <v>69.5</v>
      </c>
      <c r="G34" s="1972">
        <f>'1'!D34</f>
        <v>1334.5</v>
      </c>
      <c r="H34" s="2355">
        <f t="shared" ref="H34" si="7">SUM(D34:G34)</f>
        <v>1638.1</v>
      </c>
      <c r="I34" s="1855"/>
      <c r="J34" s="1837"/>
    </row>
    <row r="35" spans="1:31" s="483" customFormat="1" ht="15" customHeight="1">
      <c r="A35" s="1782"/>
      <c r="B35" s="1783" t="s">
        <v>431</v>
      </c>
      <c r="C35" s="2466">
        <v>150317</v>
      </c>
      <c r="D35" s="1528">
        <f>'1'!C35</f>
        <v>2.5</v>
      </c>
      <c r="E35" s="2456">
        <v>231.6</v>
      </c>
      <c r="F35" s="2456">
        <v>69.5</v>
      </c>
      <c r="G35" s="1972">
        <f>'1'!D35</f>
        <v>1220.9000000000001</v>
      </c>
      <c r="H35" s="2355">
        <f t="shared" ref="H35" si="8">SUM(D35:G35)</f>
        <v>1524.5</v>
      </c>
      <c r="I35" s="1855"/>
      <c r="J35" s="1837"/>
    </row>
    <row r="36" spans="1:31" s="483" customFormat="1" ht="15" customHeight="1">
      <c r="A36" s="1782"/>
      <c r="B36" s="1783" t="s">
        <v>420</v>
      </c>
      <c r="C36" s="2466">
        <v>150317</v>
      </c>
      <c r="D36" s="1528">
        <f>'1'!C36</f>
        <v>2.5</v>
      </c>
      <c r="E36" s="2456">
        <v>231.6</v>
      </c>
      <c r="F36" s="2456">
        <v>69.5</v>
      </c>
      <c r="G36" s="1972">
        <f>'1'!D36</f>
        <v>1588.6</v>
      </c>
      <c r="H36" s="2355">
        <f t="shared" ref="H36" si="9">SUM(D36:G36)</f>
        <v>1892.1999999999998</v>
      </c>
      <c r="I36" s="1855"/>
      <c r="J36" s="1837"/>
    </row>
    <row r="37" spans="1:31" s="483" customFormat="1" ht="15" customHeight="1">
      <c r="A37" s="1782"/>
      <c r="B37" s="1783" t="s">
        <v>421</v>
      </c>
      <c r="C37" s="2466">
        <v>150317</v>
      </c>
      <c r="D37" s="1528">
        <f>'1'!C37</f>
        <v>2.5</v>
      </c>
      <c r="E37" s="2456">
        <v>231.9</v>
      </c>
      <c r="F37" s="2456">
        <v>69.5</v>
      </c>
      <c r="G37" s="1972">
        <f>'1'!D37</f>
        <v>1364.2</v>
      </c>
      <c r="H37" s="2355">
        <f t="shared" ref="H37" si="10">SUM(D37:G37)</f>
        <v>1668.1</v>
      </c>
      <c r="I37" s="1855"/>
      <c r="J37" s="1837"/>
    </row>
    <row r="38" spans="1:31" s="483" customFormat="1" ht="15" customHeight="1">
      <c r="A38" s="1782"/>
      <c r="B38" s="1783" t="s">
        <v>422</v>
      </c>
      <c r="C38" s="2466">
        <v>150317</v>
      </c>
      <c r="D38" s="1528">
        <f>'1'!C38</f>
        <v>244.1</v>
      </c>
      <c r="E38" s="2456">
        <v>231.9</v>
      </c>
      <c r="F38" s="2456">
        <v>69.5</v>
      </c>
      <c r="G38" s="1972">
        <f>'1'!D38</f>
        <v>1430.8</v>
      </c>
      <c r="H38" s="2355">
        <f t="shared" ref="H38" si="11">SUM(D38:G38)</f>
        <v>1976.3</v>
      </c>
      <c r="I38" s="1855"/>
      <c r="J38" s="1837"/>
    </row>
    <row r="39" spans="1:31" s="483" customFormat="1" ht="21" customHeight="1">
      <c r="A39" s="1782">
        <v>2026</v>
      </c>
      <c r="B39" s="1783" t="s">
        <v>423</v>
      </c>
      <c r="C39" s="2466">
        <v>150317</v>
      </c>
      <c r="D39" s="1528">
        <f>'1'!C39</f>
        <v>282.3</v>
      </c>
      <c r="E39" s="2456">
        <v>231.9</v>
      </c>
      <c r="F39" s="2456">
        <v>69.5</v>
      </c>
      <c r="G39" s="1972">
        <f>'1'!D39</f>
        <v>1076.3</v>
      </c>
      <c r="H39" s="2355">
        <f t="shared" ref="H39" si="12">SUM(D39:G39)</f>
        <v>1660</v>
      </c>
      <c r="I39" s="1855"/>
      <c r="J39" s="1837"/>
    </row>
    <row r="40" spans="1:31" s="483" customFormat="1" ht="15" customHeight="1">
      <c r="A40" s="1782"/>
      <c r="B40" s="1783" t="s">
        <v>424</v>
      </c>
      <c r="C40" s="2466">
        <v>150317</v>
      </c>
      <c r="D40" s="1528">
        <f>'1'!C40</f>
        <v>296</v>
      </c>
      <c r="E40" s="2456">
        <v>232.2</v>
      </c>
      <c r="F40" s="2456">
        <v>69.5</v>
      </c>
      <c r="G40" s="1972">
        <f>'1'!D40</f>
        <v>1774.5</v>
      </c>
      <c r="H40" s="2355">
        <f t="shared" ref="H40" si="13">SUM(D40:G40)</f>
        <v>2372.1999999999998</v>
      </c>
      <c r="I40" s="1855"/>
      <c r="J40" s="1837"/>
    </row>
    <row r="41" spans="1:31" s="483" customFormat="1" ht="15" customHeight="1">
      <c r="A41" s="1782"/>
      <c r="B41" s="1783" t="s">
        <v>425</v>
      </c>
      <c r="C41" s="2466">
        <v>150317</v>
      </c>
      <c r="D41" s="1528">
        <f>'1'!C41</f>
        <v>261.2</v>
      </c>
      <c r="E41" s="2456">
        <v>232.2</v>
      </c>
      <c r="F41" s="2456">
        <v>69.5</v>
      </c>
      <c r="G41" s="1972">
        <f>'1'!D41</f>
        <v>1945.4</v>
      </c>
      <c r="H41" s="2355">
        <f t="shared" ref="H41" si="14">SUM(D41:G41)</f>
        <v>2508.3000000000002</v>
      </c>
      <c r="I41" s="1855"/>
      <c r="J41" s="1837"/>
    </row>
    <row r="42" spans="1:31" s="483" customFormat="1" ht="15" customHeight="1">
      <c r="A42" s="1782"/>
      <c r="B42" s="1783" t="s">
        <v>426</v>
      </c>
      <c r="C42" s="2466">
        <v>150317</v>
      </c>
      <c r="D42" s="1528">
        <f>'1'!C42</f>
        <v>261.3</v>
      </c>
      <c r="E42" s="2456">
        <v>234.9</v>
      </c>
      <c r="F42" s="2456">
        <v>70.3</v>
      </c>
      <c r="G42" s="1972">
        <f>'1'!D42</f>
        <v>1306</v>
      </c>
      <c r="H42" s="2355">
        <f t="shared" ref="H42" si="15">SUM(D42:G42)</f>
        <v>1872.5</v>
      </c>
      <c r="I42" s="1855"/>
      <c r="J42" s="1837"/>
    </row>
    <row r="43" spans="1:31" s="483" customFormat="1" ht="15" customHeight="1">
      <c r="A43" s="1782"/>
      <c r="B43" s="1783" t="s">
        <v>427</v>
      </c>
      <c r="C43" s="2466">
        <v>150317</v>
      </c>
      <c r="D43" s="1528">
        <f>'1'!C43</f>
        <v>257.60000000000002</v>
      </c>
      <c r="E43" s="2456">
        <v>235.2</v>
      </c>
      <c r="F43" s="2456">
        <v>70.3</v>
      </c>
      <c r="G43" s="1972">
        <f>'1'!D43</f>
        <v>567.6</v>
      </c>
      <c r="H43" s="2355">
        <f t="shared" ref="H43" si="16">SUM(D43:G43)</f>
        <v>1130.7</v>
      </c>
      <c r="I43" s="1855"/>
      <c r="J43" s="1837"/>
    </row>
    <row r="44" spans="1:31" s="355" customFormat="1" ht="14">
      <c r="A44" s="2426"/>
      <c r="B44" s="2426"/>
      <c r="C44" s="224"/>
      <c r="D44" s="224"/>
      <c r="E44" s="224"/>
      <c r="F44" s="622"/>
      <c r="G44" s="224"/>
      <c r="H44" s="224" t="s">
        <v>119</v>
      </c>
      <c r="I44" s="261"/>
      <c r="J44"/>
      <c r="K44"/>
      <c r="L44"/>
      <c r="M44"/>
      <c r="N44"/>
      <c r="O44"/>
      <c r="P44"/>
      <c r="Q44"/>
      <c r="R44"/>
      <c r="S44"/>
      <c r="T44"/>
      <c r="U44"/>
      <c r="V44"/>
      <c r="W44"/>
      <c r="X44"/>
      <c r="Y44"/>
      <c r="Z44"/>
      <c r="AA44"/>
      <c r="AB44"/>
      <c r="AC44"/>
      <c r="AD44"/>
      <c r="AE44"/>
    </row>
    <row r="45" spans="1:31" ht="12.75" customHeight="1"/>
    <row r="46" spans="1:31" ht="14">
      <c r="A46" s="476" t="s">
        <v>1574</v>
      </c>
      <c r="B46" s="1"/>
      <c r="C46" s="1"/>
      <c r="D46" s="1"/>
      <c r="E46" s="1"/>
      <c r="F46" s="1"/>
      <c r="G46" s="1"/>
      <c r="H46" s="1"/>
    </row>
    <row r="50" spans="3:9">
      <c r="C50" s="1271"/>
      <c r="D50" s="1271"/>
      <c r="E50" s="1271"/>
      <c r="F50" s="1271"/>
      <c r="G50" s="1271"/>
      <c r="H50" s="1271"/>
      <c r="I50"/>
    </row>
  </sheetData>
  <printOptions horizontalCentered="1" verticalCentered="1"/>
  <pageMargins left="0" right="0" top="0" bottom="0" header="0.51181102362204722" footer="0.51181102362204722"/>
  <pageSetup paperSize="9" scale="77"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9">
    <tabColor rgb="FFFF0000"/>
  </sheetPr>
  <dimension ref="A1:U50"/>
  <sheetViews>
    <sheetView zoomScale="80" zoomScaleNormal="80" workbookViewId="0">
      <pane ySplit="12" topLeftCell="A35" activePane="bottomLeft" state="frozen"/>
      <selection activeCell="B44" sqref="B44"/>
      <selection pane="bottomLeft" activeCell="E43" sqref="E43"/>
    </sheetView>
  </sheetViews>
  <sheetFormatPr defaultColWidth="9.1796875" defaultRowHeight="12.5"/>
  <cols>
    <col min="1" max="2" width="9.7265625" style="744" customWidth="1"/>
    <col min="3" max="3" width="14.7265625" style="744" customWidth="1"/>
    <col min="4" max="4" width="16.81640625" style="744" customWidth="1"/>
    <col min="5" max="5" width="18.7265625" style="744" customWidth="1"/>
    <col min="6" max="8" width="16.7265625" style="744" customWidth="1"/>
    <col min="9" max="9" width="17.7265625" style="744" customWidth="1"/>
    <col min="10" max="10" width="16.7265625" style="744" customWidth="1"/>
    <col min="11" max="11" width="15.7265625" style="744" customWidth="1"/>
    <col min="12" max="12" width="15.81640625" style="744" customWidth="1"/>
    <col min="13" max="16384" width="9.1796875" style="744"/>
  </cols>
  <sheetData>
    <row r="1" spans="1:21" s="1100" customFormat="1" ht="18" customHeight="1">
      <c r="A1" s="1098" t="s">
        <v>1575</v>
      </c>
      <c r="B1" s="1098"/>
      <c r="C1" s="1098"/>
      <c r="D1" s="1098"/>
      <c r="E1" s="1098"/>
      <c r="F1" s="1098"/>
      <c r="G1" s="1098"/>
      <c r="H1" s="1098"/>
      <c r="I1" s="1098"/>
      <c r="J1" s="1098"/>
      <c r="K1" s="1098"/>
      <c r="L1" s="1098"/>
    </row>
    <row r="2" spans="1:21" s="1100" customFormat="1" ht="18" customHeight="1">
      <c r="A2" s="1098" t="s">
        <v>1576</v>
      </c>
      <c r="B2" s="1098"/>
      <c r="C2" s="1098"/>
      <c r="D2" s="1098"/>
      <c r="E2" s="1098"/>
      <c r="F2" s="1098"/>
      <c r="G2" s="1098"/>
      <c r="H2" s="1098"/>
      <c r="I2" s="1098"/>
      <c r="J2" s="1098"/>
      <c r="K2" s="1098"/>
      <c r="L2" s="1098"/>
    </row>
    <row r="3" spans="1:21" s="1100" customFormat="1" ht="16" customHeight="1">
      <c r="A3" s="1124" t="s">
        <v>1577</v>
      </c>
      <c r="B3" s="1137"/>
      <c r="C3" s="1137"/>
      <c r="D3" s="1137"/>
      <c r="E3" s="1137"/>
      <c r="F3" s="1137"/>
      <c r="G3" s="1137"/>
      <c r="H3" s="1137"/>
      <c r="I3" s="1137"/>
      <c r="J3" s="1137"/>
      <c r="K3" s="1137"/>
      <c r="L3" s="1137"/>
    </row>
    <row r="4" spans="1:21" s="1100" customFormat="1" ht="16" hidden="1" customHeight="1">
      <c r="A4" s="1124"/>
      <c r="B4" s="1137"/>
      <c r="C4" s="1137"/>
      <c r="D4" s="1137"/>
      <c r="E4" s="1137"/>
      <c r="F4" s="1137"/>
      <c r="G4" s="1137"/>
      <c r="H4" s="1137"/>
      <c r="I4" s="1137"/>
      <c r="J4" s="1137"/>
      <c r="K4" s="1137"/>
      <c r="L4" s="1137"/>
    </row>
    <row r="5" spans="1:21" s="1100" customFormat="1" ht="16" hidden="1" customHeight="1">
      <c r="A5" s="1124"/>
      <c r="B5" s="1137"/>
      <c r="C5" s="1137"/>
      <c r="D5" s="1137"/>
      <c r="E5" s="1137"/>
      <c r="F5" s="1137"/>
      <c r="G5" s="1137"/>
      <c r="H5" s="1137"/>
      <c r="I5" s="1137"/>
      <c r="J5" s="1137"/>
      <c r="K5" s="1137"/>
      <c r="L5" s="1137"/>
    </row>
    <row r="6" spans="1:21" ht="16" hidden="1" customHeight="1">
      <c r="A6" s="767"/>
      <c r="B6" s="768"/>
      <c r="C6" s="768"/>
      <c r="D6" s="768"/>
      <c r="E6" s="768"/>
      <c r="F6" s="768"/>
      <c r="G6" s="768"/>
      <c r="H6" s="768"/>
      <c r="I6" s="768"/>
      <c r="J6" s="768"/>
      <c r="K6" s="768"/>
      <c r="L6" s="768"/>
    </row>
    <row r="7" spans="1:21" s="1169" customFormat="1" ht="14.9" customHeight="1">
      <c r="A7" s="1102"/>
      <c r="B7" s="1102"/>
      <c r="C7" s="1168"/>
      <c r="D7" s="1168"/>
      <c r="E7" s="1168"/>
      <c r="F7" s="1168"/>
      <c r="G7" s="1168"/>
      <c r="H7" s="1168"/>
      <c r="I7" s="1168"/>
      <c r="J7" s="1168"/>
      <c r="K7" s="1168"/>
      <c r="L7" s="1168"/>
    </row>
    <row r="8" spans="1:21" s="772" customFormat="1" ht="14">
      <c r="A8" s="769"/>
      <c r="B8" s="770"/>
      <c r="C8" s="771" t="s">
        <v>1578</v>
      </c>
      <c r="D8" s="771" t="s">
        <v>1579</v>
      </c>
      <c r="E8" s="771" t="s">
        <v>1580</v>
      </c>
      <c r="F8" s="771" t="s">
        <v>1581</v>
      </c>
      <c r="G8" s="2005" t="s">
        <v>1582</v>
      </c>
      <c r="H8" s="2005" t="s">
        <v>1583</v>
      </c>
      <c r="I8" s="2004" t="s">
        <v>1584</v>
      </c>
      <c r="J8" s="771"/>
      <c r="K8" s="771"/>
      <c r="L8" s="771" t="s">
        <v>1585</v>
      </c>
    </row>
    <row r="9" spans="1:21" s="772" customFormat="1" ht="14.25" customHeight="1">
      <c r="A9" s="1999"/>
      <c r="B9" s="2000"/>
      <c r="C9" s="773" t="s">
        <v>1586</v>
      </c>
      <c r="D9" s="773" t="s">
        <v>1587</v>
      </c>
      <c r="E9" s="773" t="s">
        <v>1588</v>
      </c>
      <c r="F9" s="773" t="s">
        <v>1589</v>
      </c>
      <c r="G9" s="2002" t="s">
        <v>1590</v>
      </c>
      <c r="H9" s="2002" t="s">
        <v>1590</v>
      </c>
      <c r="I9" s="2001" t="s">
        <v>1591</v>
      </c>
      <c r="J9" s="774" t="s">
        <v>1592</v>
      </c>
      <c r="K9" s="774" t="s">
        <v>1593</v>
      </c>
      <c r="L9" s="774" t="s">
        <v>1594</v>
      </c>
    </row>
    <row r="10" spans="1:21" s="772" customFormat="1" ht="14">
      <c r="A10" s="775" t="s">
        <v>1595</v>
      </c>
      <c r="B10" s="776"/>
      <c r="C10" s="777" t="s">
        <v>1596</v>
      </c>
      <c r="D10" s="777" t="s">
        <v>1597</v>
      </c>
      <c r="E10" s="777" t="s">
        <v>1598</v>
      </c>
      <c r="F10" s="777" t="s">
        <v>1596</v>
      </c>
      <c r="G10" s="778" t="s">
        <v>977</v>
      </c>
      <c r="H10" s="778" t="s">
        <v>1599</v>
      </c>
      <c r="I10" s="779" t="s">
        <v>1600</v>
      </c>
      <c r="J10" s="777" t="s">
        <v>1601</v>
      </c>
      <c r="L10" s="777" t="s">
        <v>1602</v>
      </c>
    </row>
    <row r="11" spans="1:21" s="772" customFormat="1" ht="14">
      <c r="A11" s="775" t="s">
        <v>1603</v>
      </c>
      <c r="B11" s="776"/>
      <c r="C11" s="777" t="s">
        <v>1604</v>
      </c>
      <c r="D11" s="777" t="s">
        <v>1605</v>
      </c>
      <c r="E11" s="777" t="s">
        <v>1606</v>
      </c>
      <c r="F11" s="777" t="s">
        <v>1607</v>
      </c>
      <c r="G11" s="778" t="s">
        <v>1608</v>
      </c>
      <c r="H11" s="778" t="s">
        <v>1609</v>
      </c>
      <c r="I11" s="779" t="s">
        <v>1610</v>
      </c>
      <c r="J11" s="777" t="s">
        <v>1611</v>
      </c>
      <c r="K11" s="777" t="s">
        <v>1612</v>
      </c>
      <c r="L11" s="777" t="s">
        <v>1613</v>
      </c>
    </row>
    <row r="12" spans="1:21" s="786" customFormat="1" ht="14">
      <c r="A12" s="780"/>
      <c r="B12" s="781"/>
      <c r="C12" s="782" t="s">
        <v>1614</v>
      </c>
      <c r="D12" s="783" t="s">
        <v>1615</v>
      </c>
      <c r="E12" s="782" t="s">
        <v>1616</v>
      </c>
      <c r="F12" s="784"/>
      <c r="G12" s="1491" t="s">
        <v>1617</v>
      </c>
      <c r="H12" s="782" t="s">
        <v>1617</v>
      </c>
      <c r="I12" s="785" t="s">
        <v>1618</v>
      </c>
      <c r="J12" s="783" t="s">
        <v>730</v>
      </c>
      <c r="K12" s="783"/>
      <c r="L12" s="783"/>
    </row>
    <row r="13" spans="1:21" s="772" customFormat="1" ht="20.25" customHeight="1">
      <c r="A13" s="704">
        <v>2016</v>
      </c>
      <c r="B13" s="787"/>
      <c r="C13" s="788">
        <v>44</v>
      </c>
      <c r="D13" s="789">
        <v>734391.93700000003</v>
      </c>
      <c r="E13" s="790">
        <v>124453.992</v>
      </c>
      <c r="F13" s="791">
        <v>10592</v>
      </c>
      <c r="G13" s="800" t="s">
        <v>1619</v>
      </c>
      <c r="H13" s="793">
        <v>1220.45</v>
      </c>
      <c r="I13" s="794">
        <v>7248.4495200000001</v>
      </c>
      <c r="J13" s="875">
        <v>1.72</v>
      </c>
      <c r="K13" s="795">
        <v>8.99</v>
      </c>
      <c r="L13" s="795">
        <v>4.1100000000000003</v>
      </c>
    </row>
    <row r="14" spans="1:21" s="772" customFormat="1" ht="16" customHeight="1">
      <c r="A14" s="704">
        <v>2017</v>
      </c>
      <c r="B14" s="799"/>
      <c r="C14" s="796">
        <v>43</v>
      </c>
      <c r="D14" s="791">
        <v>1129827</v>
      </c>
      <c r="E14" s="797">
        <v>211339</v>
      </c>
      <c r="F14" s="791">
        <v>19440</v>
      </c>
      <c r="G14" s="793" t="s">
        <v>1619</v>
      </c>
      <c r="H14" s="793">
        <v>1331.71</v>
      </c>
      <c r="I14" s="792">
        <v>8146.33</v>
      </c>
      <c r="J14" s="875">
        <v>2.58</v>
      </c>
      <c r="K14" s="798">
        <v>9.43</v>
      </c>
      <c r="L14" s="798">
        <v>4.82</v>
      </c>
    </row>
    <row r="15" spans="1:21" s="772" customFormat="1" ht="16.5" customHeight="1">
      <c r="A15" s="704">
        <v>2018</v>
      </c>
      <c r="B15" s="801"/>
      <c r="C15" s="796">
        <v>44</v>
      </c>
      <c r="D15" s="791">
        <v>1441081.638</v>
      </c>
      <c r="E15" s="797">
        <v>321919</v>
      </c>
      <c r="F15" s="791">
        <v>19225</v>
      </c>
      <c r="G15" s="793" t="s">
        <v>1620</v>
      </c>
      <c r="H15" s="793">
        <v>1337.26</v>
      </c>
      <c r="I15" s="792">
        <v>8198.5304350000006</v>
      </c>
      <c r="J15" s="1005">
        <v>3.88</v>
      </c>
      <c r="K15" s="798">
        <v>9.69</v>
      </c>
      <c r="L15" s="798">
        <v>5.22</v>
      </c>
      <c r="M15" s="1809"/>
      <c r="N15" s="1000"/>
      <c r="O15" s="1000"/>
      <c r="P15" s="1000"/>
      <c r="Q15" s="1000"/>
      <c r="R15" s="1000"/>
      <c r="S15" s="1000"/>
      <c r="T15" s="1000"/>
      <c r="U15" s="1000"/>
    </row>
    <row r="16" spans="1:21" s="772" customFormat="1" ht="16.5" customHeight="1">
      <c r="A16" s="704">
        <v>2019</v>
      </c>
      <c r="B16" s="801"/>
      <c r="C16" s="796">
        <v>44</v>
      </c>
      <c r="D16" s="791">
        <v>397719</v>
      </c>
      <c r="E16" s="797">
        <v>56461</v>
      </c>
      <c r="F16" s="791">
        <v>4209</v>
      </c>
      <c r="G16" s="793" t="s">
        <v>1620</v>
      </c>
      <c r="H16" s="793">
        <v>1610.18</v>
      </c>
      <c r="I16" s="792">
        <v>10134.620000000001</v>
      </c>
      <c r="J16" s="1005">
        <v>2.82</v>
      </c>
      <c r="K16" s="798">
        <v>11.27</v>
      </c>
      <c r="L16" s="798">
        <v>4.0999999999999996</v>
      </c>
      <c r="M16" s="1809"/>
      <c r="N16" s="1000"/>
      <c r="O16" s="1000"/>
      <c r="P16" s="1000"/>
      <c r="Q16" s="1000"/>
      <c r="R16" s="1000"/>
      <c r="S16" s="1000"/>
      <c r="T16" s="1000"/>
      <c r="U16" s="1000"/>
    </row>
    <row r="17" spans="1:21" s="772" customFormat="1" ht="16.5" customHeight="1">
      <c r="A17" s="704">
        <v>2020</v>
      </c>
      <c r="B17" s="801"/>
      <c r="C17" s="796">
        <v>43</v>
      </c>
      <c r="D17" s="791">
        <v>1063071.6359999999</v>
      </c>
      <c r="E17" s="797">
        <v>193309.04775</v>
      </c>
      <c r="F17" s="791">
        <v>18074</v>
      </c>
      <c r="G17" s="793" t="s">
        <v>1620</v>
      </c>
      <c r="H17" s="793">
        <v>1489.78</v>
      </c>
      <c r="I17" s="792">
        <v>9277.25</v>
      </c>
      <c r="J17" s="1005">
        <v>2.1800000000000002</v>
      </c>
      <c r="K17" s="798">
        <v>11.29</v>
      </c>
      <c r="L17" s="798">
        <v>5.07</v>
      </c>
      <c r="M17" s="1809"/>
      <c r="N17" s="1000"/>
      <c r="O17" s="1000"/>
      <c r="P17" s="1000"/>
      <c r="Q17" s="1000"/>
      <c r="R17" s="1000"/>
      <c r="S17" s="1000"/>
      <c r="T17" s="1000"/>
      <c r="U17" s="1000"/>
    </row>
    <row r="18" spans="1:21" s="772" customFormat="1" ht="16.5" customHeight="1">
      <c r="A18" s="704">
        <v>2021</v>
      </c>
      <c r="B18" s="801"/>
      <c r="C18" s="796">
        <v>42</v>
      </c>
      <c r="D18" s="791">
        <v>1018298.618</v>
      </c>
      <c r="E18" s="797">
        <v>195678</v>
      </c>
      <c r="F18" s="791">
        <v>21001</v>
      </c>
      <c r="G18" s="793" t="s">
        <v>1620</v>
      </c>
      <c r="H18" s="793">
        <v>1797.25</v>
      </c>
      <c r="I18" s="792">
        <v>10815.45</v>
      </c>
      <c r="J18" s="1005">
        <v>1.7</v>
      </c>
      <c r="K18" s="798">
        <v>20.350000000000001</v>
      </c>
      <c r="L18" s="798">
        <v>1.89</v>
      </c>
      <c r="M18" s="1809"/>
      <c r="N18" s="1000"/>
      <c r="O18" s="1000"/>
      <c r="P18" s="1000"/>
      <c r="Q18" s="1000"/>
      <c r="R18" s="1000"/>
      <c r="S18" s="1000"/>
      <c r="T18" s="1000"/>
      <c r="U18" s="1000"/>
    </row>
    <row r="19" spans="1:21" s="772" customFormat="1" ht="16.5" customHeight="1">
      <c r="A19" s="704">
        <v>2022</v>
      </c>
      <c r="B19" s="801"/>
      <c r="C19" s="796">
        <v>43</v>
      </c>
      <c r="D19" s="791">
        <v>536936</v>
      </c>
      <c r="E19" s="797">
        <v>169789</v>
      </c>
      <c r="F19" s="791">
        <v>17474</v>
      </c>
      <c r="G19" s="793" t="s">
        <v>1620</v>
      </c>
      <c r="H19" s="793">
        <v>1895.27</v>
      </c>
      <c r="I19" s="792">
        <v>11408.89</v>
      </c>
      <c r="J19" s="1005">
        <v>1.41</v>
      </c>
      <c r="K19" s="798">
        <v>9.83</v>
      </c>
      <c r="L19" s="798">
        <v>3.81</v>
      </c>
      <c r="M19" s="1915"/>
      <c r="N19" s="1916"/>
      <c r="O19" s="1916"/>
      <c r="P19" s="1916"/>
      <c r="Q19" s="1916"/>
      <c r="R19" s="1916"/>
      <c r="S19" s="1916"/>
      <c r="T19" s="1916"/>
      <c r="U19" s="1916"/>
    </row>
    <row r="20" spans="1:21" s="772" customFormat="1" ht="16.5" customHeight="1">
      <c r="A20" s="704">
        <v>2023</v>
      </c>
      <c r="B20" s="801"/>
      <c r="C20" s="796">
        <v>42</v>
      </c>
      <c r="D20" s="791">
        <v>780702</v>
      </c>
      <c r="E20" s="797">
        <v>210239</v>
      </c>
      <c r="F20" s="791">
        <v>17730</v>
      </c>
      <c r="G20" s="793" t="s">
        <v>1620</v>
      </c>
      <c r="H20" s="793">
        <v>1971.49</v>
      </c>
      <c r="I20" s="792">
        <v>7768.57</v>
      </c>
      <c r="J20" s="1005">
        <v>1.62</v>
      </c>
      <c r="K20" s="798">
        <v>7.81</v>
      </c>
      <c r="L20" s="798">
        <v>5.56</v>
      </c>
      <c r="M20" s="1915"/>
      <c r="N20" s="1916"/>
      <c r="O20" s="1916"/>
      <c r="P20" s="1916"/>
      <c r="Q20" s="1916"/>
      <c r="R20" s="1916"/>
      <c r="S20" s="1916"/>
      <c r="T20" s="1916"/>
      <c r="U20" s="1916"/>
    </row>
    <row r="21" spans="1:21" s="772" customFormat="1" ht="16.5" customHeight="1">
      <c r="A21" s="704">
        <v>2024</v>
      </c>
      <c r="B21" s="801"/>
      <c r="C21" s="796">
        <v>41</v>
      </c>
      <c r="D21" s="791">
        <v>1483917</v>
      </c>
      <c r="E21" s="797">
        <v>319799</v>
      </c>
      <c r="F21" s="791">
        <v>17014</v>
      </c>
      <c r="G21" s="793" t="s">
        <v>1620</v>
      </c>
      <c r="H21" s="793">
        <v>1985.91</v>
      </c>
      <c r="I21" s="792">
        <v>7693.68</v>
      </c>
      <c r="J21" s="1005">
        <v>3.84</v>
      </c>
      <c r="K21" s="798">
        <v>11.36</v>
      </c>
      <c r="L21" s="798">
        <v>4.7</v>
      </c>
      <c r="M21" s="1915"/>
      <c r="N21" s="1916"/>
      <c r="O21" s="1916"/>
      <c r="P21" s="1916"/>
      <c r="Q21" s="1916"/>
      <c r="R21" s="1916"/>
      <c r="S21" s="1916"/>
      <c r="T21" s="1916"/>
      <c r="U21" s="1916"/>
    </row>
    <row r="22" spans="1:21" s="772" customFormat="1" ht="16.5" customHeight="1">
      <c r="A22" s="1597">
        <v>2025</v>
      </c>
      <c r="B22" s="1786"/>
      <c r="C22" s="1787">
        <f>C29</f>
        <v>41</v>
      </c>
      <c r="D22" s="1788">
        <f>SUM(D26:D29)</f>
        <v>1420363</v>
      </c>
      <c r="E22" s="1789">
        <f>SUM(E26:E29)</f>
        <v>619075</v>
      </c>
      <c r="F22" s="1788">
        <f>SUM(F26:F29)</f>
        <v>21776</v>
      </c>
      <c r="G22" s="1790" t="s">
        <v>1620</v>
      </c>
      <c r="H22" s="1790">
        <f>H29</f>
        <v>2066.54</v>
      </c>
      <c r="I22" s="1791">
        <f>I29</f>
        <v>8033.26</v>
      </c>
      <c r="J22" s="1792">
        <v>7.6</v>
      </c>
      <c r="K22" s="1600">
        <v>10.08</v>
      </c>
      <c r="L22" s="1600">
        <v>5.07</v>
      </c>
      <c r="M22" s="1915"/>
      <c r="N22" s="1916"/>
      <c r="O22" s="1916"/>
      <c r="P22" s="1916"/>
      <c r="Q22" s="1916"/>
      <c r="R22" s="1916"/>
      <c r="S22" s="1916"/>
      <c r="T22" s="1916"/>
      <c r="U22" s="1916"/>
    </row>
    <row r="23" spans="1:21" s="772" customFormat="1" ht="21" customHeight="1">
      <c r="A23" s="704">
        <v>2024</v>
      </c>
      <c r="B23" s="801" t="s">
        <v>243</v>
      </c>
      <c r="C23" s="796">
        <v>42</v>
      </c>
      <c r="D23" s="791">
        <v>482312</v>
      </c>
      <c r="E23" s="797">
        <v>72353</v>
      </c>
      <c r="F23" s="791">
        <v>4213</v>
      </c>
      <c r="G23" s="793" t="s">
        <v>1620</v>
      </c>
      <c r="H23" s="793">
        <v>2025.49</v>
      </c>
      <c r="I23" s="792">
        <v>8005.47</v>
      </c>
      <c r="J23" s="1005">
        <v>0.85</v>
      </c>
      <c r="K23" s="798">
        <v>10.85</v>
      </c>
      <c r="L23" s="798">
        <v>4.59</v>
      </c>
      <c r="M23" s="1809"/>
      <c r="N23" s="1000"/>
      <c r="O23" s="1000"/>
      <c r="P23" s="1000"/>
      <c r="Q23" s="1000"/>
      <c r="R23" s="1000"/>
      <c r="S23" s="1000"/>
      <c r="T23" s="1000"/>
      <c r="U23" s="1000"/>
    </row>
    <row r="24" spans="1:21" s="772" customFormat="1" ht="15" customHeight="1">
      <c r="A24" s="704"/>
      <c r="B24" s="801" t="s">
        <v>240</v>
      </c>
      <c r="C24" s="796">
        <v>40</v>
      </c>
      <c r="D24" s="791">
        <v>502684</v>
      </c>
      <c r="E24" s="797">
        <v>117643</v>
      </c>
      <c r="F24" s="791">
        <v>4280</v>
      </c>
      <c r="G24" s="793" t="s">
        <v>1620</v>
      </c>
      <c r="H24" s="793">
        <v>2012.77</v>
      </c>
      <c r="I24" s="792">
        <v>7797.73</v>
      </c>
      <c r="J24" s="1005">
        <v>1.38</v>
      </c>
      <c r="K24" s="798">
        <v>11.53</v>
      </c>
      <c r="L24" s="798">
        <v>4.6500000000000004</v>
      </c>
      <c r="M24" s="1809"/>
      <c r="N24" s="1000"/>
      <c r="O24" s="1000"/>
      <c r="P24" s="1000"/>
      <c r="Q24" s="1000"/>
      <c r="R24" s="1000"/>
      <c r="S24" s="1000"/>
      <c r="T24" s="1000"/>
      <c r="U24" s="1000"/>
    </row>
    <row r="25" spans="1:21" s="772" customFormat="1" ht="15" customHeight="1">
      <c r="A25" s="704"/>
      <c r="B25" s="801" t="s">
        <v>241</v>
      </c>
      <c r="C25" s="796">
        <v>41</v>
      </c>
      <c r="D25" s="791">
        <v>84918</v>
      </c>
      <c r="E25" s="797">
        <v>44836</v>
      </c>
      <c r="F25" s="791">
        <v>3163</v>
      </c>
      <c r="G25" s="793" t="s">
        <v>1620</v>
      </c>
      <c r="H25" s="793">
        <v>1985.91</v>
      </c>
      <c r="I25" s="792">
        <v>7693.68</v>
      </c>
      <c r="J25" s="1005">
        <v>0.55000000000000004</v>
      </c>
      <c r="K25" s="798">
        <v>11.38</v>
      </c>
      <c r="L25" s="798">
        <v>4.7</v>
      </c>
      <c r="M25" s="1809"/>
      <c r="N25" s="1000"/>
      <c r="O25" s="1000"/>
      <c r="P25" s="1000"/>
      <c r="Q25" s="1000"/>
      <c r="R25" s="1000"/>
      <c r="S25" s="1000"/>
      <c r="T25" s="1000"/>
      <c r="U25" s="1000"/>
    </row>
    <row r="26" spans="1:21" s="772" customFormat="1" ht="21" customHeight="1">
      <c r="A26" s="704">
        <v>2025</v>
      </c>
      <c r="B26" s="801" t="s">
        <v>242</v>
      </c>
      <c r="C26" s="796">
        <v>41</v>
      </c>
      <c r="D26" s="791">
        <v>570770</v>
      </c>
      <c r="E26" s="797">
        <v>418270</v>
      </c>
      <c r="F26" s="791">
        <v>3900</v>
      </c>
      <c r="G26" s="793" t="s">
        <v>1620</v>
      </c>
      <c r="H26" s="793">
        <v>1951.37</v>
      </c>
      <c r="I26" s="792">
        <v>7558.81</v>
      </c>
      <c r="J26" s="1005">
        <v>5.5</v>
      </c>
      <c r="K26" s="798">
        <v>9.34</v>
      </c>
      <c r="L26" s="798">
        <v>5.35</v>
      </c>
      <c r="M26" s="1809"/>
      <c r="N26" s="1000"/>
      <c r="O26" s="1000"/>
      <c r="P26" s="1000"/>
      <c r="Q26" s="1000"/>
      <c r="R26" s="1000"/>
      <c r="S26" s="1000"/>
      <c r="T26" s="1000"/>
      <c r="U26" s="1000"/>
    </row>
    <row r="27" spans="1:21" s="772" customFormat="1" ht="15" customHeight="1">
      <c r="A27" s="704"/>
      <c r="B27" s="801" t="s">
        <v>243</v>
      </c>
      <c r="C27" s="796">
        <v>41</v>
      </c>
      <c r="D27" s="791">
        <v>219487</v>
      </c>
      <c r="E27" s="797">
        <v>50790</v>
      </c>
      <c r="F27" s="791">
        <v>5467</v>
      </c>
      <c r="G27" s="793" t="s">
        <v>1620</v>
      </c>
      <c r="H27" s="793">
        <v>1943.81</v>
      </c>
      <c r="I27" s="792">
        <v>7556.17</v>
      </c>
      <c r="J27" s="1005">
        <v>0.63</v>
      </c>
      <c r="K27" s="798">
        <v>9.3000000000000007</v>
      </c>
      <c r="L27" s="798">
        <v>5.38</v>
      </c>
      <c r="M27" s="1809"/>
      <c r="N27" s="1000"/>
      <c r="O27" s="1000"/>
      <c r="P27" s="1000"/>
      <c r="Q27" s="1000"/>
      <c r="R27" s="1000"/>
      <c r="S27" s="1000"/>
      <c r="T27" s="1000"/>
      <c r="U27" s="1000"/>
    </row>
    <row r="28" spans="1:21" s="772" customFormat="1" ht="15" customHeight="1">
      <c r="A28" s="704"/>
      <c r="B28" s="801" t="s">
        <v>240</v>
      </c>
      <c r="C28" s="796">
        <f>C35</f>
        <v>41</v>
      </c>
      <c r="D28" s="791">
        <f>SUM(D33:D35)</f>
        <v>235680</v>
      </c>
      <c r="E28" s="797">
        <f>SUM(E33:E35)</f>
        <v>52100</v>
      </c>
      <c r="F28" s="791">
        <f>SUM(F33:F35)</f>
        <v>5289</v>
      </c>
      <c r="G28" s="793" t="s">
        <v>1620</v>
      </c>
      <c r="H28" s="793">
        <f>H35</f>
        <v>1948.17</v>
      </c>
      <c r="I28" s="792">
        <f>I35</f>
        <v>7573.13</v>
      </c>
      <c r="J28" s="1005">
        <v>0.65</v>
      </c>
      <c r="K28" s="798">
        <v>9.31</v>
      </c>
      <c r="L28" s="798">
        <v>5.37</v>
      </c>
      <c r="M28" s="1809"/>
      <c r="N28" s="1000"/>
      <c r="O28" s="1000"/>
      <c r="P28" s="1000"/>
      <c r="Q28" s="1000"/>
      <c r="R28" s="1000"/>
      <c r="S28" s="1000"/>
      <c r="T28" s="1000"/>
      <c r="U28" s="1000"/>
    </row>
    <row r="29" spans="1:21" s="772" customFormat="1" ht="15" customHeight="1">
      <c r="A29" s="704"/>
      <c r="B29" s="801" t="s">
        <v>241</v>
      </c>
      <c r="C29" s="796">
        <f>C38</f>
        <v>41</v>
      </c>
      <c r="D29" s="791">
        <f>SUM(D36:D38)</f>
        <v>394426</v>
      </c>
      <c r="E29" s="797">
        <f>SUM(E36:E38)</f>
        <v>97915</v>
      </c>
      <c r="F29" s="791">
        <f>SUM(F36:F38)</f>
        <v>7120</v>
      </c>
      <c r="G29" s="793" t="s">
        <v>1620</v>
      </c>
      <c r="H29" s="793">
        <f>H38</f>
        <v>2066.54</v>
      </c>
      <c r="I29" s="792">
        <f>I38</f>
        <v>8033.26</v>
      </c>
      <c r="J29" s="1005">
        <v>1.21</v>
      </c>
      <c r="K29" s="798">
        <v>10.08</v>
      </c>
      <c r="L29" s="798">
        <v>5.07</v>
      </c>
      <c r="M29" s="1809"/>
      <c r="N29" s="1000"/>
      <c r="O29" s="1000"/>
      <c r="P29" s="1000"/>
      <c r="Q29" s="1000"/>
      <c r="R29" s="1000"/>
      <c r="S29" s="1000"/>
      <c r="T29" s="1000"/>
      <c r="U29" s="1000"/>
    </row>
    <row r="30" spans="1:21" s="772" customFormat="1" ht="21" customHeight="1">
      <c r="A30" s="1597">
        <v>2026</v>
      </c>
      <c r="B30" s="1786" t="s">
        <v>242</v>
      </c>
      <c r="C30" s="1787">
        <f>C41</f>
        <v>41</v>
      </c>
      <c r="D30" s="1788">
        <f>SUM(D39:D41)</f>
        <v>130016.302</v>
      </c>
      <c r="E30" s="1789">
        <f>SUM(E39:E41)</f>
        <v>49127.376501999999</v>
      </c>
      <c r="F30" s="1788">
        <f>SUM(F39:F41)</f>
        <v>5863</v>
      </c>
      <c r="G30" s="1790" t="s">
        <v>1620</v>
      </c>
      <c r="H30" s="1790">
        <f>H41</f>
        <v>1899.079</v>
      </c>
      <c r="I30" s="1791">
        <f>I41</f>
        <v>7367.5744285245028</v>
      </c>
      <c r="J30" s="1792">
        <v>0.65</v>
      </c>
      <c r="K30" s="1600">
        <v>8.27</v>
      </c>
      <c r="L30" s="1600">
        <v>6.26</v>
      </c>
      <c r="M30" s="1809"/>
      <c r="N30" s="1000"/>
      <c r="O30" s="1000"/>
      <c r="P30" s="1000"/>
      <c r="Q30" s="1000"/>
      <c r="R30" s="1000"/>
      <c r="S30" s="1000"/>
      <c r="T30" s="1000"/>
      <c r="U30" s="1000"/>
    </row>
    <row r="31" spans="1:21" s="1916" customFormat="1" ht="21" customHeight="1">
      <c r="A31" s="1782">
        <v>2025</v>
      </c>
      <c r="B31" s="1783" t="s">
        <v>427</v>
      </c>
      <c r="C31" s="2444">
        <v>41</v>
      </c>
      <c r="D31" s="1977">
        <v>109119</v>
      </c>
      <c r="E31" s="2445">
        <v>24218</v>
      </c>
      <c r="F31" s="1977">
        <v>1913</v>
      </c>
      <c r="G31" s="1899" t="s">
        <v>1620</v>
      </c>
      <c r="H31" s="2446">
        <v>1920.91</v>
      </c>
      <c r="I31" s="2447">
        <v>7440.76</v>
      </c>
      <c r="J31" s="2448">
        <v>0.3</v>
      </c>
      <c r="K31" s="2449">
        <v>9.17</v>
      </c>
      <c r="L31" s="2449">
        <v>5.47</v>
      </c>
    </row>
    <row r="32" spans="1:21" s="1916" customFormat="1" ht="17.25" customHeight="1">
      <c r="A32" s="1782"/>
      <c r="B32" s="1783" t="s">
        <v>428</v>
      </c>
      <c r="C32" s="2444">
        <v>41</v>
      </c>
      <c r="D32" s="1977">
        <v>77374</v>
      </c>
      <c r="E32" s="2445">
        <v>18229</v>
      </c>
      <c r="F32" s="1977">
        <v>1712</v>
      </c>
      <c r="G32" s="1899" t="s">
        <v>1620</v>
      </c>
      <c r="H32" s="2446">
        <v>1943.81</v>
      </c>
      <c r="I32" s="2447">
        <v>7556.17</v>
      </c>
      <c r="J32" s="2448">
        <v>0.23</v>
      </c>
      <c r="K32" s="2449">
        <v>9.31</v>
      </c>
      <c r="L32" s="2449">
        <v>5.4</v>
      </c>
    </row>
    <row r="33" spans="1:12" s="1916" customFormat="1" ht="17.25" customHeight="1">
      <c r="A33" s="1782"/>
      <c r="B33" s="1783" t="s">
        <v>429</v>
      </c>
      <c r="C33" s="2444">
        <v>41</v>
      </c>
      <c r="D33" s="1977">
        <v>161116</v>
      </c>
      <c r="E33" s="2445">
        <v>28851</v>
      </c>
      <c r="F33" s="1977">
        <v>2044</v>
      </c>
      <c r="G33" s="1899" t="s">
        <v>1620</v>
      </c>
      <c r="H33" s="2446">
        <v>1955.63</v>
      </c>
      <c r="I33" s="2447">
        <v>7602.13</v>
      </c>
      <c r="J33" s="2448">
        <v>0.35</v>
      </c>
      <c r="K33" s="2449">
        <v>9.35</v>
      </c>
      <c r="L33" s="2449">
        <v>5.37</v>
      </c>
    </row>
    <row r="34" spans="1:12" s="1916" customFormat="1" ht="17.25" customHeight="1">
      <c r="A34" s="1782"/>
      <c r="B34" s="1783" t="s">
        <v>430</v>
      </c>
      <c r="C34" s="2444">
        <v>41</v>
      </c>
      <c r="D34" s="1977">
        <v>24600</v>
      </c>
      <c r="E34" s="2445">
        <v>8703</v>
      </c>
      <c r="F34" s="1977">
        <v>1567</v>
      </c>
      <c r="G34" s="1899" t="s">
        <v>1620</v>
      </c>
      <c r="H34" s="2446">
        <v>1929.18</v>
      </c>
      <c r="I34" s="2447">
        <v>7499.31</v>
      </c>
      <c r="J34" s="2448">
        <v>0.11</v>
      </c>
      <c r="K34" s="2449">
        <v>9.2100000000000009</v>
      </c>
      <c r="L34" s="2449">
        <v>5.44</v>
      </c>
    </row>
    <row r="35" spans="1:12" s="1916" customFormat="1" ht="17.25" customHeight="1">
      <c r="A35" s="1782"/>
      <c r="B35" s="1783" t="s">
        <v>431</v>
      </c>
      <c r="C35" s="2444">
        <v>41</v>
      </c>
      <c r="D35" s="1977">
        <v>49964</v>
      </c>
      <c r="E35" s="2445">
        <v>14546</v>
      </c>
      <c r="F35" s="1977">
        <v>1678</v>
      </c>
      <c r="G35" s="1899" t="s">
        <v>1620</v>
      </c>
      <c r="H35" s="2446">
        <v>1948.17</v>
      </c>
      <c r="I35" s="2447">
        <v>7573.13</v>
      </c>
      <c r="J35" s="2448">
        <v>0.18</v>
      </c>
      <c r="K35" s="2449">
        <v>9.31</v>
      </c>
      <c r="L35" s="2449">
        <v>5.39</v>
      </c>
    </row>
    <row r="36" spans="1:12" s="1916" customFormat="1" ht="17.25" customHeight="1">
      <c r="A36" s="1782"/>
      <c r="B36" s="1783" t="s">
        <v>420</v>
      </c>
      <c r="C36" s="2444">
        <v>41</v>
      </c>
      <c r="D36" s="1977">
        <v>148575</v>
      </c>
      <c r="E36" s="2445">
        <v>36116</v>
      </c>
      <c r="F36" s="1977">
        <v>2704</v>
      </c>
      <c r="G36" s="1899" t="s">
        <v>1620</v>
      </c>
      <c r="H36" s="2446">
        <v>2062.9</v>
      </c>
      <c r="I36" s="2447">
        <v>8016.67</v>
      </c>
      <c r="J36" s="2448">
        <v>0.45</v>
      </c>
      <c r="K36" s="2449">
        <v>10.01</v>
      </c>
      <c r="L36" s="2449">
        <v>5.0999999999999996</v>
      </c>
    </row>
    <row r="37" spans="1:12" s="1916" customFormat="1" ht="17.25" customHeight="1">
      <c r="A37" s="1782"/>
      <c r="B37" s="1783" t="s">
        <v>421</v>
      </c>
      <c r="C37" s="2444">
        <v>41</v>
      </c>
      <c r="D37" s="1977">
        <v>139326</v>
      </c>
      <c r="E37" s="2445">
        <v>32770</v>
      </c>
      <c r="F37" s="1977">
        <v>2384</v>
      </c>
      <c r="G37" s="1899" t="s">
        <v>1620</v>
      </c>
      <c r="H37" s="2446">
        <v>2040.32</v>
      </c>
      <c r="I37" s="2447">
        <v>7931.32</v>
      </c>
      <c r="J37" s="2448">
        <v>0.41</v>
      </c>
      <c r="K37" s="2449">
        <v>9.93</v>
      </c>
      <c r="L37" s="2449">
        <v>5.16</v>
      </c>
    </row>
    <row r="38" spans="1:12" s="1916" customFormat="1" ht="17.25" customHeight="1">
      <c r="A38" s="1782"/>
      <c r="B38" s="1783" t="s">
        <v>422</v>
      </c>
      <c r="C38" s="2444">
        <v>41</v>
      </c>
      <c r="D38" s="1977">
        <v>106525</v>
      </c>
      <c r="E38" s="2445">
        <v>29029</v>
      </c>
      <c r="F38" s="1977">
        <v>2032</v>
      </c>
      <c r="G38" s="1899" t="s">
        <v>1620</v>
      </c>
      <c r="H38" s="2446">
        <v>2066.54</v>
      </c>
      <c r="I38" s="2447">
        <v>8033.26</v>
      </c>
      <c r="J38" s="2448">
        <v>0.35</v>
      </c>
      <c r="K38" s="2449">
        <v>10.08</v>
      </c>
      <c r="L38" s="2449">
        <v>5.09</v>
      </c>
    </row>
    <row r="39" spans="1:12" s="1916" customFormat="1" ht="21" customHeight="1">
      <c r="A39" s="1782">
        <v>2026</v>
      </c>
      <c r="B39" s="1783" t="s">
        <v>423</v>
      </c>
      <c r="C39" s="2444">
        <v>40</v>
      </c>
      <c r="D39" s="1977">
        <v>53574.635999999999</v>
      </c>
      <c r="E39" s="2445">
        <v>23742</v>
      </c>
      <c r="F39" s="1977">
        <v>1588</v>
      </c>
      <c r="G39" s="1899" t="s">
        <v>1620</v>
      </c>
      <c r="H39" s="2446">
        <v>2044.088</v>
      </c>
      <c r="I39" s="2447">
        <v>7929.7672646417332</v>
      </c>
      <c r="J39" s="2448">
        <v>0.28999999999999998</v>
      </c>
      <c r="K39" s="2449">
        <v>9.9700000000000006</v>
      </c>
      <c r="L39" s="2449">
        <v>5.16</v>
      </c>
    </row>
    <row r="40" spans="1:12" s="1916" customFormat="1" ht="17.25" customHeight="1">
      <c r="A40" s="1782"/>
      <c r="B40" s="1783" t="s">
        <v>424</v>
      </c>
      <c r="C40" s="2444">
        <v>41</v>
      </c>
      <c r="D40" s="1977">
        <v>57411.56</v>
      </c>
      <c r="E40" s="2445">
        <v>18457.376501999999</v>
      </c>
      <c r="F40" s="1977">
        <v>1903</v>
      </c>
      <c r="G40" s="1899" t="s">
        <v>1620</v>
      </c>
      <c r="H40" s="2446">
        <v>2060.7159999999999</v>
      </c>
      <c r="I40" s="2447">
        <v>7994.272876455364</v>
      </c>
      <c r="J40" s="2448">
        <v>0.2298590060031534</v>
      </c>
      <c r="K40" s="2449">
        <v>8.9539751617546308</v>
      </c>
      <c r="L40" s="2449">
        <v>5.8057751729200877</v>
      </c>
    </row>
    <row r="41" spans="1:12" s="1916" customFormat="1" ht="17.25" customHeight="1">
      <c r="A41" s="1782"/>
      <c r="B41" s="1783" t="s">
        <v>425</v>
      </c>
      <c r="C41" s="2444">
        <v>41</v>
      </c>
      <c r="D41" s="1977">
        <v>19030.106</v>
      </c>
      <c r="E41" s="2445">
        <v>6928</v>
      </c>
      <c r="F41" s="1977">
        <v>2372</v>
      </c>
      <c r="G41" s="1899" t="s">
        <v>1620</v>
      </c>
      <c r="H41" s="2446">
        <v>1899.079</v>
      </c>
      <c r="I41" s="2447">
        <v>7367.5744285245028</v>
      </c>
      <c r="J41" s="2448">
        <v>9.2131634907139992E-2</v>
      </c>
      <c r="K41" s="2449">
        <v>8.2659840271600125</v>
      </c>
      <c r="L41" s="2449">
        <v>6.2811435312775856</v>
      </c>
    </row>
    <row r="42" spans="1:12" s="1916" customFormat="1" ht="17.25" customHeight="1">
      <c r="A42" s="1782"/>
      <c r="B42" s="1783" t="s">
        <v>426</v>
      </c>
      <c r="C42" s="2534">
        <v>41</v>
      </c>
      <c r="D42" s="2535">
        <v>61651.103000000003</v>
      </c>
      <c r="E42" s="2536">
        <v>18397.957270999999</v>
      </c>
      <c r="F42" s="2535">
        <v>3082</v>
      </c>
      <c r="G42" s="2537" t="s">
        <v>1620</v>
      </c>
      <c r="H42" s="2537">
        <v>1972.0509999999999</v>
      </c>
      <c r="I42" s="2538">
        <v>7650.6725458860883</v>
      </c>
      <c r="J42" s="2539">
        <v>0.21944519122083947</v>
      </c>
      <c r="K42" s="2540">
        <v>8.5845004759022032</v>
      </c>
      <c r="L42" s="2540">
        <v>6.0653201595447923</v>
      </c>
    </row>
    <row r="43" spans="1:12" s="1916" customFormat="1" ht="17.25" customHeight="1">
      <c r="A43" s="1782"/>
      <c r="B43" s="1783" t="s">
        <v>427</v>
      </c>
      <c r="C43" s="2534">
        <v>41</v>
      </c>
      <c r="D43" s="2535">
        <v>63844.461000000003</v>
      </c>
      <c r="E43" s="2536">
        <v>18652.337919000001</v>
      </c>
      <c r="F43" s="2535">
        <v>3193</v>
      </c>
      <c r="G43" s="2537" t="s">
        <v>1620</v>
      </c>
      <c r="H43" s="2537">
        <v>1979.0509999999999</v>
      </c>
      <c r="I43" s="2538">
        <v>7682.4401525510139</v>
      </c>
      <c r="J43" s="2539">
        <v>0.2398001955522252</v>
      </c>
      <c r="K43" s="2540">
        <v>8.6176650291312953</v>
      </c>
      <c r="L43" s="2540">
        <v>6.0397456624869728</v>
      </c>
    </row>
    <row r="44" spans="1:12" ht="21.25" customHeight="1">
      <c r="A44" s="761" t="s">
        <v>1621</v>
      </c>
      <c r="B44" s="761"/>
      <c r="C44" s="761"/>
      <c r="D44" s="761"/>
      <c r="E44" s="761"/>
      <c r="F44" s="761"/>
      <c r="G44" s="761"/>
      <c r="H44" s="761"/>
      <c r="I44" s="761"/>
      <c r="J44" s="761"/>
      <c r="K44" s="761"/>
      <c r="L44" s="802" t="s">
        <v>1622</v>
      </c>
    </row>
    <row r="45" spans="1:12" ht="13.75" customHeight="1">
      <c r="A45" s="744" t="s">
        <v>1623</v>
      </c>
      <c r="L45" s="803" t="s">
        <v>1624</v>
      </c>
    </row>
    <row r="46" spans="1:12" ht="13.75" customHeight="1">
      <c r="A46" s="744" t="s">
        <v>1625</v>
      </c>
      <c r="L46" s="803" t="s">
        <v>1626</v>
      </c>
    </row>
    <row r="47" spans="1:12" ht="13.75" customHeight="1">
      <c r="A47" s="744" t="s">
        <v>1627</v>
      </c>
      <c r="L47" s="803" t="s">
        <v>1628</v>
      </c>
    </row>
    <row r="48" spans="1:12" ht="13.75" customHeight="1">
      <c r="A48" s="766" t="s">
        <v>1629</v>
      </c>
      <c r="L48" s="804" t="s">
        <v>1630</v>
      </c>
    </row>
    <row r="49" spans="1:12">
      <c r="E49" s="744" t="s">
        <v>119</v>
      </c>
    </row>
    <row r="50" spans="1:12" ht="14">
      <c r="A50" s="805" t="s">
        <v>1631</v>
      </c>
      <c r="B50" s="743"/>
      <c r="C50" s="743"/>
      <c r="D50" s="743"/>
      <c r="E50" s="743"/>
      <c r="F50" s="743"/>
      <c r="G50" s="743"/>
      <c r="H50" s="743"/>
      <c r="I50" s="743"/>
      <c r="J50" s="743"/>
      <c r="K50" s="743"/>
      <c r="L50" s="743"/>
    </row>
  </sheetData>
  <printOptions horizontalCentered="1" verticalCentered="1"/>
  <pageMargins left="0" right="0" top="0" bottom="0" header="0.3" footer="0.3"/>
  <pageSetup paperSize="9" scale="70"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8">
    <tabColor rgb="FFFF0000"/>
    <pageSetUpPr fitToPage="1"/>
  </sheetPr>
  <dimension ref="A1:W67"/>
  <sheetViews>
    <sheetView zoomScale="80" zoomScaleNormal="80" workbookViewId="0">
      <pane ySplit="12" topLeftCell="A34" activePane="bottomLeft" state="frozen"/>
      <selection activeCell="B44" sqref="B44"/>
      <selection pane="bottomLeft" activeCell="L43" sqref="L43"/>
    </sheetView>
  </sheetViews>
  <sheetFormatPr defaultColWidth="9.1796875" defaultRowHeight="12.5"/>
  <cols>
    <col min="1" max="2" width="9.7265625" style="744" customWidth="1"/>
    <col min="3" max="8" width="13.81640625" style="744" customWidth="1"/>
    <col min="9" max="9" width="18.7265625" style="744" bestFit="1" customWidth="1"/>
    <col min="10" max="14" width="13.81640625" style="744" customWidth="1"/>
    <col min="15" max="16384" width="9.1796875" style="744"/>
  </cols>
  <sheetData>
    <row r="1" spans="1:23" s="1100" customFormat="1" ht="21.75" customHeight="1">
      <c r="A1" s="1135" t="s">
        <v>1632</v>
      </c>
      <c r="B1" s="1098"/>
      <c r="C1" s="1098"/>
      <c r="D1" s="1098"/>
      <c r="E1" s="1098"/>
      <c r="F1" s="1098"/>
      <c r="G1" s="1098"/>
      <c r="H1" s="1098"/>
      <c r="I1" s="1098"/>
      <c r="J1" s="1098"/>
      <c r="K1" s="1098"/>
      <c r="L1" s="1098"/>
      <c r="M1" s="1098"/>
      <c r="N1" s="1098"/>
    </row>
    <row r="2" spans="1:23" s="1100" customFormat="1" ht="18">
      <c r="A2" s="1135" t="s">
        <v>1633</v>
      </c>
      <c r="B2" s="1098"/>
      <c r="C2" s="1098"/>
      <c r="D2" s="1098"/>
      <c r="E2" s="1098"/>
      <c r="F2" s="1098"/>
      <c r="G2" s="1098"/>
      <c r="H2" s="1098"/>
      <c r="I2" s="1098"/>
      <c r="J2" s="1098"/>
      <c r="K2" s="1098"/>
      <c r="L2" s="1098"/>
      <c r="M2" s="1098"/>
      <c r="N2" s="1098"/>
    </row>
    <row r="3" spans="1:23" s="1100" customFormat="1" ht="16.5">
      <c r="A3" s="1136" t="s">
        <v>1634</v>
      </c>
      <c r="B3" s="1137"/>
      <c r="C3" s="1137"/>
      <c r="D3" s="1137"/>
      <c r="E3" s="1137"/>
      <c r="F3" s="1137"/>
      <c r="G3" s="1137"/>
      <c r="H3" s="1137"/>
      <c r="I3" s="1137"/>
      <c r="J3" s="1137"/>
      <c r="K3" s="1137"/>
      <c r="L3" s="1137"/>
      <c r="M3" s="1137"/>
      <c r="N3" s="1137"/>
    </row>
    <row r="4" spans="1:23" s="1100" customFormat="1" ht="16.5" hidden="1">
      <c r="A4" s="1136"/>
      <c r="B4" s="1137"/>
      <c r="C4" s="1137"/>
      <c r="D4" s="1137"/>
      <c r="E4" s="1137"/>
      <c r="F4" s="1137"/>
      <c r="G4" s="1137"/>
      <c r="H4" s="1137"/>
      <c r="I4" s="1137"/>
      <c r="J4" s="1137"/>
      <c r="K4" s="1137"/>
      <c r="L4" s="1137"/>
      <c r="M4" s="1137"/>
      <c r="N4" s="1137"/>
    </row>
    <row r="5" spans="1:23" s="1100" customFormat="1" ht="16.5" hidden="1">
      <c r="A5" s="1136"/>
      <c r="B5" s="1137"/>
      <c r="C5" s="1137"/>
      <c r="D5" s="1137"/>
      <c r="E5" s="1137"/>
      <c r="F5" s="1137"/>
      <c r="G5" s="1137"/>
      <c r="H5" s="1137"/>
      <c r="I5" s="1137"/>
      <c r="J5" s="1137"/>
      <c r="K5" s="1137"/>
      <c r="L5" s="1137"/>
      <c r="M5" s="1137"/>
      <c r="N5" s="1137"/>
    </row>
    <row r="6" spans="1:23" ht="16.5" hidden="1">
      <c r="A6" s="806"/>
      <c r="B6" s="768"/>
      <c r="C6" s="768"/>
      <c r="D6" s="768"/>
      <c r="E6" s="768"/>
      <c r="F6" s="768"/>
      <c r="G6" s="768"/>
      <c r="H6" s="768"/>
      <c r="I6" s="768"/>
      <c r="J6" s="768"/>
      <c r="K6" s="768"/>
      <c r="L6" s="768"/>
      <c r="M6" s="768"/>
      <c r="N6" s="768"/>
    </row>
    <row r="7" spans="1:23" s="1100" customFormat="1" ht="0.65" customHeight="1">
      <c r="A7" s="1136"/>
      <c r="B7" s="1137"/>
      <c r="C7" s="1137"/>
      <c r="D7" s="1137"/>
      <c r="E7" s="1137"/>
      <c r="F7" s="1137"/>
      <c r="G7" s="1137"/>
      <c r="H7" s="1137"/>
      <c r="I7" s="1137"/>
      <c r="J7" s="1137"/>
      <c r="K7" s="1137"/>
      <c r="L7" s="1137"/>
      <c r="M7" s="1137"/>
      <c r="N7" s="1137"/>
    </row>
    <row r="8" spans="1:23" s="747" customFormat="1" ht="14.9" customHeight="1">
      <c r="A8" s="807" t="s">
        <v>1635</v>
      </c>
      <c r="B8" s="745"/>
      <c r="C8" s="746"/>
      <c r="D8" s="746"/>
      <c r="E8" s="746"/>
      <c r="F8" s="746"/>
      <c r="G8" s="746"/>
      <c r="H8" s="746"/>
      <c r="I8" s="746"/>
      <c r="J8" s="746"/>
      <c r="K8" s="746"/>
      <c r="L8" s="746"/>
      <c r="M8" s="746"/>
      <c r="N8" s="808" t="s">
        <v>1636</v>
      </c>
    </row>
    <row r="9" spans="1:23" s="813" customFormat="1" ht="16" customHeight="1">
      <c r="A9" s="809"/>
      <c r="B9" s="810"/>
      <c r="C9" s="811"/>
      <c r="D9" s="811"/>
      <c r="E9" s="771" t="s">
        <v>1637</v>
      </c>
      <c r="F9" s="771" t="s">
        <v>1637</v>
      </c>
      <c r="G9" s="2096"/>
      <c r="H9" s="2096"/>
      <c r="I9" s="2097"/>
      <c r="J9" s="811"/>
      <c r="K9" s="811"/>
      <c r="L9" s="771" t="s">
        <v>1638</v>
      </c>
      <c r="M9" s="811"/>
      <c r="N9" s="812"/>
    </row>
    <row r="10" spans="1:23" s="772" customFormat="1" ht="14">
      <c r="A10" s="814" t="s">
        <v>1595</v>
      </c>
      <c r="B10" s="815"/>
      <c r="C10" s="816" t="s">
        <v>1639</v>
      </c>
      <c r="D10" s="816" t="s">
        <v>1640</v>
      </c>
      <c r="E10" s="816" t="s">
        <v>1641</v>
      </c>
      <c r="F10" s="816" t="s">
        <v>1642</v>
      </c>
      <c r="G10" s="816" t="s">
        <v>1643</v>
      </c>
      <c r="H10" s="816" t="s">
        <v>1745</v>
      </c>
      <c r="I10" s="816" t="s">
        <v>1354</v>
      </c>
      <c r="J10" s="816" t="s">
        <v>1644</v>
      </c>
      <c r="K10" s="816" t="s">
        <v>1645</v>
      </c>
      <c r="L10" s="816" t="s">
        <v>1646</v>
      </c>
      <c r="M10" s="816" t="s">
        <v>1647</v>
      </c>
      <c r="N10" s="816" t="s">
        <v>390</v>
      </c>
    </row>
    <row r="11" spans="1:23" s="772" customFormat="1" ht="14">
      <c r="A11" s="775" t="s">
        <v>1603</v>
      </c>
      <c r="B11" s="815"/>
      <c r="C11" s="778" t="s">
        <v>1648</v>
      </c>
      <c r="D11" s="778" t="s">
        <v>1649</v>
      </c>
      <c r="E11" s="778" t="s">
        <v>1650</v>
      </c>
      <c r="F11" s="778" t="s">
        <v>1650</v>
      </c>
      <c r="G11" s="778" t="s">
        <v>1651</v>
      </c>
      <c r="H11" s="778" t="s">
        <v>1746</v>
      </c>
      <c r="I11" s="778" t="s">
        <v>1652</v>
      </c>
      <c r="J11" s="778" t="s">
        <v>1653</v>
      </c>
      <c r="K11" s="778" t="s">
        <v>1654</v>
      </c>
      <c r="L11" s="778" t="s">
        <v>1655</v>
      </c>
      <c r="M11" s="778" t="s">
        <v>1656</v>
      </c>
      <c r="N11" s="778" t="s">
        <v>400</v>
      </c>
    </row>
    <row r="12" spans="1:23" s="772" customFormat="1" ht="14">
      <c r="A12" s="817"/>
      <c r="B12" s="818"/>
      <c r="C12" s="819"/>
      <c r="D12" s="819"/>
      <c r="E12" s="819" t="s">
        <v>1657</v>
      </c>
      <c r="F12" s="819" t="s">
        <v>1658</v>
      </c>
      <c r="G12" s="819"/>
      <c r="H12" s="819" t="s">
        <v>1747</v>
      </c>
      <c r="I12" s="819" t="s">
        <v>1659</v>
      </c>
      <c r="J12" s="819" t="s">
        <v>1660</v>
      </c>
      <c r="K12" s="819" t="s">
        <v>1614</v>
      </c>
      <c r="L12" s="820" t="s">
        <v>999</v>
      </c>
      <c r="M12" s="820" t="s">
        <v>1601</v>
      </c>
      <c r="N12" s="820"/>
    </row>
    <row r="13" spans="1:23" ht="20.25" hidden="1" customHeight="1">
      <c r="A13" s="821">
        <v>2016</v>
      </c>
      <c r="B13" s="822"/>
      <c r="C13" s="823"/>
      <c r="D13" s="824"/>
      <c r="E13" s="825"/>
      <c r="F13" s="825"/>
      <c r="G13" s="825"/>
      <c r="H13" s="825"/>
      <c r="I13" s="825"/>
      <c r="J13" s="825"/>
      <c r="K13" s="825"/>
      <c r="L13" s="825"/>
      <c r="M13" s="825"/>
      <c r="N13" s="825"/>
    </row>
    <row r="14" spans="1:23" ht="16" hidden="1" customHeight="1">
      <c r="A14" s="826">
        <v>2017</v>
      </c>
      <c r="B14" s="827"/>
      <c r="C14" s="825"/>
      <c r="D14" s="825"/>
      <c r="E14" s="825"/>
      <c r="F14" s="825"/>
      <c r="G14" s="825"/>
      <c r="H14" s="825"/>
      <c r="I14" s="825"/>
      <c r="J14" s="825"/>
      <c r="K14" s="825"/>
      <c r="L14" s="825"/>
      <c r="M14" s="825"/>
      <c r="N14" s="1004"/>
    </row>
    <row r="15" spans="1:23" ht="16.5" hidden="1" customHeight="1">
      <c r="A15" s="926">
        <v>2018</v>
      </c>
      <c r="B15" s="828"/>
      <c r="C15" s="1027"/>
      <c r="D15" s="1602"/>
      <c r="E15" s="1027"/>
      <c r="F15" s="1027"/>
      <c r="G15" s="1027"/>
      <c r="H15" s="1027"/>
      <c r="I15" s="1536"/>
      <c r="J15" s="1027"/>
      <c r="K15" s="1027"/>
      <c r="L15" s="1027"/>
      <c r="M15" s="1027"/>
      <c r="N15" s="1004"/>
      <c r="O15" s="1810"/>
      <c r="P15" s="999"/>
      <c r="Q15" s="999"/>
      <c r="R15" s="999"/>
      <c r="S15" s="999"/>
      <c r="T15" s="999"/>
      <c r="U15" s="999"/>
      <c r="V15" s="999"/>
      <c r="W15" s="999"/>
    </row>
    <row r="16" spans="1:23" ht="16.5" hidden="1" customHeight="1">
      <c r="A16" s="926">
        <v>2019</v>
      </c>
      <c r="B16" s="828"/>
      <c r="C16" s="1027"/>
      <c r="D16" s="1602"/>
      <c r="E16" s="1027"/>
      <c r="F16" s="1027"/>
      <c r="G16" s="1027"/>
      <c r="H16" s="1027"/>
      <c r="I16" s="1602"/>
      <c r="J16" s="1027"/>
      <c r="K16" s="1027"/>
      <c r="L16" s="1027"/>
      <c r="M16" s="1027"/>
      <c r="N16" s="1004"/>
      <c r="O16" s="1810"/>
      <c r="P16" s="999"/>
      <c r="Q16" s="999"/>
      <c r="R16" s="999"/>
      <c r="S16" s="999"/>
      <c r="T16" s="999"/>
      <c r="U16" s="999"/>
      <c r="V16" s="999"/>
      <c r="W16" s="999"/>
    </row>
    <row r="17" spans="1:23" ht="16.5" hidden="1" customHeight="1">
      <c r="A17" s="926">
        <v>2020</v>
      </c>
      <c r="B17" s="828"/>
      <c r="C17" s="1027"/>
      <c r="D17" s="1602"/>
      <c r="E17" s="1027"/>
      <c r="F17" s="1027"/>
      <c r="G17" s="1027"/>
      <c r="H17" s="1027"/>
      <c r="I17" s="1602"/>
      <c r="J17" s="1027"/>
      <c r="K17" s="1027"/>
      <c r="L17" s="1027"/>
      <c r="M17" s="1027"/>
      <c r="N17" s="1004"/>
      <c r="O17" s="1810"/>
      <c r="P17" s="999"/>
      <c r="Q17" s="999"/>
      <c r="R17" s="999"/>
      <c r="S17" s="999"/>
      <c r="T17" s="999"/>
      <c r="U17" s="999"/>
      <c r="V17" s="999"/>
      <c r="W17" s="999"/>
    </row>
    <row r="18" spans="1:23" ht="20.25" customHeight="1">
      <c r="A18" s="926">
        <v>2021</v>
      </c>
      <c r="B18" s="828"/>
      <c r="C18" s="1027">
        <v>31978</v>
      </c>
      <c r="D18" s="1602">
        <v>11171</v>
      </c>
      <c r="E18" s="1027">
        <v>6485</v>
      </c>
      <c r="F18" s="1027">
        <v>3022</v>
      </c>
      <c r="G18" s="1027">
        <v>105831</v>
      </c>
      <c r="H18" s="1027"/>
      <c r="I18" s="1602">
        <v>27275</v>
      </c>
      <c r="J18" s="1027">
        <v>3642</v>
      </c>
      <c r="K18" s="1027">
        <v>6274</v>
      </c>
      <c r="L18" s="1027">
        <v>0</v>
      </c>
      <c r="M18" s="1027">
        <v>0</v>
      </c>
      <c r="N18" s="1004">
        <v>195678</v>
      </c>
      <c r="O18" s="1810"/>
      <c r="P18" s="999"/>
      <c r="Q18" s="999"/>
      <c r="R18" s="999"/>
      <c r="S18" s="999"/>
      <c r="T18" s="999"/>
      <c r="U18" s="999"/>
      <c r="V18" s="999"/>
      <c r="W18" s="999"/>
    </row>
    <row r="19" spans="1:23" ht="20.25" customHeight="1">
      <c r="A19" s="1985">
        <v>2022</v>
      </c>
      <c r="B19" s="828"/>
      <c r="C19" s="1602">
        <v>62994</v>
      </c>
      <c r="D19" s="1602">
        <v>2600</v>
      </c>
      <c r="E19" s="1602">
        <v>2328</v>
      </c>
      <c r="F19" s="1602">
        <v>1727</v>
      </c>
      <c r="G19" s="1602">
        <v>77046</v>
      </c>
      <c r="H19" s="1602"/>
      <c r="I19" s="1602">
        <v>12278</v>
      </c>
      <c r="J19" s="1602">
        <v>1582</v>
      </c>
      <c r="K19" s="1602">
        <v>1913</v>
      </c>
      <c r="L19" s="1602">
        <v>7321</v>
      </c>
      <c r="M19" s="1602">
        <v>0</v>
      </c>
      <c r="N19" s="825">
        <v>169789</v>
      </c>
      <c r="O19" s="2183"/>
      <c r="P19" s="1976"/>
      <c r="Q19" s="1976"/>
      <c r="R19" s="1976"/>
      <c r="S19" s="1976"/>
      <c r="T19" s="1976"/>
      <c r="U19" s="1976"/>
      <c r="V19" s="1976"/>
      <c r="W19" s="1976"/>
    </row>
    <row r="20" spans="1:23" ht="20.25" customHeight="1">
      <c r="A20" s="1985">
        <v>2023</v>
      </c>
      <c r="B20" s="828"/>
      <c r="C20" s="1602">
        <v>72832</v>
      </c>
      <c r="D20" s="1602">
        <v>3977</v>
      </c>
      <c r="E20" s="1602">
        <v>3621</v>
      </c>
      <c r="F20" s="1602">
        <v>482</v>
      </c>
      <c r="G20" s="1602">
        <v>97308</v>
      </c>
      <c r="H20" s="1602"/>
      <c r="I20" s="1602">
        <v>12823</v>
      </c>
      <c r="J20" s="1602">
        <v>1674</v>
      </c>
      <c r="K20" s="1602">
        <v>1913</v>
      </c>
      <c r="L20" s="1602">
        <v>15609</v>
      </c>
      <c r="M20" s="1602">
        <v>0</v>
      </c>
      <c r="N20" s="825">
        <v>210239</v>
      </c>
      <c r="O20" s="2183"/>
      <c r="P20" s="1976"/>
      <c r="Q20" s="1976"/>
      <c r="R20" s="1976"/>
      <c r="S20" s="1976"/>
      <c r="T20" s="1976"/>
      <c r="U20" s="1976"/>
      <c r="V20" s="1976"/>
      <c r="W20" s="1976"/>
    </row>
    <row r="21" spans="1:23" ht="20.25" customHeight="1">
      <c r="A21" s="1985">
        <v>2024</v>
      </c>
      <c r="B21" s="828"/>
      <c r="C21" s="1602">
        <v>62089</v>
      </c>
      <c r="D21" s="1602">
        <v>2296</v>
      </c>
      <c r="E21" s="1602">
        <v>5149</v>
      </c>
      <c r="F21" s="1602">
        <v>1057</v>
      </c>
      <c r="G21" s="1602">
        <v>211400</v>
      </c>
      <c r="H21" s="1602"/>
      <c r="I21" s="1602">
        <v>8757</v>
      </c>
      <c r="J21" s="1602">
        <v>11495</v>
      </c>
      <c r="K21" s="1602">
        <v>6308</v>
      </c>
      <c r="L21" s="1602">
        <v>11248</v>
      </c>
      <c r="M21" s="1602">
        <v>0</v>
      </c>
      <c r="N21" s="825">
        <v>319799</v>
      </c>
      <c r="O21" s="2183"/>
      <c r="P21" s="1976"/>
      <c r="Q21" s="1976"/>
      <c r="R21" s="1976"/>
      <c r="S21" s="1976"/>
      <c r="T21" s="1976"/>
      <c r="U21" s="1976"/>
      <c r="V21" s="1976"/>
      <c r="W21" s="1976"/>
    </row>
    <row r="22" spans="1:23" ht="20.25" customHeight="1">
      <c r="A22" s="2184">
        <v>2025</v>
      </c>
      <c r="B22" s="1793"/>
      <c r="C22" s="1850">
        <f t="shared" ref="C22:M22" si="0">SUM(C26:C29)</f>
        <v>395060</v>
      </c>
      <c r="D22" s="1850">
        <f t="shared" si="0"/>
        <v>2576</v>
      </c>
      <c r="E22" s="1850">
        <f t="shared" si="0"/>
        <v>5220</v>
      </c>
      <c r="F22" s="1850">
        <f t="shared" si="0"/>
        <v>3271</v>
      </c>
      <c r="G22" s="1850">
        <f t="shared" si="0"/>
        <v>172760</v>
      </c>
      <c r="H22" s="1850"/>
      <c r="I22" s="1850">
        <f t="shared" si="0"/>
        <v>17426</v>
      </c>
      <c r="J22" s="1850">
        <f t="shared" si="0"/>
        <v>13988</v>
      </c>
      <c r="K22" s="1850">
        <f t="shared" si="0"/>
        <v>0</v>
      </c>
      <c r="L22" s="1850">
        <f t="shared" si="0"/>
        <v>8774</v>
      </c>
      <c r="M22" s="1850">
        <f t="shared" si="0"/>
        <v>0</v>
      </c>
      <c r="N22" s="2185">
        <f t="shared" ref="N22" si="1">SUM(C22:M22)</f>
        <v>619075</v>
      </c>
      <c r="O22" s="2304">
        <f>N22-'55'!E22</f>
        <v>0</v>
      </c>
      <c r="P22" s="1877">
        <f t="shared" ref="P22" si="2">N22-SUM(C22:M22)</f>
        <v>0</v>
      </c>
      <c r="Q22" s="1976"/>
      <c r="R22" s="1976"/>
      <c r="S22" s="1976"/>
      <c r="T22" s="1976"/>
      <c r="U22" s="1976"/>
      <c r="V22" s="1976"/>
      <c r="W22" s="1976"/>
    </row>
    <row r="23" spans="1:23" ht="21" customHeight="1">
      <c r="A23" s="926">
        <v>2024</v>
      </c>
      <c r="B23" s="828" t="s">
        <v>243</v>
      </c>
      <c r="C23" s="1027">
        <v>8285</v>
      </c>
      <c r="D23" s="1602">
        <v>346</v>
      </c>
      <c r="E23" s="1027">
        <v>588</v>
      </c>
      <c r="F23" s="1027">
        <v>440</v>
      </c>
      <c r="G23" s="1027">
        <v>46930</v>
      </c>
      <c r="H23" s="1027"/>
      <c r="I23" s="1602">
        <v>2132</v>
      </c>
      <c r="J23" s="1027">
        <v>9637</v>
      </c>
      <c r="K23" s="1027">
        <v>0</v>
      </c>
      <c r="L23" s="1027">
        <v>3995</v>
      </c>
      <c r="M23" s="1027">
        <v>0</v>
      </c>
      <c r="N23" s="1004">
        <v>72353</v>
      </c>
      <c r="O23" s="2304">
        <v>0</v>
      </c>
      <c r="P23" s="1877">
        <v>0</v>
      </c>
      <c r="Q23" s="999"/>
      <c r="R23" s="999"/>
      <c r="S23" s="999"/>
      <c r="T23" s="999"/>
      <c r="U23" s="999"/>
      <c r="V23" s="999"/>
      <c r="W23" s="999"/>
    </row>
    <row r="24" spans="1:23" ht="15" customHeight="1">
      <c r="A24" s="926"/>
      <c r="B24" s="828" t="s">
        <v>240</v>
      </c>
      <c r="C24" s="1027">
        <v>16348</v>
      </c>
      <c r="D24" s="1602">
        <v>140</v>
      </c>
      <c r="E24" s="1027">
        <v>3429</v>
      </c>
      <c r="F24" s="1027">
        <v>94</v>
      </c>
      <c r="G24" s="1027">
        <v>86401</v>
      </c>
      <c r="H24" s="1027"/>
      <c r="I24" s="1602">
        <v>2127</v>
      </c>
      <c r="J24" s="1027">
        <v>1085</v>
      </c>
      <c r="K24" s="1027">
        <v>6308</v>
      </c>
      <c r="L24" s="1027">
        <v>1711</v>
      </c>
      <c r="M24" s="1027">
        <v>0</v>
      </c>
      <c r="N24" s="1004">
        <v>117643</v>
      </c>
      <c r="O24" s="2304">
        <v>0</v>
      </c>
      <c r="P24" s="1877">
        <v>0</v>
      </c>
      <c r="Q24" s="999"/>
      <c r="R24" s="999"/>
      <c r="S24" s="999"/>
      <c r="T24" s="999"/>
      <c r="U24" s="999"/>
      <c r="V24" s="999"/>
      <c r="W24" s="999"/>
    </row>
    <row r="25" spans="1:23" ht="15" customHeight="1">
      <c r="A25" s="926"/>
      <c r="B25" s="828" t="s">
        <v>241</v>
      </c>
      <c r="C25" s="1027">
        <v>12176</v>
      </c>
      <c r="D25" s="1602">
        <v>900</v>
      </c>
      <c r="E25" s="1027">
        <v>579</v>
      </c>
      <c r="F25" s="1027">
        <v>378</v>
      </c>
      <c r="G25" s="1027">
        <v>25942</v>
      </c>
      <c r="H25" s="1027"/>
      <c r="I25" s="1602">
        <v>1887</v>
      </c>
      <c r="J25" s="1027">
        <v>430</v>
      </c>
      <c r="K25" s="1027">
        <v>0</v>
      </c>
      <c r="L25" s="1027">
        <v>2544</v>
      </c>
      <c r="M25" s="1027">
        <v>0</v>
      </c>
      <c r="N25" s="1004">
        <v>44836</v>
      </c>
      <c r="O25" s="2304">
        <v>0</v>
      </c>
      <c r="P25" s="1877">
        <v>0</v>
      </c>
      <c r="Q25" s="999"/>
      <c r="R25" s="999"/>
      <c r="S25" s="999"/>
      <c r="T25" s="999"/>
      <c r="U25" s="999"/>
      <c r="V25" s="999"/>
      <c r="W25" s="999"/>
    </row>
    <row r="26" spans="1:23" ht="21" customHeight="1">
      <c r="A26" s="926">
        <v>2025</v>
      </c>
      <c r="B26" s="828" t="s">
        <v>242</v>
      </c>
      <c r="C26" s="1027">
        <v>369447</v>
      </c>
      <c r="D26" s="1602">
        <v>1046</v>
      </c>
      <c r="E26" s="1027">
        <v>764</v>
      </c>
      <c r="F26" s="1027">
        <v>265</v>
      </c>
      <c r="G26" s="1027">
        <v>41509</v>
      </c>
      <c r="H26" s="1027"/>
      <c r="I26" s="1602">
        <v>3306</v>
      </c>
      <c r="J26" s="1027">
        <v>457</v>
      </c>
      <c r="K26" s="1027">
        <v>0</v>
      </c>
      <c r="L26" s="1027">
        <v>1476</v>
      </c>
      <c r="M26" s="1027">
        <v>0</v>
      </c>
      <c r="N26" s="1004">
        <v>418270</v>
      </c>
      <c r="O26" s="2304">
        <v>0</v>
      </c>
      <c r="P26" s="1877">
        <v>0</v>
      </c>
      <c r="Q26" s="999"/>
      <c r="R26" s="999"/>
      <c r="S26" s="999"/>
      <c r="T26" s="999"/>
      <c r="U26" s="999"/>
      <c r="V26" s="999"/>
      <c r="W26" s="999"/>
    </row>
    <row r="27" spans="1:23" ht="15" customHeight="1">
      <c r="A27" s="926"/>
      <c r="B27" s="828" t="s">
        <v>243</v>
      </c>
      <c r="C27" s="1027">
        <v>4300</v>
      </c>
      <c r="D27" s="1602">
        <v>411</v>
      </c>
      <c r="E27" s="1027">
        <v>1099</v>
      </c>
      <c r="F27" s="1027">
        <v>208</v>
      </c>
      <c r="G27" s="1027">
        <v>24597</v>
      </c>
      <c r="H27" s="1027"/>
      <c r="I27" s="1602">
        <v>4396</v>
      </c>
      <c r="J27" s="1027">
        <v>12758</v>
      </c>
      <c r="K27" s="1027">
        <v>0</v>
      </c>
      <c r="L27" s="1027">
        <v>3021</v>
      </c>
      <c r="M27" s="1027">
        <v>0</v>
      </c>
      <c r="N27" s="1004">
        <v>50790</v>
      </c>
      <c r="O27" s="2304">
        <v>0</v>
      </c>
      <c r="P27" s="1877">
        <v>0</v>
      </c>
      <c r="Q27" s="999"/>
      <c r="R27" s="999"/>
      <c r="S27" s="999"/>
      <c r="T27" s="999"/>
      <c r="U27" s="999"/>
      <c r="V27" s="999"/>
      <c r="W27" s="999"/>
    </row>
    <row r="28" spans="1:23" ht="15" customHeight="1">
      <c r="A28" s="926"/>
      <c r="B28" s="828" t="s">
        <v>240</v>
      </c>
      <c r="C28" s="1027">
        <f t="shared" ref="C28:N28" si="3">SUM(C33:C35)</f>
        <v>6607</v>
      </c>
      <c r="D28" s="1602">
        <f t="shared" si="3"/>
        <v>456</v>
      </c>
      <c r="E28" s="1027">
        <f t="shared" si="3"/>
        <v>1885</v>
      </c>
      <c r="F28" s="1027">
        <f t="shared" si="3"/>
        <v>949</v>
      </c>
      <c r="G28" s="1027">
        <f t="shared" si="3"/>
        <v>32686</v>
      </c>
      <c r="H28" s="1027"/>
      <c r="I28" s="1602">
        <f t="shared" si="3"/>
        <v>5806</v>
      </c>
      <c r="J28" s="1027">
        <f t="shared" si="3"/>
        <v>487</v>
      </c>
      <c r="K28" s="1027">
        <f t="shared" si="3"/>
        <v>0</v>
      </c>
      <c r="L28" s="1027">
        <f t="shared" si="3"/>
        <v>3224</v>
      </c>
      <c r="M28" s="1027">
        <f t="shared" si="3"/>
        <v>0</v>
      </c>
      <c r="N28" s="1004">
        <f t="shared" si="3"/>
        <v>52100</v>
      </c>
      <c r="O28" s="2304">
        <f>N28-'55'!E28</f>
        <v>0</v>
      </c>
      <c r="P28" s="1877">
        <f t="shared" ref="P28" si="4">N28-SUM(C28:M28)</f>
        <v>0</v>
      </c>
      <c r="Q28" s="999"/>
      <c r="R28" s="999"/>
      <c r="S28" s="999"/>
      <c r="T28" s="999"/>
      <c r="U28" s="999"/>
      <c r="V28" s="999"/>
      <c r="W28" s="999"/>
    </row>
    <row r="29" spans="1:23" ht="15" customHeight="1">
      <c r="A29" s="926"/>
      <c r="B29" s="828" t="s">
        <v>241</v>
      </c>
      <c r="C29" s="1027">
        <f t="shared" ref="C29:N29" si="5">SUM(C36:C38)</f>
        <v>14706</v>
      </c>
      <c r="D29" s="1602">
        <f t="shared" si="5"/>
        <v>663</v>
      </c>
      <c r="E29" s="1027">
        <f t="shared" si="5"/>
        <v>1472</v>
      </c>
      <c r="F29" s="1027">
        <f t="shared" si="5"/>
        <v>1849</v>
      </c>
      <c r="G29" s="1027">
        <f t="shared" si="5"/>
        <v>73968</v>
      </c>
      <c r="H29" s="1027"/>
      <c r="I29" s="1602">
        <f t="shared" si="5"/>
        <v>3918</v>
      </c>
      <c r="J29" s="1027">
        <f t="shared" si="5"/>
        <v>286</v>
      </c>
      <c r="K29" s="1027">
        <f t="shared" si="5"/>
        <v>0</v>
      </c>
      <c r="L29" s="1027">
        <f t="shared" si="5"/>
        <v>1053</v>
      </c>
      <c r="M29" s="1027">
        <f t="shared" si="5"/>
        <v>0</v>
      </c>
      <c r="N29" s="1004">
        <f t="shared" si="5"/>
        <v>97915</v>
      </c>
      <c r="O29" s="2304">
        <f>N29-'55'!E29</f>
        <v>0</v>
      </c>
      <c r="P29" s="1877">
        <f t="shared" ref="P29" si="6">N29-SUM(C29:M29)</f>
        <v>0</v>
      </c>
      <c r="Q29" s="999"/>
      <c r="R29" s="999"/>
      <c r="S29" s="999"/>
      <c r="T29" s="999"/>
      <c r="U29" s="999"/>
      <c r="V29" s="999"/>
      <c r="W29" s="999"/>
    </row>
    <row r="30" spans="1:23" ht="21" customHeight="1">
      <c r="A30" s="1729">
        <v>2026</v>
      </c>
      <c r="B30" s="1793" t="s">
        <v>242</v>
      </c>
      <c r="C30" s="1794">
        <f t="shared" ref="C30:H30" si="7">SUM(C39:C41)</f>
        <v>21851.506840000002</v>
      </c>
      <c r="D30" s="1850">
        <f t="shared" si="7"/>
        <v>724.53355499999998</v>
      </c>
      <c r="E30" s="1794">
        <f t="shared" si="7"/>
        <v>1088.286443</v>
      </c>
      <c r="F30" s="1794">
        <f t="shared" si="7"/>
        <v>749.68751900000007</v>
      </c>
      <c r="G30" s="1794">
        <f t="shared" si="7"/>
        <v>19870.431653</v>
      </c>
      <c r="H30" s="1794">
        <f t="shared" si="7"/>
        <v>108.71669199999999</v>
      </c>
      <c r="I30" s="1850">
        <f>SUM(I39:I41)</f>
        <v>3395.3777989999999</v>
      </c>
      <c r="J30" s="1794">
        <f t="shared" ref="J30:N30" si="8">SUM(J39:J41)</f>
        <v>503.01567</v>
      </c>
      <c r="K30" s="1794">
        <f t="shared" si="8"/>
        <v>0</v>
      </c>
      <c r="L30" s="1794">
        <f t="shared" si="8"/>
        <v>835.82033100000001</v>
      </c>
      <c r="M30" s="1794">
        <f t="shared" si="8"/>
        <v>0</v>
      </c>
      <c r="N30" s="1795">
        <f t="shared" si="8"/>
        <v>49127.376501999999</v>
      </c>
      <c r="O30" s="2304">
        <f>N30-'55'!E30</f>
        <v>0</v>
      </c>
      <c r="P30" s="1877">
        <f t="shared" ref="P30" si="9">N30-SUM(C30:M30)</f>
        <v>0</v>
      </c>
      <c r="Q30" s="999"/>
      <c r="R30" s="999"/>
      <c r="S30" s="999"/>
      <c r="T30" s="999"/>
      <c r="U30" s="999"/>
      <c r="V30" s="999"/>
      <c r="W30" s="999"/>
    </row>
    <row r="31" spans="1:23" s="1976" customFormat="1" ht="21" customHeight="1">
      <c r="A31" s="1985">
        <v>2025</v>
      </c>
      <c r="B31" s="1986" t="s">
        <v>427</v>
      </c>
      <c r="C31" s="1602">
        <v>1732</v>
      </c>
      <c r="D31" s="1602">
        <v>117</v>
      </c>
      <c r="E31" s="1602">
        <v>285</v>
      </c>
      <c r="F31" s="1602">
        <v>123</v>
      </c>
      <c r="G31" s="825">
        <v>6225</v>
      </c>
      <c r="H31" s="825"/>
      <c r="I31" s="1602">
        <v>1767</v>
      </c>
      <c r="J31" s="1602">
        <v>12385</v>
      </c>
      <c r="K31" s="1602">
        <v>0</v>
      </c>
      <c r="L31" s="1602">
        <v>1584</v>
      </c>
      <c r="M31" s="1602">
        <v>0</v>
      </c>
      <c r="N31" s="1602">
        <v>24218</v>
      </c>
      <c r="O31" s="2088">
        <v>0</v>
      </c>
      <c r="P31" s="2088">
        <v>0</v>
      </c>
    </row>
    <row r="32" spans="1:23" s="1976" customFormat="1" ht="17.25" customHeight="1">
      <c r="A32" s="1985"/>
      <c r="B32" s="1986" t="s">
        <v>428</v>
      </c>
      <c r="C32" s="1602">
        <v>1045</v>
      </c>
      <c r="D32" s="1602">
        <v>105</v>
      </c>
      <c r="E32" s="1602">
        <v>715</v>
      </c>
      <c r="F32" s="1602">
        <v>13</v>
      </c>
      <c r="G32" s="825">
        <v>14330</v>
      </c>
      <c r="H32" s="825"/>
      <c r="I32" s="1602">
        <v>1326</v>
      </c>
      <c r="J32" s="1602">
        <v>205</v>
      </c>
      <c r="K32" s="1602">
        <v>0</v>
      </c>
      <c r="L32" s="1602">
        <v>490</v>
      </c>
      <c r="M32" s="1602">
        <v>0</v>
      </c>
      <c r="N32" s="1602">
        <f t="shared" ref="N32" si="10">SUM(C32:M32)</f>
        <v>18229</v>
      </c>
      <c r="O32" s="2088">
        <f>N32-'55'!E32</f>
        <v>0</v>
      </c>
      <c r="P32" s="2088">
        <f t="shared" ref="P32" si="11">N32-SUM(C32:M32)</f>
        <v>0</v>
      </c>
    </row>
    <row r="33" spans="1:16" s="1976" customFormat="1" ht="17.25" customHeight="1">
      <c r="A33" s="1985"/>
      <c r="B33" s="1986" t="s">
        <v>429</v>
      </c>
      <c r="C33" s="1602">
        <v>1635</v>
      </c>
      <c r="D33" s="1602">
        <v>132</v>
      </c>
      <c r="E33" s="1602">
        <v>553</v>
      </c>
      <c r="F33" s="1602">
        <v>134</v>
      </c>
      <c r="G33" s="825">
        <v>21804</v>
      </c>
      <c r="H33" s="825"/>
      <c r="I33" s="1602">
        <v>2152</v>
      </c>
      <c r="J33" s="1536">
        <v>198</v>
      </c>
      <c r="K33" s="1602">
        <v>0</v>
      </c>
      <c r="L33" s="1602">
        <v>2243</v>
      </c>
      <c r="M33" s="1602">
        <v>0</v>
      </c>
      <c r="N33" s="1602">
        <f t="shared" ref="N33" si="12">SUM(C33:M33)</f>
        <v>28851</v>
      </c>
      <c r="O33" s="2088">
        <f>N33-'55'!E33</f>
        <v>0</v>
      </c>
      <c r="P33" s="2088">
        <f t="shared" ref="P33" si="13">N33-SUM(C33:M33)</f>
        <v>0</v>
      </c>
    </row>
    <row r="34" spans="1:16" s="1976" customFormat="1" ht="17.25" customHeight="1">
      <c r="A34" s="1985"/>
      <c r="B34" s="1986" t="s">
        <v>430</v>
      </c>
      <c r="C34" s="1602">
        <v>2267</v>
      </c>
      <c r="D34" s="1602">
        <v>144</v>
      </c>
      <c r="E34" s="1602">
        <v>48</v>
      </c>
      <c r="F34" s="1602">
        <v>124</v>
      </c>
      <c r="G34" s="825">
        <v>3996</v>
      </c>
      <c r="H34" s="825"/>
      <c r="I34" s="1602">
        <v>1796</v>
      </c>
      <c r="J34" s="1536">
        <v>78</v>
      </c>
      <c r="K34" s="1602">
        <v>0</v>
      </c>
      <c r="L34" s="1602">
        <v>250</v>
      </c>
      <c r="M34" s="1602">
        <v>0</v>
      </c>
      <c r="N34" s="1602">
        <f t="shared" ref="N34" si="14">SUM(C34:M34)</f>
        <v>8703</v>
      </c>
      <c r="O34" s="2088">
        <f>N34-'55'!E34</f>
        <v>0</v>
      </c>
      <c r="P34" s="2088">
        <f t="shared" ref="P34" si="15">N34-SUM(C34:M34)</f>
        <v>0</v>
      </c>
    </row>
    <row r="35" spans="1:16" s="1976" customFormat="1" ht="17.25" customHeight="1">
      <c r="A35" s="1985"/>
      <c r="B35" s="1986" t="s">
        <v>431</v>
      </c>
      <c r="C35" s="1602">
        <v>2705</v>
      </c>
      <c r="D35" s="1602">
        <v>180</v>
      </c>
      <c r="E35" s="1536">
        <v>1284</v>
      </c>
      <c r="F35" s="1602">
        <v>691</v>
      </c>
      <c r="G35" s="825">
        <v>6886</v>
      </c>
      <c r="H35" s="825"/>
      <c r="I35" s="1602">
        <v>1858</v>
      </c>
      <c r="J35" s="1536">
        <v>211</v>
      </c>
      <c r="K35" s="1602">
        <v>0</v>
      </c>
      <c r="L35" s="1602">
        <v>731</v>
      </c>
      <c r="M35" s="1602">
        <v>0</v>
      </c>
      <c r="N35" s="1602">
        <f t="shared" ref="N35" si="16">SUM(C35:M35)</f>
        <v>14546</v>
      </c>
      <c r="O35" s="2088">
        <f>N35-'55'!E35</f>
        <v>0</v>
      </c>
      <c r="P35" s="2088">
        <f t="shared" ref="P35" si="17">N35-SUM(C35:M35)</f>
        <v>0</v>
      </c>
    </row>
    <row r="36" spans="1:16" s="1976" customFormat="1" ht="17.25" customHeight="1">
      <c r="A36" s="1985"/>
      <c r="B36" s="1986" t="s">
        <v>420</v>
      </c>
      <c r="C36" s="1602">
        <v>5135</v>
      </c>
      <c r="D36" s="1602">
        <v>206</v>
      </c>
      <c r="E36" s="1602">
        <v>155</v>
      </c>
      <c r="F36" s="1602">
        <v>639</v>
      </c>
      <c r="G36" s="1602">
        <v>27947</v>
      </c>
      <c r="H36" s="1602"/>
      <c r="I36" s="1602">
        <v>1817</v>
      </c>
      <c r="J36" s="1602">
        <v>79</v>
      </c>
      <c r="K36" s="1602">
        <v>0</v>
      </c>
      <c r="L36" s="1602">
        <v>138</v>
      </c>
      <c r="M36" s="1602">
        <v>0</v>
      </c>
      <c r="N36" s="1602">
        <f t="shared" ref="N36" si="18">SUM(C36:M36)</f>
        <v>36116</v>
      </c>
      <c r="O36" s="2088">
        <f>N36-'55'!E36</f>
        <v>0</v>
      </c>
      <c r="P36" s="2088">
        <f t="shared" ref="P36" si="19">N36-SUM(C36:M36)</f>
        <v>0</v>
      </c>
    </row>
    <row r="37" spans="1:16" s="1976" customFormat="1" ht="17.25" customHeight="1">
      <c r="A37" s="1985"/>
      <c r="B37" s="1986" t="s">
        <v>421</v>
      </c>
      <c r="C37" s="1602">
        <v>4585</v>
      </c>
      <c r="D37" s="1602">
        <v>306</v>
      </c>
      <c r="E37" s="1602">
        <v>124</v>
      </c>
      <c r="F37" s="1536">
        <v>832</v>
      </c>
      <c r="G37" s="1602">
        <v>25076</v>
      </c>
      <c r="H37" s="1602"/>
      <c r="I37" s="1602">
        <v>1330</v>
      </c>
      <c r="J37" s="1602">
        <v>135</v>
      </c>
      <c r="K37" s="1602">
        <v>0</v>
      </c>
      <c r="L37" s="1602">
        <v>382</v>
      </c>
      <c r="M37" s="1602">
        <v>0</v>
      </c>
      <c r="N37" s="1602">
        <f t="shared" ref="N37" si="20">SUM(C37:M37)</f>
        <v>32770</v>
      </c>
      <c r="O37" s="2088">
        <f>N37-'55'!E37</f>
        <v>0</v>
      </c>
      <c r="P37" s="2088">
        <f t="shared" ref="P37" si="21">N37-SUM(C37:M37)</f>
        <v>0</v>
      </c>
    </row>
    <row r="38" spans="1:16" s="1976" customFormat="1" ht="17.25" customHeight="1">
      <c r="A38" s="1985"/>
      <c r="B38" s="1986" t="s">
        <v>422</v>
      </c>
      <c r="C38" s="1602">
        <v>4986</v>
      </c>
      <c r="D38" s="1602">
        <v>151</v>
      </c>
      <c r="E38" s="1602">
        <v>1193</v>
      </c>
      <c r="F38" s="1602">
        <v>378</v>
      </c>
      <c r="G38" s="1602">
        <v>20945</v>
      </c>
      <c r="H38" s="1602"/>
      <c r="I38" s="1602">
        <v>771</v>
      </c>
      <c r="J38" s="1602">
        <v>72</v>
      </c>
      <c r="K38" s="1602">
        <v>0</v>
      </c>
      <c r="L38" s="1602">
        <v>533</v>
      </c>
      <c r="M38" s="1602">
        <v>0</v>
      </c>
      <c r="N38" s="1602">
        <f t="shared" ref="N38:N39" si="22">SUM(C38:M38)</f>
        <v>29029</v>
      </c>
      <c r="O38" s="2088">
        <f>N38-'55'!E38</f>
        <v>0</v>
      </c>
      <c r="P38" s="2088">
        <f t="shared" ref="P38" si="23">N38-SUM(C38:M38)</f>
        <v>0</v>
      </c>
    </row>
    <row r="39" spans="1:16" s="1976" customFormat="1" ht="21" customHeight="1">
      <c r="A39" s="1985">
        <v>2026</v>
      </c>
      <c r="B39" s="1986" t="s">
        <v>423</v>
      </c>
      <c r="C39" s="1602">
        <v>12655</v>
      </c>
      <c r="D39" s="1602">
        <v>181</v>
      </c>
      <c r="E39" s="1536">
        <v>194</v>
      </c>
      <c r="F39" s="1602">
        <v>95</v>
      </c>
      <c r="G39" s="1602">
        <v>8826</v>
      </c>
      <c r="H39" s="1602"/>
      <c r="I39" s="1602">
        <v>1049</v>
      </c>
      <c r="J39" s="1602">
        <v>128</v>
      </c>
      <c r="K39" s="1602">
        <v>0</v>
      </c>
      <c r="L39" s="1602">
        <v>614</v>
      </c>
      <c r="M39" s="1602">
        <v>0</v>
      </c>
      <c r="N39" s="1602">
        <f t="shared" si="22"/>
        <v>23742</v>
      </c>
      <c r="O39" s="2088">
        <f>N39-'55'!E39</f>
        <v>0</v>
      </c>
      <c r="P39" s="2088">
        <f t="shared" ref="P39" si="24">N39-SUM(C39:M39)</f>
        <v>0</v>
      </c>
    </row>
    <row r="40" spans="1:16" s="1976" customFormat="1" ht="17.25" customHeight="1">
      <c r="A40" s="1985"/>
      <c r="B40" s="1986" t="s">
        <v>424</v>
      </c>
      <c r="C40" s="1602">
        <v>7086.50684</v>
      </c>
      <c r="D40" s="1602">
        <v>155.53355500000001</v>
      </c>
      <c r="E40" s="1602">
        <v>653.28644300000008</v>
      </c>
      <c r="F40" s="1602">
        <v>632.68751900000007</v>
      </c>
      <c r="G40" s="1602">
        <v>8325.4316529999996</v>
      </c>
      <c r="H40" s="1602">
        <v>75.716691999999995</v>
      </c>
      <c r="I40" s="1602">
        <v>1189.3777989999999</v>
      </c>
      <c r="J40" s="1602">
        <v>257.01567</v>
      </c>
      <c r="K40" s="1602">
        <v>0</v>
      </c>
      <c r="L40" s="1602">
        <v>81.82033100000001</v>
      </c>
      <c r="M40" s="1602">
        <v>0</v>
      </c>
      <c r="N40" s="1602">
        <f t="shared" ref="N40" si="25">SUM(C40:M40)</f>
        <v>18457.376502000003</v>
      </c>
      <c r="O40" s="2088">
        <f>N40-'55'!E40</f>
        <v>0</v>
      </c>
      <c r="P40" s="2088">
        <f t="shared" ref="P40" si="26">N40-SUM(C40:M40)</f>
        <v>0</v>
      </c>
    </row>
    <row r="41" spans="1:16" s="1976" customFormat="1" ht="17.25" customHeight="1">
      <c r="A41" s="1985"/>
      <c r="B41" s="1986" t="s">
        <v>425</v>
      </c>
      <c r="C41" s="1602">
        <v>2110</v>
      </c>
      <c r="D41" s="1602">
        <v>388</v>
      </c>
      <c r="E41" s="1602">
        <v>241</v>
      </c>
      <c r="F41" s="1602">
        <v>22</v>
      </c>
      <c r="G41" s="1602">
        <v>2719</v>
      </c>
      <c r="H41" s="1602">
        <v>33</v>
      </c>
      <c r="I41" s="1602">
        <v>1157</v>
      </c>
      <c r="J41" s="1602">
        <v>118</v>
      </c>
      <c r="K41" s="1602">
        <v>0</v>
      </c>
      <c r="L41" s="1602">
        <v>140</v>
      </c>
      <c r="M41" s="1602">
        <v>0</v>
      </c>
      <c r="N41" s="1602">
        <f t="shared" ref="N41:N42" si="27">SUM(C41:M41)</f>
        <v>6928</v>
      </c>
      <c r="O41" s="2088">
        <f>N41-'55'!E41</f>
        <v>0</v>
      </c>
      <c r="P41" s="2088">
        <f t="shared" ref="P41" si="28">N41-SUM(C41:M41)</f>
        <v>0</v>
      </c>
    </row>
    <row r="42" spans="1:16" s="1976" customFormat="1" ht="17.25" customHeight="1">
      <c r="A42" s="1985"/>
      <c r="B42" s="1986" t="s">
        <v>426</v>
      </c>
      <c r="C42" s="825">
        <v>1907</v>
      </c>
      <c r="D42" s="825">
        <v>241</v>
      </c>
      <c r="E42" s="1602">
        <v>104</v>
      </c>
      <c r="F42" s="825">
        <v>197</v>
      </c>
      <c r="G42" s="2541">
        <v>11684</v>
      </c>
      <c r="H42" s="1602">
        <v>27</v>
      </c>
      <c r="I42" s="825">
        <v>1245</v>
      </c>
      <c r="J42" s="825">
        <v>1384</v>
      </c>
      <c r="K42" s="825">
        <v>0</v>
      </c>
      <c r="L42" s="825">
        <v>1609</v>
      </c>
      <c r="M42" s="825">
        <v>0</v>
      </c>
      <c r="N42" s="1602">
        <f t="shared" si="27"/>
        <v>18398</v>
      </c>
      <c r="O42" s="2088">
        <f>N42-'55'!E42</f>
        <v>4.2729000000690576E-2</v>
      </c>
      <c r="P42" s="2088">
        <f t="shared" ref="P42" si="29">N42-SUM(C42:M42)</f>
        <v>0</v>
      </c>
    </row>
    <row r="43" spans="1:16" s="1976" customFormat="1" ht="17.25" customHeight="1">
      <c r="A43" s="1985"/>
      <c r="B43" s="1986" t="s">
        <v>427</v>
      </c>
      <c r="C43" s="825">
        <v>3801.4677190000002</v>
      </c>
      <c r="D43" s="825">
        <v>256.77918499999998</v>
      </c>
      <c r="E43" s="1602">
        <v>126.76998800000001</v>
      </c>
      <c r="F43" s="825">
        <v>34.261299000000001</v>
      </c>
      <c r="G43" s="2541">
        <v>13437.267629000002</v>
      </c>
      <c r="H43" s="1602">
        <v>6.5635000000000003</v>
      </c>
      <c r="I43" s="825">
        <v>595.93788699999993</v>
      </c>
      <c r="J43" s="825">
        <v>163.45930200000004</v>
      </c>
      <c r="K43" s="825">
        <v>0</v>
      </c>
      <c r="L43" s="825">
        <v>229.83141000000001</v>
      </c>
      <c r="M43" s="825">
        <v>0</v>
      </c>
      <c r="N43" s="1602">
        <f t="shared" ref="N43" si="30">SUM(C43:M43)</f>
        <v>18652.337918999998</v>
      </c>
      <c r="O43" s="2088">
        <f>N43-'55'!E43</f>
        <v>0</v>
      </c>
      <c r="P43" s="2088">
        <f t="shared" ref="P43" si="31">N43-SUM(C43:M43)</f>
        <v>0</v>
      </c>
    </row>
    <row r="44" spans="1:16" ht="20.25" customHeight="1">
      <c r="A44" s="829" t="s">
        <v>1627</v>
      </c>
      <c r="B44" s="761"/>
      <c r="C44" s="761"/>
      <c r="D44" s="761"/>
      <c r="E44" s="761"/>
      <c r="F44" s="761"/>
      <c r="G44" s="761"/>
      <c r="H44" s="761"/>
      <c r="I44" s="761"/>
      <c r="J44" s="761"/>
      <c r="K44" s="761"/>
      <c r="L44" s="761"/>
      <c r="M44" s="761"/>
      <c r="N44" s="830" t="s">
        <v>1628</v>
      </c>
    </row>
    <row r="45" spans="1:16" ht="13" hidden="1">
      <c r="A45" s="831" t="s">
        <v>1661</v>
      </c>
      <c r="N45" s="2095" t="s">
        <v>1662</v>
      </c>
    </row>
    <row r="46" spans="1:16" hidden="1">
      <c r="A46" s="831" t="s">
        <v>1663</v>
      </c>
      <c r="N46" s="832" t="s">
        <v>1664</v>
      </c>
    </row>
    <row r="47" spans="1:16">
      <c r="A47" s="831" t="s">
        <v>1629</v>
      </c>
      <c r="N47" s="832" t="s">
        <v>1630</v>
      </c>
    </row>
    <row r="48" spans="1:16">
      <c r="A48" s="743"/>
      <c r="B48" s="743"/>
      <c r="C48" s="743"/>
      <c r="D48" s="743"/>
      <c r="E48" s="743"/>
      <c r="F48" s="743"/>
      <c r="G48" s="743"/>
      <c r="H48" s="743"/>
      <c r="I48" s="743"/>
      <c r="J48" s="743"/>
      <c r="K48" s="743"/>
      <c r="L48" s="743"/>
      <c r="M48" s="743"/>
      <c r="N48" s="743"/>
    </row>
    <row r="49" spans="1:14">
      <c r="A49" s="743" t="s">
        <v>1665</v>
      </c>
      <c r="B49" s="743"/>
      <c r="C49" s="743"/>
      <c r="D49" s="743"/>
      <c r="E49" s="743"/>
      <c r="F49" s="743"/>
      <c r="G49" s="743"/>
      <c r="H49" s="743"/>
      <c r="I49" s="743"/>
      <c r="J49" s="743"/>
      <c r="K49" s="743"/>
      <c r="L49" s="743"/>
      <c r="M49" s="743"/>
      <c r="N49" s="743"/>
    </row>
    <row r="62" spans="1:14" ht="13">
      <c r="A62" s="833"/>
      <c r="B62" s="833"/>
    </row>
    <row r="63" spans="1:14" ht="13">
      <c r="A63" s="833"/>
      <c r="B63" s="833"/>
    </row>
    <row r="64" spans="1:14" ht="13">
      <c r="A64" s="833"/>
      <c r="B64" s="833"/>
    </row>
    <row r="65" spans="1:2" ht="13">
      <c r="A65" s="833"/>
      <c r="B65" s="833"/>
    </row>
    <row r="66" spans="1:2" ht="13">
      <c r="A66" s="833"/>
      <c r="B66" s="833"/>
    </row>
    <row r="67" spans="1:2" ht="13">
      <c r="A67" s="833"/>
      <c r="B67" s="833"/>
    </row>
  </sheetData>
  <printOptions horizontalCentered="1" verticalCentered="1"/>
  <pageMargins left="0" right="0" top="0" bottom="0" header="0.3" footer="0.3"/>
  <pageSetup paperSize="9" scale="7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A1:Z49"/>
  <sheetViews>
    <sheetView zoomScale="80" zoomScaleNormal="80" workbookViewId="0">
      <pane ySplit="12" topLeftCell="A38" activePane="bottomLeft" state="frozen"/>
      <selection activeCell="B43" sqref="B43"/>
      <selection pane="bottomLeft" activeCell="C43" sqref="C43"/>
    </sheetView>
  </sheetViews>
  <sheetFormatPr defaultColWidth="7.81640625" defaultRowHeight="15.5"/>
  <cols>
    <col min="1" max="2" width="9.26953125" style="9" customWidth="1"/>
    <col min="3" max="10" width="19.7265625" style="9" customWidth="1"/>
    <col min="11" max="11" width="17.453125" style="9" customWidth="1"/>
    <col min="12" max="16384" width="7.81640625" style="9"/>
  </cols>
  <sheetData>
    <row r="1" spans="1:14" s="2025" customFormat="1" ht="18">
      <c r="A1" s="17" t="s">
        <v>462</v>
      </c>
      <c r="B1" s="2024"/>
      <c r="C1" s="2024"/>
      <c r="D1" s="2024"/>
      <c r="E1" s="2024"/>
      <c r="F1" s="2024"/>
      <c r="G1" s="2024"/>
      <c r="H1" s="2024"/>
      <c r="I1" s="2024"/>
      <c r="J1" s="2024"/>
      <c r="K1" s="2024"/>
    </row>
    <row r="2" spans="1:14" s="2025" customFormat="1" ht="18">
      <c r="A2" s="2026" t="s">
        <v>11</v>
      </c>
      <c r="B2" s="2024"/>
      <c r="C2" s="2024"/>
      <c r="D2" s="2024"/>
      <c r="E2" s="2024"/>
      <c r="F2" s="2024"/>
      <c r="G2" s="2024"/>
      <c r="H2" s="2024"/>
      <c r="I2" s="2024"/>
      <c r="J2" s="2024"/>
      <c r="K2" s="2024"/>
    </row>
    <row r="3" spans="1:14" s="2025" customFormat="1" ht="14.25" customHeight="1">
      <c r="A3" s="17" t="s">
        <v>10</v>
      </c>
      <c r="B3" s="2024"/>
      <c r="C3" s="2024"/>
      <c r="D3" s="8"/>
      <c r="E3" s="8"/>
      <c r="F3" s="2024"/>
      <c r="G3" s="2024"/>
      <c r="H3" s="2024"/>
      <c r="I3" s="2024"/>
      <c r="J3" s="2024"/>
      <c r="K3" s="2024"/>
    </row>
    <row r="4" spans="1:14" s="2025" customFormat="1" ht="0.65" customHeight="1">
      <c r="A4" s="2027"/>
      <c r="D4" s="6"/>
      <c r="E4" s="6"/>
    </row>
    <row r="5" spans="1:14" s="28" customFormat="1" ht="16.5" customHeight="1">
      <c r="A5" s="20" t="s">
        <v>377</v>
      </c>
      <c r="C5" s="2028"/>
      <c r="D5" s="2029"/>
      <c r="E5" s="2029"/>
      <c r="F5" s="35"/>
      <c r="G5" s="2030"/>
      <c r="H5" s="2030"/>
      <c r="I5" s="2030"/>
      <c r="J5" s="23"/>
      <c r="K5" s="23" t="s">
        <v>378</v>
      </c>
    </row>
    <row r="6" spans="1:14" s="41" customFormat="1" ht="17.5" customHeight="1">
      <c r="A6" s="2031"/>
      <c r="B6" s="2032"/>
      <c r="C6" s="2033"/>
      <c r="D6" s="2034" t="s">
        <v>463</v>
      </c>
      <c r="E6" s="2034"/>
      <c r="F6" s="2035"/>
      <c r="G6" s="2036" t="s">
        <v>464</v>
      </c>
      <c r="H6" s="96"/>
      <c r="I6" s="74"/>
      <c r="J6" s="74" t="s">
        <v>11</v>
      </c>
      <c r="K6" s="74"/>
    </row>
    <row r="7" spans="1:14" s="41" customFormat="1" ht="17.5" customHeight="1">
      <c r="A7" s="26"/>
      <c r="B7" s="76"/>
      <c r="C7" s="81" t="s">
        <v>435</v>
      </c>
      <c r="D7" s="125" t="s">
        <v>465</v>
      </c>
      <c r="E7" s="125"/>
      <c r="F7" s="2037" t="s">
        <v>466</v>
      </c>
      <c r="G7" s="2038"/>
      <c r="H7" s="97" t="s">
        <v>11</v>
      </c>
      <c r="I7" s="81" t="s">
        <v>11</v>
      </c>
      <c r="J7" s="81" t="s">
        <v>467</v>
      </c>
      <c r="K7" s="81" t="s">
        <v>468</v>
      </c>
    </row>
    <row r="8" spans="1:14" s="41" customFormat="1" ht="17.5" customHeight="1">
      <c r="A8" s="26" t="s">
        <v>387</v>
      </c>
      <c r="B8" s="76"/>
      <c r="C8" s="81" t="s">
        <v>442</v>
      </c>
      <c r="D8" s="2604" t="s">
        <v>469</v>
      </c>
      <c r="E8" s="2605"/>
      <c r="F8" s="80" t="s">
        <v>470</v>
      </c>
      <c r="G8" s="2039" t="s">
        <v>398</v>
      </c>
      <c r="H8" s="97" t="s">
        <v>471</v>
      </c>
      <c r="I8" s="97" t="s">
        <v>467</v>
      </c>
      <c r="J8" s="2078" t="s">
        <v>472</v>
      </c>
      <c r="K8" s="97" t="s">
        <v>473</v>
      </c>
    </row>
    <row r="9" spans="1:14" s="41" customFormat="1" ht="17.5" customHeight="1">
      <c r="A9" s="99" t="s">
        <v>395</v>
      </c>
      <c r="B9" s="76"/>
      <c r="C9" s="66" t="s">
        <v>8</v>
      </c>
      <c r="D9" s="2606" t="s">
        <v>474</v>
      </c>
      <c r="E9" s="2607"/>
      <c r="F9" s="66" t="s">
        <v>475</v>
      </c>
      <c r="G9" s="98" t="s">
        <v>476</v>
      </c>
      <c r="H9" s="65" t="s">
        <v>477</v>
      </c>
      <c r="I9" s="66" t="s">
        <v>478</v>
      </c>
      <c r="J9" s="66" t="s">
        <v>479</v>
      </c>
      <c r="K9" s="66" t="s">
        <v>480</v>
      </c>
    </row>
    <row r="10" spans="1:14" s="36" customFormat="1" ht="17.5" customHeight="1">
      <c r="A10" s="64"/>
      <c r="B10" s="76"/>
      <c r="C10" s="65" t="s">
        <v>481</v>
      </c>
      <c r="D10" s="66" t="s">
        <v>482</v>
      </c>
      <c r="E10" s="66" t="s">
        <v>396</v>
      </c>
      <c r="F10" s="65" t="s">
        <v>483</v>
      </c>
      <c r="G10" s="66" t="s">
        <v>484</v>
      </c>
      <c r="H10" s="2040"/>
      <c r="I10" s="2040"/>
      <c r="J10" s="2079" t="s">
        <v>485</v>
      </c>
      <c r="K10" s="2040"/>
    </row>
    <row r="11" spans="1:14" s="36" customFormat="1" ht="17.5" customHeight="1">
      <c r="A11" s="64"/>
      <c r="B11" s="76"/>
      <c r="C11" s="65"/>
      <c r="D11" s="66" t="s">
        <v>149</v>
      </c>
      <c r="E11" s="66" t="s">
        <v>486</v>
      </c>
      <c r="F11" s="65"/>
      <c r="G11" s="66"/>
      <c r="H11" s="2040" t="s">
        <v>250</v>
      </c>
      <c r="I11" s="2040" t="s">
        <v>254</v>
      </c>
      <c r="J11" s="2079" t="s">
        <v>258</v>
      </c>
      <c r="K11" s="2040" t="s">
        <v>487</v>
      </c>
    </row>
    <row r="12" spans="1:14" s="36" customFormat="1" ht="17.5" customHeight="1">
      <c r="A12" s="67"/>
      <c r="B12" s="100"/>
      <c r="C12" s="2041">
        <v>1</v>
      </c>
      <c r="D12" s="2041">
        <v>2</v>
      </c>
      <c r="E12" s="2041">
        <v>3</v>
      </c>
      <c r="F12" s="2041">
        <v>4</v>
      </c>
      <c r="G12" s="2041">
        <v>5</v>
      </c>
      <c r="H12" s="2042" t="s">
        <v>488</v>
      </c>
      <c r="I12" s="2042" t="s">
        <v>489</v>
      </c>
      <c r="J12" s="2042" t="s">
        <v>490</v>
      </c>
      <c r="K12" s="2042" t="s">
        <v>491</v>
      </c>
    </row>
    <row r="13" spans="1:14" s="1981" customFormat="1" ht="20.25" customHeight="1">
      <c r="A13" s="2043">
        <v>2016</v>
      </c>
      <c r="B13" s="2044"/>
      <c r="C13" s="1532">
        <f>'2'!L13</f>
        <v>535.29926641691372</v>
      </c>
      <c r="D13" s="1532">
        <f>'19'!E13</f>
        <v>2112.6628274092805</v>
      </c>
      <c r="E13" s="1532">
        <f>'19'!F13</f>
        <v>597.10949538165301</v>
      </c>
      <c r="F13" s="1531">
        <f>'1'!M13+'19'!G13+'19'!H13+'19'!I13+'19'!J13</f>
        <v>6688.4051206581935</v>
      </c>
      <c r="G13" s="1508">
        <f>'1'!L13+'19'!C13+'19'!D13</f>
        <v>2088.3101956676201</v>
      </c>
      <c r="H13" s="1508">
        <f t="shared" ref="H13:H19" si="0">ROUND(C13,1)+ROUND(D13,1)</f>
        <v>2648</v>
      </c>
      <c r="I13" s="1509">
        <f t="shared" ref="I13:I19" si="1">ROUND(E13,1)+ROUND(F13,1)+ROUND(H13,1)</f>
        <v>9933.5</v>
      </c>
      <c r="J13" s="1522">
        <f t="shared" ref="J13:J19" si="2">G13+I13</f>
        <v>12021.81019566762</v>
      </c>
      <c r="K13" s="1522">
        <f>'1'!J13+'1'!K13</f>
        <v>1757.4</v>
      </c>
      <c r="L13" s="2167">
        <f t="shared" ref="L13:L23" si="3">ROUND(H13,1)-ROUND(D13,1)-ROUND(C13,1)</f>
        <v>0</v>
      </c>
      <c r="M13" s="2167">
        <f t="shared" ref="M13:M23" si="4">ROUND(I13,1)-ROUND(H13,1)-ROUND(E13,1)-ROUND(F13,1)</f>
        <v>0</v>
      </c>
      <c r="N13" s="2167">
        <f t="shared" ref="N13:N23" si="5">ROUND(J13,1)-ROUND(I13,1)-ROUND(G13,1)</f>
        <v>0</v>
      </c>
    </row>
    <row r="14" spans="1:14" s="2050" customFormat="1" ht="14.25" customHeight="1">
      <c r="A14" s="2045">
        <v>2017</v>
      </c>
      <c r="B14" s="2046"/>
      <c r="C14" s="2047">
        <f>'2'!L14</f>
        <v>526.82989131050897</v>
      </c>
      <c r="D14" s="2047">
        <f>'19'!E14</f>
        <v>2109.1848787094</v>
      </c>
      <c r="E14" s="2047">
        <f>'19'!F14</f>
        <v>651.58369440714034</v>
      </c>
      <c r="F14" s="2048">
        <f>'1'!M14+'19'!G14+'19'!H14+'19'!I14+'19'!J14</f>
        <v>6961.0257617133302</v>
      </c>
      <c r="G14" s="2049">
        <f>'1'!L14+'19'!C14+'19'!D14</f>
        <v>2272.7141215131801</v>
      </c>
      <c r="H14" s="2049">
        <f t="shared" si="0"/>
        <v>2636</v>
      </c>
      <c r="I14" s="1897">
        <f t="shared" si="1"/>
        <v>10248.6</v>
      </c>
      <c r="J14" s="1897">
        <f t="shared" si="2"/>
        <v>12521.31412151318</v>
      </c>
      <c r="K14" s="1897">
        <f>'1'!J14+'1'!K14</f>
        <v>1881.5</v>
      </c>
      <c r="L14" s="2167">
        <f t="shared" si="3"/>
        <v>0</v>
      </c>
      <c r="M14" s="2167">
        <f t="shared" si="4"/>
        <v>0</v>
      </c>
      <c r="N14" s="2167">
        <f t="shared" si="5"/>
        <v>0</v>
      </c>
    </row>
    <row r="15" spans="1:14" s="483" customFormat="1" ht="14.25" customHeight="1">
      <c r="A15" s="1782">
        <v>2018</v>
      </c>
      <c r="B15" s="2051"/>
      <c r="C15" s="2052">
        <f>'2'!L15</f>
        <v>528.08598133328803</v>
      </c>
      <c r="D15" s="2052">
        <f>'19'!E15</f>
        <v>2084.554275351491</v>
      </c>
      <c r="E15" s="2052">
        <f>'19'!F15</f>
        <v>692.10404184690083</v>
      </c>
      <c r="F15" s="2053">
        <f>'1'!M15+'19'!G15+'19'!H15+'19'!I15+'19'!J15</f>
        <v>7167.7693854919471</v>
      </c>
      <c r="G15" s="2054">
        <f>'1'!L15+'19'!C15+'19'!D15</f>
        <v>2149.52207316268</v>
      </c>
      <c r="H15" s="2054">
        <f t="shared" si="0"/>
        <v>2612.6999999999998</v>
      </c>
      <c r="I15" s="2055">
        <f t="shared" si="1"/>
        <v>10472.6</v>
      </c>
      <c r="J15" s="2056">
        <f t="shared" si="2"/>
        <v>12622.12207316268</v>
      </c>
      <c r="K15" s="1522">
        <f>'1'!J15+'1'!K15</f>
        <v>1710.4</v>
      </c>
      <c r="L15" s="2167">
        <f t="shared" si="3"/>
        <v>0</v>
      </c>
      <c r="M15" s="2167">
        <f t="shared" si="4"/>
        <v>0</v>
      </c>
      <c r="N15" s="2167">
        <f t="shared" si="5"/>
        <v>0</v>
      </c>
    </row>
    <row r="16" spans="1:14" s="483" customFormat="1" ht="14.25" customHeight="1">
      <c r="A16" s="1782">
        <v>2019</v>
      </c>
      <c r="B16" s="2051"/>
      <c r="C16" s="2052">
        <f>'2'!L16</f>
        <v>535.08184891560677</v>
      </c>
      <c r="D16" s="2052">
        <f>'19'!E16</f>
        <v>2002.2312100160302</v>
      </c>
      <c r="E16" s="2052">
        <f>'19'!F16</f>
        <v>769.75721012214944</v>
      </c>
      <c r="F16" s="2053">
        <f>'1'!M16+'19'!G16+'19'!H16+'19'!I16+'19'!J16</f>
        <v>8283.2153498164516</v>
      </c>
      <c r="G16" s="2054">
        <f>'1'!L16+'19'!C16+'19'!D16</f>
        <v>2081.5787659695316</v>
      </c>
      <c r="H16" s="2054">
        <f t="shared" si="0"/>
        <v>2537.3000000000002</v>
      </c>
      <c r="I16" s="2055">
        <f t="shared" si="1"/>
        <v>11590.3</v>
      </c>
      <c r="J16" s="2056">
        <f t="shared" si="2"/>
        <v>13671.87876596953</v>
      </c>
      <c r="K16" s="1522">
        <f>'1'!J16+'1'!K16</f>
        <v>2290.1999999999998</v>
      </c>
      <c r="L16" s="2167">
        <f t="shared" si="3"/>
        <v>0</v>
      </c>
      <c r="M16" s="2167">
        <f t="shared" si="4"/>
        <v>0</v>
      </c>
      <c r="N16" s="2167">
        <f t="shared" si="5"/>
        <v>0</v>
      </c>
    </row>
    <row r="17" spans="1:26" s="483" customFormat="1" ht="14.25" customHeight="1">
      <c r="A17" s="1782">
        <v>2020</v>
      </c>
      <c r="B17" s="2051"/>
      <c r="C17" s="2052">
        <f>'2'!L17</f>
        <v>592.95959356039339</v>
      </c>
      <c r="D17" s="2052">
        <f>'19'!E17</f>
        <v>2221.5303436846725</v>
      </c>
      <c r="E17" s="2052">
        <f>'19'!F17</f>
        <v>864.30687706458662</v>
      </c>
      <c r="F17" s="2053">
        <f>'1'!M17+'19'!G17+'19'!H17+'19'!I17+'19'!J17</f>
        <v>8746.1174392461453</v>
      </c>
      <c r="G17" s="2054">
        <f>'1'!L17+'19'!C17+'19'!D17</f>
        <v>1726.3825547340555</v>
      </c>
      <c r="H17" s="2054">
        <f t="shared" si="0"/>
        <v>2814.5</v>
      </c>
      <c r="I17" s="2055">
        <f t="shared" si="1"/>
        <v>12424.9</v>
      </c>
      <c r="J17" s="2056">
        <f t="shared" si="2"/>
        <v>14151.282554734054</v>
      </c>
      <c r="K17" s="1522">
        <f>'1'!J17+'1'!K17</f>
        <v>2153.6</v>
      </c>
      <c r="L17" s="2167">
        <f t="shared" si="3"/>
        <v>0</v>
      </c>
      <c r="M17" s="2167">
        <f t="shared" si="4"/>
        <v>0</v>
      </c>
      <c r="N17" s="2167">
        <f t="shared" si="5"/>
        <v>0</v>
      </c>
    </row>
    <row r="18" spans="1:26" s="483" customFormat="1" ht="14.25" customHeight="1">
      <c r="A18" s="1782">
        <v>2021</v>
      </c>
      <c r="B18" s="2051"/>
      <c r="C18" s="2052">
        <f>'2'!L18</f>
        <v>558.04158298132779</v>
      </c>
      <c r="D18" s="2052">
        <f>'19'!E18</f>
        <v>2593.4309212471908</v>
      </c>
      <c r="E18" s="2052">
        <f>'19'!F18</f>
        <v>1117.2719011458805</v>
      </c>
      <c r="F18" s="2478">
        <f>'1'!M18+'19'!G18+'19'!H18+'19'!I18+'19'!J18-0.03</f>
        <v>8765.9237458968782</v>
      </c>
      <c r="G18" s="2479">
        <f>'1'!L18+'19'!C18+'19'!D18+0.05</f>
        <v>1849.5742102943557</v>
      </c>
      <c r="H18" s="2054">
        <f t="shared" si="0"/>
        <v>3151.4</v>
      </c>
      <c r="I18" s="2055">
        <f t="shared" si="1"/>
        <v>13034.599999999999</v>
      </c>
      <c r="J18" s="2056">
        <f t="shared" si="2"/>
        <v>14884.174210294354</v>
      </c>
      <c r="K18" s="1522">
        <f>'1'!J18+'1'!K18</f>
        <v>3039.1</v>
      </c>
      <c r="L18" s="2167">
        <f t="shared" si="3"/>
        <v>0</v>
      </c>
      <c r="M18" s="2167">
        <f t="shared" si="4"/>
        <v>0</v>
      </c>
      <c r="N18" s="2167">
        <f t="shared" si="5"/>
        <v>0</v>
      </c>
    </row>
    <row r="19" spans="1:26" s="483" customFormat="1" ht="14.25" customHeight="1">
      <c r="A19" s="1782">
        <v>2022</v>
      </c>
      <c r="B19" s="2051"/>
      <c r="C19" s="2052">
        <f>'2'!L19</f>
        <v>506.54644282845959</v>
      </c>
      <c r="D19" s="2052">
        <f>'19'!E19</f>
        <v>2409.9319426433749</v>
      </c>
      <c r="E19" s="2052">
        <f>'19'!F19</f>
        <v>684.24289660123202</v>
      </c>
      <c r="F19" s="2478">
        <f>'1'!M19+'19'!G19+'19'!H19+'19'!I19+'19'!J19+0.03</f>
        <v>9727.2544086063117</v>
      </c>
      <c r="G19" s="2054">
        <f>'1'!L19+'19'!C19+'19'!D19</f>
        <v>1807.4827559605842</v>
      </c>
      <c r="H19" s="2054">
        <f t="shared" si="0"/>
        <v>2916.4</v>
      </c>
      <c r="I19" s="2055">
        <f t="shared" si="1"/>
        <v>13327.9</v>
      </c>
      <c r="J19" s="2056">
        <f t="shared" si="2"/>
        <v>15135.382755960583</v>
      </c>
      <c r="K19" s="1522">
        <f>'1'!J19+'1'!K19</f>
        <v>3908.8</v>
      </c>
      <c r="L19" s="2167">
        <f t="shared" si="3"/>
        <v>0</v>
      </c>
      <c r="M19" s="2167">
        <f t="shared" si="4"/>
        <v>0</v>
      </c>
      <c r="N19" s="2167">
        <f t="shared" si="5"/>
        <v>0</v>
      </c>
    </row>
    <row r="20" spans="1:26" s="483" customFormat="1" ht="14.25" customHeight="1">
      <c r="A20" s="1782">
        <v>2023</v>
      </c>
      <c r="B20" s="2051"/>
      <c r="C20" s="2052">
        <v>531.89309880297992</v>
      </c>
      <c r="D20" s="2052">
        <v>2235.9304739516965</v>
      </c>
      <c r="E20" s="2052">
        <v>645.21403364002094</v>
      </c>
      <c r="F20" s="2053">
        <v>10550.961666092322</v>
      </c>
      <c r="G20" s="2054">
        <v>2306.2220881020494</v>
      </c>
      <c r="H20" s="2054">
        <v>2767.8</v>
      </c>
      <c r="I20" s="2055">
        <v>13964</v>
      </c>
      <c r="J20" s="2056">
        <v>16270.222088102049</v>
      </c>
      <c r="K20" s="1522">
        <v>5136.3</v>
      </c>
      <c r="L20" s="2167">
        <v>0</v>
      </c>
      <c r="M20" s="2167">
        <v>0</v>
      </c>
      <c r="N20" s="2167">
        <v>0</v>
      </c>
    </row>
    <row r="21" spans="1:26" s="483" customFormat="1" ht="14.25" customHeight="1">
      <c r="A21" s="1782">
        <v>2024</v>
      </c>
      <c r="B21" s="2051"/>
      <c r="C21" s="2052">
        <v>533.99727991581972</v>
      </c>
      <c r="D21" s="2052">
        <v>2273.8414924234926</v>
      </c>
      <c r="E21" s="2052">
        <v>574.51409144035335</v>
      </c>
      <c r="F21" s="2053">
        <v>10523.457097844701</v>
      </c>
      <c r="G21" s="2054">
        <v>2314.6419381543014</v>
      </c>
      <c r="H21" s="2054">
        <v>2807.8</v>
      </c>
      <c r="I21" s="2055">
        <v>13905.8</v>
      </c>
      <c r="J21" s="2056">
        <v>16220.441938154301</v>
      </c>
      <c r="K21" s="1522">
        <v>5445.7</v>
      </c>
      <c r="L21" s="2167">
        <v>0</v>
      </c>
      <c r="M21" s="2167">
        <v>0</v>
      </c>
      <c r="N21" s="2167">
        <v>0</v>
      </c>
    </row>
    <row r="22" spans="1:26" s="483" customFormat="1" ht="14.25" customHeight="1">
      <c r="A22" s="2058">
        <v>2025</v>
      </c>
      <c r="B22" s="2059"/>
      <c r="C22" s="2060">
        <f>C29</f>
        <v>503.41819719991929</v>
      </c>
      <c r="D22" s="2060">
        <f>D29</f>
        <v>2351.9652022122091</v>
      </c>
      <c r="E22" s="2060">
        <f>E29</f>
        <v>607.20731165527411</v>
      </c>
      <c r="F22" s="2061">
        <f>F29</f>
        <v>10974.6</v>
      </c>
      <c r="G22" s="2062">
        <f>G29</f>
        <v>2111.3000000000002</v>
      </c>
      <c r="H22" s="2062">
        <f t="shared" ref="H22" si="6">ROUND(C22,1)+ROUND(D22,1)</f>
        <v>2855.4</v>
      </c>
      <c r="I22" s="2063">
        <f t="shared" ref="I22" si="7">ROUND(E22,1)+ROUND(F22,1)+ROUND(H22,1)</f>
        <v>14437.2</v>
      </c>
      <c r="J22" s="2064">
        <f>J29</f>
        <v>16548.5</v>
      </c>
      <c r="K22" s="1898">
        <f>K29</f>
        <v>5072.2999999999993</v>
      </c>
      <c r="L22" s="2167">
        <f t="shared" ref="L22" si="8">ROUND(H22,1)-ROUND(D22,1)-ROUND(C22,1)</f>
        <v>0</v>
      </c>
      <c r="M22" s="2167">
        <f t="shared" ref="M22" si="9">ROUND(I22,1)-ROUND(H22,1)-ROUND(E22,1)-ROUND(F22,1)</f>
        <v>0</v>
      </c>
      <c r="N22" s="2167">
        <f t="shared" ref="N22" si="10">ROUND(J22,1)-ROUND(I22,1)-ROUND(G22,1)</f>
        <v>0</v>
      </c>
    </row>
    <row r="23" spans="1:26" s="483" customFormat="1" ht="21" customHeight="1">
      <c r="A23" s="1782">
        <v>2024</v>
      </c>
      <c r="B23" s="2051" t="s">
        <v>243</v>
      </c>
      <c r="C23" s="2052">
        <v>538.33725404694235</v>
      </c>
      <c r="D23" s="2052">
        <v>2177.3013817390265</v>
      </c>
      <c r="E23" s="2052">
        <v>742.18667090382473</v>
      </c>
      <c r="F23" s="2053">
        <v>10508.461361684818</v>
      </c>
      <c r="G23" s="2054">
        <v>2049.8479463311141</v>
      </c>
      <c r="H23" s="2054">
        <v>2715.6000000000004</v>
      </c>
      <c r="I23" s="2055">
        <v>13966.300000000001</v>
      </c>
      <c r="J23" s="2056">
        <v>16016.147946331115</v>
      </c>
      <c r="K23" s="1522">
        <v>5651.1</v>
      </c>
      <c r="L23" s="2167">
        <f t="shared" si="3"/>
        <v>0</v>
      </c>
      <c r="M23" s="2167">
        <f t="shared" si="4"/>
        <v>0</v>
      </c>
      <c r="N23" s="2167">
        <f t="shared" si="5"/>
        <v>0</v>
      </c>
    </row>
    <row r="24" spans="1:26" s="483" customFormat="1" ht="15" customHeight="1">
      <c r="A24" s="1782"/>
      <c r="B24" s="2051" t="s">
        <v>240</v>
      </c>
      <c r="C24" s="2052">
        <v>544.35395613812079</v>
      </c>
      <c r="D24" s="2052">
        <v>2226.6150613454824</v>
      </c>
      <c r="E24" s="2052">
        <v>699.93760696272386</v>
      </c>
      <c r="F24" s="2053">
        <v>10769.650860387454</v>
      </c>
      <c r="G24" s="2054">
        <v>2385.6400137872311</v>
      </c>
      <c r="H24" s="2054">
        <v>2771</v>
      </c>
      <c r="I24" s="2055">
        <v>14240.6</v>
      </c>
      <c r="J24" s="2056">
        <v>16626.240013787232</v>
      </c>
      <c r="K24" s="1522">
        <v>6113.8</v>
      </c>
      <c r="L24" s="2167">
        <v>0</v>
      </c>
      <c r="M24" s="2167">
        <v>0</v>
      </c>
      <c r="N24" s="2167">
        <v>0</v>
      </c>
    </row>
    <row r="25" spans="1:26" s="483" customFormat="1" ht="15" customHeight="1">
      <c r="A25" s="1782"/>
      <c r="B25" s="2051" t="s">
        <v>241</v>
      </c>
      <c r="C25" s="2052">
        <v>533.99727991581972</v>
      </c>
      <c r="D25" s="2052">
        <v>2273.8414924234926</v>
      </c>
      <c r="E25" s="2052">
        <v>574.51409144035335</v>
      </c>
      <c r="F25" s="2053">
        <v>10523.457097844701</v>
      </c>
      <c r="G25" s="2054">
        <v>2314.6419381543014</v>
      </c>
      <c r="H25" s="2054">
        <v>2807.8</v>
      </c>
      <c r="I25" s="2055">
        <v>13905.8</v>
      </c>
      <c r="J25" s="2056">
        <v>16220.441938154301</v>
      </c>
      <c r="K25" s="1522">
        <v>5445.7</v>
      </c>
      <c r="L25" s="2167">
        <v>0</v>
      </c>
      <c r="M25" s="2167">
        <v>0</v>
      </c>
      <c r="N25" s="2167">
        <v>0</v>
      </c>
    </row>
    <row r="26" spans="1:26" s="483" customFormat="1" ht="21" customHeight="1">
      <c r="A26" s="1782">
        <v>2025</v>
      </c>
      <c r="B26" s="2051" t="s">
        <v>242</v>
      </c>
      <c r="C26" s="2052">
        <v>591.8456279565213</v>
      </c>
      <c r="D26" s="2052">
        <v>2357.7699401109357</v>
      </c>
      <c r="E26" s="2052">
        <v>643.12044753968735</v>
      </c>
      <c r="F26" s="2053">
        <v>10467.421274251357</v>
      </c>
      <c r="G26" s="2054">
        <v>2459.3850299773385</v>
      </c>
      <c r="H26" s="2054">
        <v>2949.6000000000004</v>
      </c>
      <c r="I26" s="2055">
        <v>14060.1</v>
      </c>
      <c r="J26" s="2056">
        <v>16519.485029977339</v>
      </c>
      <c r="K26" s="1522">
        <v>6056.8</v>
      </c>
      <c r="L26" s="2167">
        <v>0</v>
      </c>
      <c r="M26" s="2167">
        <v>0</v>
      </c>
      <c r="N26" s="2167">
        <v>0</v>
      </c>
    </row>
    <row r="27" spans="1:26" s="483" customFormat="1" ht="15" customHeight="1">
      <c r="A27" s="1782"/>
      <c r="B27" s="2051" t="s">
        <v>243</v>
      </c>
      <c r="C27" s="2052">
        <v>578.68701810757284</v>
      </c>
      <c r="D27" s="2052">
        <v>2338.3777050926492</v>
      </c>
      <c r="E27" s="2052">
        <v>536.82612549011856</v>
      </c>
      <c r="F27" s="2053">
        <v>10629.1</v>
      </c>
      <c r="G27" s="2054">
        <v>2383.6000000000004</v>
      </c>
      <c r="H27" s="2054">
        <v>2917.1000000000004</v>
      </c>
      <c r="I27" s="2055">
        <v>14083</v>
      </c>
      <c r="J27" s="2056">
        <v>16466.599999999999</v>
      </c>
      <c r="K27" s="1522">
        <v>5724</v>
      </c>
      <c r="L27" s="2167">
        <v>0</v>
      </c>
      <c r="M27" s="2167">
        <v>0</v>
      </c>
      <c r="N27" s="2167">
        <v>0</v>
      </c>
    </row>
    <row r="28" spans="1:26" s="483" customFormat="1" ht="15" customHeight="1">
      <c r="A28" s="1782"/>
      <c r="B28" s="2051" t="s">
        <v>240</v>
      </c>
      <c r="C28" s="2052">
        <f>C35</f>
        <v>458.6983063702101</v>
      </c>
      <c r="D28" s="2052">
        <f>D35</f>
        <v>2339.3025918100006</v>
      </c>
      <c r="E28" s="2052">
        <f>E35</f>
        <v>530.71449316675614</v>
      </c>
      <c r="F28" s="2053">
        <f>F35</f>
        <v>10708.400000000001</v>
      </c>
      <c r="G28" s="2054">
        <f>G35</f>
        <v>2200</v>
      </c>
      <c r="H28" s="2054">
        <f t="shared" ref="H28" si="11">ROUND(C28,1)+ROUND(D28,1)</f>
        <v>2798</v>
      </c>
      <c r="I28" s="2055">
        <f t="shared" ref="I28" si="12">ROUND(E28,1)+ROUND(F28,1)+ROUND(H28,1)</f>
        <v>14037.1</v>
      </c>
      <c r="J28" s="2056">
        <f>J35</f>
        <v>16237.1</v>
      </c>
      <c r="K28" s="1522">
        <f>K35</f>
        <v>5124.7</v>
      </c>
      <c r="L28" s="2167">
        <f t="shared" ref="L28" si="13">ROUND(H28,1)-ROUND(D28,1)-ROUND(C28,1)</f>
        <v>0</v>
      </c>
      <c r="M28" s="2167">
        <f t="shared" ref="M28" si="14">ROUND(I28,1)-ROUND(H28,1)-ROUND(E28,1)-ROUND(F28,1)</f>
        <v>0</v>
      </c>
      <c r="N28" s="2167">
        <f t="shared" ref="N28" si="15">ROUND(J28,1)-ROUND(I28,1)-ROUND(G28,1)</f>
        <v>0</v>
      </c>
    </row>
    <row r="29" spans="1:26" s="483" customFormat="1" ht="15" customHeight="1">
      <c r="A29" s="1782"/>
      <c r="B29" s="2051" t="s">
        <v>241</v>
      </c>
      <c r="C29" s="2052">
        <f>C38</f>
        <v>503.41819719991929</v>
      </c>
      <c r="D29" s="2052">
        <f>D38</f>
        <v>2351.9652022122091</v>
      </c>
      <c r="E29" s="2052">
        <f>E38</f>
        <v>607.20731165527411</v>
      </c>
      <c r="F29" s="2053">
        <f>F38</f>
        <v>10974.6</v>
      </c>
      <c r="G29" s="2054">
        <f>G38</f>
        <v>2111.3000000000002</v>
      </c>
      <c r="H29" s="2054">
        <f t="shared" ref="H29" si="16">ROUND(C29,1)+ROUND(D29,1)</f>
        <v>2855.4</v>
      </c>
      <c r="I29" s="2055">
        <f t="shared" ref="I29" si="17">ROUND(E29,1)+ROUND(F29,1)+ROUND(H29,1)</f>
        <v>14437.2</v>
      </c>
      <c r="J29" s="2056">
        <f>J38</f>
        <v>16548.5</v>
      </c>
      <c r="K29" s="1522">
        <f>K38</f>
        <v>5072.2999999999993</v>
      </c>
      <c r="L29" s="2167">
        <f t="shared" ref="L29" si="18">ROUND(H29,1)-ROUND(D29,1)-ROUND(C29,1)</f>
        <v>0</v>
      </c>
      <c r="M29" s="2167">
        <f t="shared" ref="M29" si="19">ROUND(I29,1)-ROUND(H29,1)-ROUND(E29,1)-ROUND(F29,1)</f>
        <v>0</v>
      </c>
      <c r="N29" s="2167">
        <f t="shared" ref="N29" si="20">ROUND(J29,1)-ROUND(I29,1)-ROUND(G29,1)</f>
        <v>0</v>
      </c>
    </row>
    <row r="30" spans="1:26" s="483" customFormat="1" ht="21" customHeight="1">
      <c r="A30" s="2058">
        <v>2026</v>
      </c>
      <c r="B30" s="2059" t="s">
        <v>242</v>
      </c>
      <c r="C30" s="2060">
        <f>C41</f>
        <v>561.30520133773325</v>
      </c>
      <c r="D30" s="2060">
        <f>D41</f>
        <v>2541.5109079535623</v>
      </c>
      <c r="E30" s="2060">
        <f>E41</f>
        <v>744.04622900062918</v>
      </c>
      <c r="F30" s="2061">
        <f>F41</f>
        <v>10773.199999999999</v>
      </c>
      <c r="G30" s="2062">
        <f>G41</f>
        <v>2718.9</v>
      </c>
      <c r="H30" s="2062">
        <f t="shared" ref="H30" si="21">ROUND(C30,1)+ROUND(D30,1)</f>
        <v>3102.8</v>
      </c>
      <c r="I30" s="2063">
        <f t="shared" ref="I30" si="22">ROUND(E30,1)+ROUND(F30,1)+ROUND(H30,1)</f>
        <v>14620</v>
      </c>
      <c r="J30" s="2064">
        <f>J41</f>
        <v>17338.900000000001</v>
      </c>
      <c r="K30" s="1898">
        <f>K41</f>
        <v>6162.1</v>
      </c>
      <c r="L30" s="2530">
        <f t="shared" ref="L30" si="23">ROUND(H30,1)-ROUND(D30,1)-ROUND(C30,1)</f>
        <v>0</v>
      </c>
      <c r="M30" s="2167">
        <f t="shared" ref="M30" si="24">ROUND(I30,1)-ROUND(H30,1)-ROUND(E30,1)-ROUND(F30,1)</f>
        <v>0</v>
      </c>
      <c r="N30" s="2167">
        <f t="shared" ref="N30" si="25">ROUND(J30,1)-ROUND(I30,1)-ROUND(G30,1)</f>
        <v>0</v>
      </c>
    </row>
    <row r="31" spans="1:26" s="1981" customFormat="1" ht="21" customHeight="1">
      <c r="A31" s="2043">
        <v>2025</v>
      </c>
      <c r="B31" s="705" t="s">
        <v>427</v>
      </c>
      <c r="C31" s="1532">
        <v>578.0371737402163</v>
      </c>
      <c r="D31" s="1532">
        <v>2388.4005708393656</v>
      </c>
      <c r="E31" s="1532">
        <v>556.142810061864</v>
      </c>
      <c r="F31" s="1531">
        <v>10603.5</v>
      </c>
      <c r="G31" s="1508">
        <v>2493.3000000000002</v>
      </c>
      <c r="H31" s="1508">
        <v>2966.4</v>
      </c>
      <c r="I31" s="1509">
        <v>14126</v>
      </c>
      <c r="J31" s="1522">
        <v>16619.3</v>
      </c>
      <c r="K31" s="1522">
        <v>5932.3</v>
      </c>
      <c r="L31" s="2167">
        <v>0</v>
      </c>
      <c r="M31" s="2167">
        <v>0</v>
      </c>
      <c r="N31" s="2167">
        <v>0</v>
      </c>
      <c r="O31" s="372"/>
      <c r="P31" s="372"/>
      <c r="Q31" s="372"/>
      <c r="R31" s="372"/>
      <c r="S31" s="372"/>
      <c r="T31" s="372"/>
      <c r="U31" s="372"/>
      <c r="V31" s="372"/>
      <c r="W31" s="372"/>
      <c r="X31" s="372"/>
      <c r="Y31" s="372"/>
      <c r="Z31" s="372"/>
    </row>
    <row r="32" spans="1:26" s="1981" customFormat="1" ht="15" customHeight="1">
      <c r="A32" s="2043"/>
      <c r="B32" s="705" t="s">
        <v>428</v>
      </c>
      <c r="C32" s="1532">
        <f>'2'!L32</f>
        <v>578.68701810757284</v>
      </c>
      <c r="D32" s="1532">
        <f>'19'!E32</f>
        <v>2338.3777050926492</v>
      </c>
      <c r="E32" s="1532">
        <f>'19'!F32</f>
        <v>536.82612549011856</v>
      </c>
      <c r="F32" s="1531">
        <f>'1'!M32+ROUND('19'!G32,1)+ROUND('19'!H32,1)+ROUND('19'!I32,1)+ROUND('19'!J32,1)</f>
        <v>10629.1</v>
      </c>
      <c r="G32" s="1508">
        <f>'1'!L32+ROUND('19'!C32,1)+ROUND('19'!D32,1)</f>
        <v>2383.6000000000004</v>
      </c>
      <c r="H32" s="1508">
        <f t="shared" ref="H32" si="26">ROUND(C32,1)+ROUND(D32,1)</f>
        <v>2917.1000000000004</v>
      </c>
      <c r="I32" s="1509">
        <f t="shared" ref="I32" si="27">ROUND(E32,1)+ROUND(F32,1)+ROUND(H32,1)</f>
        <v>14083</v>
      </c>
      <c r="J32" s="1522">
        <f t="shared" ref="J32" si="28">G32+I32</f>
        <v>16466.599999999999</v>
      </c>
      <c r="K32" s="1522">
        <f>'1'!J32+'1'!K32</f>
        <v>5724</v>
      </c>
      <c r="L32" s="2167">
        <f t="shared" ref="L32" si="29">ROUND(H32,1)-ROUND(D32,1)-ROUND(C32,1)</f>
        <v>0</v>
      </c>
      <c r="M32" s="2167">
        <f t="shared" ref="M32" si="30">ROUND(I32,1)-ROUND(H32,1)-ROUND(E32,1)-ROUND(F32,1)</f>
        <v>0</v>
      </c>
      <c r="N32" s="2167">
        <f t="shared" ref="N32" si="31">ROUND(J32,1)-ROUND(I32,1)-ROUND(G32,1)</f>
        <v>0</v>
      </c>
      <c r="O32" s="372"/>
      <c r="P32" s="372"/>
      <c r="Q32" s="372"/>
      <c r="R32" s="372"/>
      <c r="S32" s="372"/>
      <c r="T32" s="372"/>
      <c r="U32" s="372"/>
      <c r="V32" s="372"/>
      <c r="W32" s="372"/>
      <c r="X32" s="372"/>
      <c r="Y32" s="372"/>
      <c r="Z32" s="372"/>
    </row>
    <row r="33" spans="1:26" s="1981" customFormat="1" ht="15" customHeight="1">
      <c r="A33" s="2043"/>
      <c r="B33" s="705" t="s">
        <v>429</v>
      </c>
      <c r="C33" s="1532">
        <f>'2'!L33</f>
        <v>507.89861663293169</v>
      </c>
      <c r="D33" s="1532">
        <f>'19'!E33</f>
        <v>2330.2716722721725</v>
      </c>
      <c r="E33" s="1532">
        <f>'19'!F33</f>
        <v>540.44030158395435</v>
      </c>
      <c r="F33" s="1531">
        <f>'1'!M33+ROUND('19'!G33,1)+ROUND('19'!H33,1)+ROUND('19'!I33,1)+ROUND('19'!J33,1)</f>
        <v>10509.199999999999</v>
      </c>
      <c r="G33" s="1508">
        <f>'1'!L33+ROUND('19'!C33,1)+ROUND('19'!D33,1)</f>
        <v>2304</v>
      </c>
      <c r="H33" s="1508">
        <f t="shared" ref="H33" si="32">ROUND(C33,1)+ROUND(D33,1)</f>
        <v>2838.2000000000003</v>
      </c>
      <c r="I33" s="1509">
        <f t="shared" ref="I33" si="33">ROUND(E33,1)+ROUND(F33,1)+ROUND(H33,1)</f>
        <v>13887.8</v>
      </c>
      <c r="J33" s="1522">
        <f t="shared" ref="J33" si="34">G33+I33</f>
        <v>16191.8</v>
      </c>
      <c r="K33" s="1522">
        <f>'1'!J33+'1'!K33</f>
        <v>5481.9</v>
      </c>
      <c r="L33" s="2167">
        <f t="shared" ref="L33" si="35">ROUND(H33,1)-ROUND(D33,1)-ROUND(C33,1)</f>
        <v>0</v>
      </c>
      <c r="M33" s="2167">
        <f t="shared" ref="M33" si="36">ROUND(I33,1)-ROUND(H33,1)-ROUND(E33,1)-ROUND(F33,1)</f>
        <v>0</v>
      </c>
      <c r="N33" s="2167">
        <f t="shared" ref="N33" si="37">ROUND(J33,1)-ROUND(I33,1)-ROUND(G33,1)</f>
        <v>0</v>
      </c>
      <c r="O33" s="372"/>
      <c r="P33" s="372"/>
      <c r="Q33" s="372"/>
      <c r="R33" s="372"/>
      <c r="S33" s="372"/>
      <c r="T33" s="372"/>
      <c r="U33" s="372"/>
      <c r="V33" s="372"/>
      <c r="W33" s="372"/>
      <c r="X33" s="372"/>
      <c r="Y33" s="372"/>
      <c r="Z33" s="372"/>
    </row>
    <row r="34" spans="1:26" s="1981" customFormat="1" ht="15" customHeight="1">
      <c r="A34" s="2043"/>
      <c r="B34" s="705" t="s">
        <v>430</v>
      </c>
      <c r="C34" s="1532">
        <f>'2'!L34</f>
        <v>508.12869123378641</v>
      </c>
      <c r="D34" s="1532">
        <f>'19'!E34</f>
        <v>2395.35266829489</v>
      </c>
      <c r="E34" s="1532">
        <f>'19'!F34</f>
        <v>552.94673867724248</v>
      </c>
      <c r="F34" s="1531">
        <f>'1'!M34+ROUND('19'!G34,1)+ROUND('19'!H34,1)+ROUND('19'!I34,1)+ROUND('19'!J34,1)</f>
        <v>10571.699999999999</v>
      </c>
      <c r="G34" s="1508">
        <f>'1'!L34+ROUND('19'!C34,1)+ROUND('19'!D34,1)</f>
        <v>2311.9</v>
      </c>
      <c r="H34" s="1508">
        <f t="shared" ref="H34" si="38">ROUND(C34,1)+ROUND(D34,1)</f>
        <v>2903.5</v>
      </c>
      <c r="I34" s="1509">
        <f t="shared" ref="I34" si="39">ROUND(E34,1)+ROUND(F34,1)+ROUND(H34,1)</f>
        <v>14028.1</v>
      </c>
      <c r="J34" s="1522">
        <f t="shared" ref="J34" si="40">G34+I34</f>
        <v>16340</v>
      </c>
      <c r="K34" s="1522">
        <f>'1'!J34+'1'!K34</f>
        <v>5229.2</v>
      </c>
      <c r="L34" s="2167">
        <f t="shared" ref="L34" si="41">ROUND(H34,1)-ROUND(D34,1)-ROUND(C34,1)</f>
        <v>0</v>
      </c>
      <c r="M34" s="2167">
        <f t="shared" ref="M34" si="42">ROUND(I34,1)-ROUND(H34,1)-ROUND(E34,1)-ROUND(F34,1)</f>
        <v>0</v>
      </c>
      <c r="N34" s="2167">
        <f t="shared" ref="N34" si="43">ROUND(J34,1)-ROUND(I34,1)-ROUND(G34,1)</f>
        <v>0</v>
      </c>
      <c r="O34" s="372"/>
      <c r="P34" s="372"/>
      <c r="Q34" s="372"/>
      <c r="R34" s="372"/>
      <c r="S34" s="372"/>
      <c r="T34" s="372"/>
      <c r="U34" s="372"/>
      <c r="V34" s="372"/>
      <c r="W34" s="372"/>
      <c r="X34" s="372"/>
      <c r="Y34" s="372"/>
      <c r="Z34" s="372"/>
    </row>
    <row r="35" spans="1:26" s="1981" customFormat="1" ht="15" customHeight="1">
      <c r="A35" s="2043"/>
      <c r="B35" s="705" t="s">
        <v>431</v>
      </c>
      <c r="C35" s="1532">
        <f>'2'!L35</f>
        <v>458.6983063702101</v>
      </c>
      <c r="D35" s="1532">
        <f>'19'!E35</f>
        <v>2339.3025918100006</v>
      </c>
      <c r="E35" s="1532">
        <f>'19'!F35</f>
        <v>530.71449316675614</v>
      </c>
      <c r="F35" s="1531">
        <f>'1'!M35+ROUND('19'!G35,1)+ROUND('19'!H35,1)+ROUND('19'!I35,1)+ROUND('19'!J35,1)</f>
        <v>10708.400000000001</v>
      </c>
      <c r="G35" s="1508">
        <f>'1'!L35+ROUND('19'!C35,1)+ROUND('19'!D35,1)</f>
        <v>2200</v>
      </c>
      <c r="H35" s="1508">
        <f t="shared" ref="H35" si="44">ROUND(C35,1)+ROUND(D35,1)</f>
        <v>2798</v>
      </c>
      <c r="I35" s="1509">
        <f t="shared" ref="I35" si="45">ROUND(E35,1)+ROUND(F35,1)+ROUND(H35,1)</f>
        <v>14037.1</v>
      </c>
      <c r="J35" s="1522">
        <f t="shared" ref="J35" si="46">G35+I35</f>
        <v>16237.1</v>
      </c>
      <c r="K35" s="1522">
        <f>'1'!J35+'1'!K35</f>
        <v>5124.7</v>
      </c>
      <c r="L35" s="2167">
        <f t="shared" ref="L35" si="47">ROUND(H35,1)-ROUND(D35,1)-ROUND(C35,1)</f>
        <v>0</v>
      </c>
      <c r="M35" s="2167">
        <f t="shared" ref="M35" si="48">ROUND(I35,1)-ROUND(H35,1)-ROUND(E35,1)-ROUND(F35,1)</f>
        <v>0</v>
      </c>
      <c r="N35" s="2167">
        <f t="shared" ref="N35" si="49">ROUND(J35,1)-ROUND(I35,1)-ROUND(G35,1)</f>
        <v>0</v>
      </c>
      <c r="O35" s="372"/>
      <c r="P35" s="372"/>
      <c r="Q35" s="372"/>
      <c r="R35" s="372"/>
      <c r="S35" s="372"/>
      <c r="T35" s="372"/>
      <c r="U35" s="372"/>
      <c r="V35" s="372"/>
      <c r="W35" s="372"/>
      <c r="X35" s="372"/>
      <c r="Y35" s="372"/>
      <c r="Z35" s="372"/>
    </row>
    <row r="36" spans="1:26" s="1981" customFormat="1" ht="15" customHeight="1">
      <c r="A36" s="2043"/>
      <c r="B36" s="705" t="s">
        <v>420</v>
      </c>
      <c r="C36" s="1532">
        <f>'2'!L36</f>
        <v>496.83679083206908</v>
      </c>
      <c r="D36" s="1532">
        <f>'19'!E36</f>
        <v>2346.7624123737573</v>
      </c>
      <c r="E36" s="1532">
        <f>'19'!F36</f>
        <v>566.4925224225185</v>
      </c>
      <c r="F36" s="1531">
        <f>'1'!M36+ROUND('19'!G36,1)+ROUND('19'!H36,1)+ROUND('19'!I36,1)+ROUND('19'!J36,1)</f>
        <v>10697.8</v>
      </c>
      <c r="G36" s="1508">
        <f>'1'!L36+ROUND('19'!C36,1)+ROUND('19'!D36,1)</f>
        <v>1909.3</v>
      </c>
      <c r="H36" s="1508">
        <f t="shared" ref="H36" si="50">ROUND(C36,1)+ROUND(D36,1)</f>
        <v>2843.6000000000004</v>
      </c>
      <c r="I36" s="1509">
        <f t="shared" ref="I36" si="51">ROUND(E36,1)+ROUND(F36,1)+ROUND(H36,1)</f>
        <v>14107.9</v>
      </c>
      <c r="J36" s="1522">
        <f t="shared" ref="J36" si="52">G36+I36</f>
        <v>16017.199999999999</v>
      </c>
      <c r="K36" s="1522">
        <f>'1'!J36+'1'!K36</f>
        <v>5046.2</v>
      </c>
      <c r="L36" s="2167">
        <f t="shared" ref="L36" si="53">ROUND(H36,1)-ROUND(D36,1)-ROUND(C36,1)</f>
        <v>0</v>
      </c>
      <c r="M36" s="2167">
        <f t="shared" ref="M36" si="54">ROUND(I36,1)-ROUND(H36,1)-ROUND(E36,1)-ROUND(F36,1)</f>
        <v>0</v>
      </c>
      <c r="N36" s="2167">
        <f t="shared" ref="N36" si="55">ROUND(J36,1)-ROUND(I36,1)-ROUND(G36,1)</f>
        <v>0</v>
      </c>
      <c r="O36" s="372"/>
      <c r="P36" s="372"/>
      <c r="Q36" s="372"/>
      <c r="R36" s="372"/>
      <c r="S36" s="372"/>
      <c r="T36" s="372"/>
      <c r="U36" s="372"/>
      <c r="V36" s="372"/>
      <c r="W36" s="372"/>
      <c r="X36" s="372"/>
      <c r="Y36" s="372"/>
      <c r="Z36" s="372"/>
    </row>
    <row r="37" spans="1:26" s="1981" customFormat="1" ht="15" customHeight="1">
      <c r="A37" s="2043"/>
      <c r="B37" s="705" t="s">
        <v>421</v>
      </c>
      <c r="C37" s="1532">
        <f>'2'!L37</f>
        <v>504.70260576426114</v>
      </c>
      <c r="D37" s="1532">
        <f>'19'!E37</f>
        <v>2393.1064473717875</v>
      </c>
      <c r="E37" s="1532">
        <f>'19'!F37</f>
        <v>597.06161123792799</v>
      </c>
      <c r="F37" s="1531">
        <f>'1'!M37+ROUND('19'!G37,1)+ROUND('19'!H37,1)+ROUND('19'!I37,1)+ROUND('19'!J37,1)</f>
        <v>10782.099999999999</v>
      </c>
      <c r="G37" s="1508">
        <f>'1'!L37+ROUND('19'!C37,1)+ROUND('19'!D37,1)</f>
        <v>1942.3</v>
      </c>
      <c r="H37" s="1508">
        <f t="shared" ref="H37" si="56">ROUND(C37,1)+ROUND(D37,1)</f>
        <v>2897.7999999999997</v>
      </c>
      <c r="I37" s="1509">
        <f t="shared" ref="I37" si="57">ROUND(E37,1)+ROUND(F37,1)+ROUND(H37,1)</f>
        <v>14277</v>
      </c>
      <c r="J37" s="1522">
        <f t="shared" ref="J37" si="58">G37+I37</f>
        <v>16219.3</v>
      </c>
      <c r="K37" s="1522">
        <f>'1'!J37+'1'!K37</f>
        <v>5122.2</v>
      </c>
      <c r="L37" s="2167">
        <f t="shared" ref="L37" si="59">ROUND(H37,1)-ROUND(D37,1)-ROUND(C37,1)</f>
        <v>0</v>
      </c>
      <c r="M37" s="2167">
        <f t="shared" ref="M37" si="60">ROUND(I37,1)-ROUND(H37,1)-ROUND(E37,1)-ROUND(F37,1)</f>
        <v>0</v>
      </c>
      <c r="N37" s="2167">
        <f t="shared" ref="N37" si="61">ROUND(J37,1)-ROUND(I37,1)-ROUND(G37,1)</f>
        <v>0</v>
      </c>
      <c r="O37" s="372"/>
      <c r="P37" s="372"/>
      <c r="Q37" s="372"/>
      <c r="R37" s="372"/>
      <c r="S37" s="372"/>
      <c r="T37" s="372"/>
      <c r="U37" s="372"/>
      <c r="V37" s="372"/>
      <c r="W37" s="372"/>
      <c r="X37" s="372"/>
      <c r="Y37" s="372"/>
      <c r="Z37" s="372"/>
    </row>
    <row r="38" spans="1:26" s="1981" customFormat="1" ht="15" customHeight="1">
      <c r="A38" s="2043"/>
      <c r="B38" s="705" t="s">
        <v>422</v>
      </c>
      <c r="C38" s="1532">
        <f>'2'!L38</f>
        <v>503.41819719991929</v>
      </c>
      <c r="D38" s="1532">
        <f>'19'!E38</f>
        <v>2351.9652022122091</v>
      </c>
      <c r="E38" s="1532">
        <f>'19'!F38</f>
        <v>607.20731165527411</v>
      </c>
      <c r="F38" s="1531">
        <f>'1'!M38+ROUND('19'!G38,1)+ROUND('19'!H38,1)+ROUND('19'!I38,1)+ROUND('19'!J38,1)</f>
        <v>10974.6</v>
      </c>
      <c r="G38" s="1508">
        <f>'1'!L38+ROUND('19'!C38,1)+ROUND('19'!D38,1)</f>
        <v>2111.3000000000002</v>
      </c>
      <c r="H38" s="1508">
        <f t="shared" ref="H38" si="62">ROUND(C38,1)+ROUND(D38,1)</f>
        <v>2855.4</v>
      </c>
      <c r="I38" s="1509">
        <f t="shared" ref="I38" si="63">ROUND(E38,1)+ROUND(F38,1)+ROUND(H38,1)</f>
        <v>14437.2</v>
      </c>
      <c r="J38" s="1522">
        <f t="shared" ref="J38" si="64">G38+I38</f>
        <v>16548.5</v>
      </c>
      <c r="K38" s="1522">
        <f>'1'!J38+'1'!K38</f>
        <v>5072.2999999999993</v>
      </c>
      <c r="L38" s="2167">
        <f t="shared" ref="L38" si="65">ROUND(H38,1)-ROUND(D38,1)-ROUND(C38,1)</f>
        <v>0</v>
      </c>
      <c r="M38" s="2167">
        <f t="shared" ref="M38" si="66">ROUND(I38,1)-ROUND(H38,1)-ROUND(E38,1)-ROUND(F38,1)</f>
        <v>0</v>
      </c>
      <c r="N38" s="2167">
        <f t="shared" ref="N38" si="67">ROUND(J38,1)-ROUND(I38,1)-ROUND(G38,1)</f>
        <v>0</v>
      </c>
      <c r="O38" s="372"/>
      <c r="P38" s="372"/>
      <c r="Q38" s="372"/>
      <c r="R38" s="372"/>
      <c r="S38" s="372"/>
      <c r="T38" s="372"/>
      <c r="U38" s="372"/>
      <c r="V38" s="372"/>
      <c r="W38" s="372"/>
      <c r="X38" s="372"/>
      <c r="Y38" s="372"/>
      <c r="Z38" s="372"/>
    </row>
    <row r="39" spans="1:26" s="1981" customFormat="1" ht="21" customHeight="1">
      <c r="A39" s="2043">
        <v>2026</v>
      </c>
      <c r="B39" s="705" t="s">
        <v>423</v>
      </c>
      <c r="C39" s="1532">
        <f>'2'!L39</f>
        <v>531.3828529287531</v>
      </c>
      <c r="D39" s="1532">
        <f>'19'!E39</f>
        <v>2415.8341489240006</v>
      </c>
      <c r="E39" s="1532">
        <f>'19'!F39</f>
        <v>715.22190609843688</v>
      </c>
      <c r="F39" s="1531">
        <f>'1'!M39+ROUND('19'!G39,1)+ROUND('19'!H39,1)+ROUND('19'!I39,1)+ROUND('19'!J39,1)</f>
        <v>10935.3</v>
      </c>
      <c r="G39" s="1508">
        <f>'1'!L39+ROUND('19'!C39,1)+ROUND('19'!D39,1)</f>
        <v>2081.9</v>
      </c>
      <c r="H39" s="1508">
        <f t="shared" ref="H39" si="68">ROUND(C39,1)+ROUND(D39,1)</f>
        <v>2947.2000000000003</v>
      </c>
      <c r="I39" s="1509">
        <f t="shared" ref="I39" si="69">ROUND(E39,1)+ROUND(F39,1)+ROUND(H39,1)</f>
        <v>14597.7</v>
      </c>
      <c r="J39" s="1522">
        <f t="shared" ref="J39" si="70">G39+I39</f>
        <v>16679.600000000002</v>
      </c>
      <c r="K39" s="1522">
        <f>'1'!J39+'1'!K39</f>
        <v>5274.8</v>
      </c>
      <c r="L39" s="2167">
        <f t="shared" ref="L39" si="71">ROUND(H39,1)-ROUND(D39,1)-ROUND(C39,1)</f>
        <v>0</v>
      </c>
      <c r="M39" s="2167">
        <f t="shared" ref="M39" si="72">ROUND(I39,1)-ROUND(H39,1)-ROUND(E39,1)-ROUND(F39,1)</f>
        <v>0</v>
      </c>
      <c r="N39" s="2167">
        <f t="shared" ref="N39" si="73">ROUND(J39,1)-ROUND(I39,1)-ROUND(G39,1)</f>
        <v>0</v>
      </c>
      <c r="O39" s="372"/>
      <c r="P39" s="372"/>
      <c r="Q39" s="372"/>
      <c r="R39" s="372"/>
      <c r="S39" s="372"/>
      <c r="T39" s="372"/>
      <c r="U39" s="372"/>
      <c r="V39" s="372"/>
      <c r="W39" s="372"/>
      <c r="X39" s="372"/>
      <c r="Y39" s="372"/>
      <c r="Z39" s="372"/>
    </row>
    <row r="40" spans="1:26" s="1981" customFormat="1" ht="15" customHeight="1">
      <c r="A40" s="2043"/>
      <c r="B40" s="705" t="s">
        <v>424</v>
      </c>
      <c r="C40" s="1532">
        <f>'2'!L40</f>
        <v>528.68935141502652</v>
      </c>
      <c r="D40" s="1532">
        <f>'19'!E40</f>
        <v>2427.9819756402885</v>
      </c>
      <c r="E40" s="1532">
        <f>'19'!F40</f>
        <v>683.95808582422171</v>
      </c>
      <c r="F40" s="1531">
        <f>'1'!M40+ROUND('19'!G40,1)+ROUND('19'!H40,1)+ROUND('19'!I40,1)+ROUND('19'!J40,1)</f>
        <v>11126.1</v>
      </c>
      <c r="G40" s="1508">
        <f>'1'!L40+ROUND('19'!C40,1)+ROUND('19'!D40,1)</f>
        <v>2243.5</v>
      </c>
      <c r="H40" s="1508">
        <f t="shared" ref="H40" si="74">ROUND(C40,1)+ROUND(D40,1)</f>
        <v>2956.7</v>
      </c>
      <c r="I40" s="1509">
        <f t="shared" ref="I40" si="75">ROUND(E40,1)+ROUND(F40,1)+ROUND(H40,1)</f>
        <v>14766.8</v>
      </c>
      <c r="J40" s="1522">
        <f t="shared" ref="J40" si="76">G40+I40</f>
        <v>17010.3</v>
      </c>
      <c r="K40" s="1522">
        <f>'1'!J40+'1'!K40</f>
        <v>5282.9</v>
      </c>
      <c r="L40" s="2167">
        <f t="shared" ref="L40" si="77">ROUND(H40,1)-ROUND(D40,1)-ROUND(C40,1)</f>
        <v>0</v>
      </c>
      <c r="M40" s="2167">
        <f t="shared" ref="M40" si="78">ROUND(I40,1)-ROUND(H40,1)-ROUND(E40,1)-ROUND(F40,1)</f>
        <v>0</v>
      </c>
      <c r="N40" s="2167">
        <f t="shared" ref="N40" si="79">ROUND(J40,1)-ROUND(I40,1)-ROUND(G40,1)</f>
        <v>0</v>
      </c>
      <c r="O40" s="372"/>
      <c r="P40" s="372"/>
      <c r="Q40" s="372"/>
      <c r="R40" s="372"/>
      <c r="S40" s="372"/>
      <c r="T40" s="372"/>
      <c r="U40" s="372"/>
      <c r="V40" s="372"/>
      <c r="W40" s="372"/>
      <c r="X40" s="372"/>
      <c r="Y40" s="372"/>
      <c r="Z40" s="372"/>
    </row>
    <row r="41" spans="1:26" s="1981" customFormat="1" ht="15" customHeight="1">
      <c r="A41" s="2043"/>
      <c r="B41" s="705" t="s">
        <v>425</v>
      </c>
      <c r="C41" s="1532">
        <f>'2'!L41</f>
        <v>561.30520133773325</v>
      </c>
      <c r="D41" s="1532">
        <f>'19'!E41</f>
        <v>2541.5109079535623</v>
      </c>
      <c r="E41" s="1532">
        <f>'19'!F41</f>
        <v>744.04622900062918</v>
      </c>
      <c r="F41" s="1531">
        <f>'1'!M41+ROUND('19'!G41,1)+ROUND('19'!H41,1)+ROUND('19'!I41,1)+ROUND('19'!J41,1)</f>
        <v>10773.199999999999</v>
      </c>
      <c r="G41" s="1508">
        <f>'1'!L41+ROUND('19'!C41,1)+ROUND('19'!D41,1)</f>
        <v>2718.9</v>
      </c>
      <c r="H41" s="1508">
        <f t="shared" ref="H41" si="80">ROUND(C41,1)+ROUND(D41,1)</f>
        <v>3102.8</v>
      </c>
      <c r="I41" s="1509">
        <f t="shared" ref="I41" si="81">ROUND(E41,1)+ROUND(F41,1)+ROUND(H41,1)</f>
        <v>14620</v>
      </c>
      <c r="J41" s="1522">
        <f t="shared" ref="J41" si="82">G41+I41</f>
        <v>17338.900000000001</v>
      </c>
      <c r="K41" s="1522">
        <f>'1'!J41+'1'!K41</f>
        <v>6162.1</v>
      </c>
      <c r="L41" s="2167">
        <f t="shared" ref="L41" si="83">ROUND(H41,1)-ROUND(D41,1)-ROUND(C41,1)</f>
        <v>0</v>
      </c>
      <c r="M41" s="2167">
        <f t="shared" ref="M41" si="84">ROUND(I41,1)-ROUND(H41,1)-ROUND(E41,1)-ROUND(F41,1)</f>
        <v>0</v>
      </c>
      <c r="N41" s="2167">
        <f t="shared" ref="N41" si="85">ROUND(J41,1)-ROUND(I41,1)-ROUND(G41,1)</f>
        <v>0</v>
      </c>
      <c r="O41" s="372"/>
      <c r="P41" s="372"/>
      <c r="Q41" s="372"/>
      <c r="R41" s="372"/>
      <c r="S41" s="372"/>
      <c r="T41" s="372"/>
      <c r="U41" s="372"/>
      <c r="V41" s="372"/>
      <c r="W41" s="372"/>
      <c r="X41" s="372"/>
      <c r="Y41" s="372"/>
      <c r="Z41" s="372"/>
    </row>
    <row r="42" spans="1:26" s="1981" customFormat="1" ht="15" customHeight="1">
      <c r="A42" s="2043"/>
      <c r="B42" s="705" t="s">
        <v>426</v>
      </c>
      <c r="C42" s="1532">
        <f>'2'!L42</f>
        <v>556.72732256600113</v>
      </c>
      <c r="D42" s="1532">
        <f>'19'!E42</f>
        <v>2851.128164927773</v>
      </c>
      <c r="E42" s="1532">
        <f>'19'!F42</f>
        <v>816.39303342653875</v>
      </c>
      <c r="F42" s="1531">
        <f>'1'!M42+ROUND('19'!G42,1)+ROUND('19'!H42,1)+ROUND('19'!I42,1)+ROUND('19'!J42,1)</f>
        <v>11072.8</v>
      </c>
      <c r="G42" s="1508">
        <f>'1'!L42+ROUND('19'!C42,1)+ROUND('19'!D42,1)</f>
        <v>2777.5</v>
      </c>
      <c r="H42" s="1508">
        <f t="shared" ref="H42" si="86">ROUND(C42,1)+ROUND(D42,1)</f>
        <v>3407.8</v>
      </c>
      <c r="I42" s="1509">
        <f t="shared" ref="I42" si="87">ROUND(E42,1)+ROUND(F42,1)+ROUND(H42,1)</f>
        <v>15297</v>
      </c>
      <c r="J42" s="1522">
        <f t="shared" ref="J42" si="88">G42+I42</f>
        <v>18074.5</v>
      </c>
      <c r="K42" s="1522">
        <f>'1'!J42+'1'!K42</f>
        <v>5786.6</v>
      </c>
      <c r="L42" s="2167">
        <f t="shared" ref="L42" si="89">ROUND(H42,1)-ROUND(D42,1)-ROUND(C42,1)</f>
        <v>0</v>
      </c>
      <c r="M42" s="2167">
        <f t="shared" ref="M42" si="90">ROUND(I42,1)-ROUND(H42,1)-ROUND(E42,1)-ROUND(F42,1)</f>
        <v>0</v>
      </c>
      <c r="N42" s="2167">
        <f t="shared" ref="N42" si="91">ROUND(J42,1)-ROUND(I42,1)-ROUND(G42,1)</f>
        <v>0</v>
      </c>
      <c r="O42" s="372"/>
      <c r="P42" s="372"/>
      <c r="Q42" s="372"/>
      <c r="R42" s="372"/>
      <c r="S42" s="372"/>
      <c r="T42" s="372"/>
      <c r="U42" s="372"/>
      <c r="V42" s="372"/>
      <c r="W42" s="372"/>
      <c r="X42" s="372"/>
      <c r="Y42" s="372"/>
      <c r="Z42" s="372"/>
    </row>
    <row r="43" spans="1:26" s="1981" customFormat="1" ht="15" customHeight="1">
      <c r="A43" s="2043"/>
      <c r="B43" s="705" t="s">
        <v>1790</v>
      </c>
      <c r="C43" s="1532">
        <f>'2'!L43</f>
        <v>444.74461560249762</v>
      </c>
      <c r="D43" s="1532">
        <f>'19'!E43</f>
        <v>2841.9731544397018</v>
      </c>
      <c r="E43" s="1532">
        <f>'19'!F43</f>
        <v>800.29996891405972</v>
      </c>
      <c r="F43" s="1531">
        <f>'1'!M43+ROUND('19'!G43,1)+ROUND('19'!H43,1)+ROUND('19'!I43,1)+ROUND('19'!J43,1)</f>
        <v>11047.4</v>
      </c>
      <c r="G43" s="1508">
        <f>'1'!L43+ROUND('19'!C43,1)+ROUND('19'!D43,1)</f>
        <v>2831.8</v>
      </c>
      <c r="H43" s="1508">
        <f t="shared" ref="H43" si="92">ROUND(C43,1)+ROUND(D43,1)</f>
        <v>3286.7</v>
      </c>
      <c r="I43" s="1509">
        <f t="shared" ref="I43" si="93">ROUND(E43,1)+ROUND(F43,1)+ROUND(H43,1)</f>
        <v>15134.399999999998</v>
      </c>
      <c r="J43" s="1522">
        <f t="shared" ref="J43" si="94">G43+I43</f>
        <v>17966.199999999997</v>
      </c>
      <c r="K43" s="1522">
        <f>'1'!J43+'1'!K43</f>
        <v>5609</v>
      </c>
      <c r="L43" s="2167">
        <f t="shared" ref="L43" si="95">ROUND(H43,1)-ROUND(D43,1)-ROUND(C43,1)</f>
        <v>0</v>
      </c>
      <c r="M43" s="2167">
        <f t="shared" ref="M43" si="96">ROUND(I43,1)-ROUND(H43,1)-ROUND(E43,1)-ROUND(F43,1)</f>
        <v>0</v>
      </c>
      <c r="N43" s="2167">
        <f t="shared" ref="N43" si="97">ROUND(J43,1)-ROUND(I43,1)-ROUND(G43,1)</f>
        <v>0</v>
      </c>
      <c r="O43" s="372"/>
      <c r="P43" s="372"/>
      <c r="Q43" s="372"/>
      <c r="R43" s="372"/>
      <c r="S43" s="372"/>
      <c r="T43" s="372"/>
      <c r="U43" s="372"/>
      <c r="V43" s="372"/>
      <c r="W43" s="372"/>
      <c r="X43" s="372"/>
      <c r="Y43" s="372"/>
      <c r="Z43" s="372"/>
    </row>
    <row r="44" spans="1:26" s="2067" customFormat="1" ht="19.5" customHeight="1">
      <c r="A44" s="231" t="s">
        <v>492</v>
      </c>
      <c r="B44" s="231"/>
      <c r="C44" s="231"/>
      <c r="D44" s="231"/>
      <c r="E44" s="231"/>
      <c r="F44" s="231"/>
      <c r="G44" s="230"/>
      <c r="H44" s="2065"/>
      <c r="I44" s="231"/>
      <c r="J44" s="2066"/>
      <c r="K44" s="2066" t="s">
        <v>493</v>
      </c>
    </row>
    <row r="45" spans="1:26" s="2067" customFormat="1" ht="13.75" customHeight="1">
      <c r="A45" s="2067" t="s">
        <v>494</v>
      </c>
      <c r="G45" s="27"/>
      <c r="J45" s="2068"/>
      <c r="K45" s="2068" t="s">
        <v>495</v>
      </c>
    </row>
    <row r="46" spans="1:26" s="2067" customFormat="1" ht="13.75" customHeight="1">
      <c r="A46" s="2067" t="s">
        <v>496</v>
      </c>
      <c r="G46" s="27"/>
      <c r="J46" s="2068"/>
      <c r="K46" s="2068" t="s">
        <v>497</v>
      </c>
    </row>
    <row r="47" spans="1:26">
      <c r="C47" s="1253"/>
      <c r="D47" s="1253"/>
      <c r="E47" s="1253"/>
      <c r="F47" s="1253"/>
      <c r="G47" s="1253"/>
      <c r="H47" s="1253"/>
      <c r="I47" s="1253"/>
      <c r="J47" s="1253"/>
      <c r="K47" s="1253"/>
    </row>
    <row r="48" spans="1:26">
      <c r="A48" s="474" t="s">
        <v>498</v>
      </c>
      <c r="B48" s="11"/>
      <c r="C48" s="11"/>
      <c r="D48" s="11"/>
      <c r="E48" s="11"/>
      <c r="F48" s="11"/>
      <c r="G48" s="11"/>
      <c r="H48" s="11"/>
      <c r="I48" s="11"/>
      <c r="J48" s="11"/>
      <c r="K48" s="11"/>
    </row>
    <row r="49" spans="10:10">
      <c r="J49" s="1253"/>
    </row>
  </sheetData>
  <mergeCells count="2">
    <mergeCell ref="D8:E8"/>
    <mergeCell ref="D9:E9"/>
  </mergeCells>
  <phoneticPr fontId="0" type="noConversion"/>
  <printOptions horizontalCentered="1" verticalCentered="1"/>
  <pageMargins left="0" right="0" top="0" bottom="0" header="0.511811023622047" footer="0.511811023622047"/>
  <pageSetup paperSize="9" scale="75"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9">
    <tabColor rgb="FFFF0000"/>
    <pageSetUpPr fitToPage="1"/>
  </sheetPr>
  <dimension ref="A1:O46"/>
  <sheetViews>
    <sheetView zoomScale="80" zoomScaleNormal="80" workbookViewId="0">
      <pane ySplit="12" topLeftCell="A35" activePane="bottomLeft" state="frozen"/>
      <selection activeCell="B44" sqref="B44"/>
      <selection pane="bottomLeft" activeCell="F44" sqref="F44"/>
    </sheetView>
  </sheetViews>
  <sheetFormatPr defaultColWidth="9.1796875" defaultRowHeight="12.5"/>
  <cols>
    <col min="1" max="2" width="10" style="744" customWidth="1"/>
    <col min="3" max="3" width="20.7265625" style="18" customWidth="1"/>
    <col min="4" max="10" width="20.7265625" style="744" customWidth="1"/>
    <col min="11" max="16384" width="9.1796875" style="744"/>
  </cols>
  <sheetData>
    <row r="1" spans="1:15" s="1100" customFormat="1" ht="19.5" customHeight="1">
      <c r="A1" s="1135" t="s">
        <v>1666</v>
      </c>
      <c r="B1" s="1098"/>
      <c r="C1" s="1114"/>
      <c r="D1" s="1099"/>
      <c r="E1" s="1099"/>
      <c r="F1" s="1099"/>
      <c r="G1" s="1099"/>
      <c r="H1" s="1099"/>
      <c r="I1" s="1099"/>
      <c r="J1" s="1099"/>
    </row>
    <row r="2" spans="1:15" s="1100" customFormat="1" ht="18">
      <c r="A2" s="1135" t="s">
        <v>1667</v>
      </c>
      <c r="B2" s="1098"/>
      <c r="C2" s="1114"/>
      <c r="D2" s="1099"/>
      <c r="E2" s="1099"/>
      <c r="F2" s="1099"/>
      <c r="G2" s="1099"/>
      <c r="H2" s="1099"/>
      <c r="I2" s="1099"/>
      <c r="J2" s="1099"/>
    </row>
    <row r="3" spans="1:15" s="1100" customFormat="1" ht="16.5">
      <c r="A3" s="1136" t="s">
        <v>1668</v>
      </c>
      <c r="B3" s="1137"/>
      <c r="C3" s="1114"/>
      <c r="D3" s="1099"/>
      <c r="E3" s="1099"/>
      <c r="F3" s="1099"/>
      <c r="G3" s="1099"/>
      <c r="H3" s="1099"/>
      <c r="I3" s="1099"/>
      <c r="J3" s="1099"/>
    </row>
    <row r="4" spans="1:15" s="1100" customFormat="1" ht="16.5" hidden="1">
      <c r="A4" s="1136"/>
      <c r="B4" s="1137"/>
      <c r="C4" s="1114"/>
      <c r="D4" s="1099"/>
      <c r="E4" s="1099"/>
      <c r="F4" s="1099"/>
      <c r="G4" s="1099"/>
      <c r="H4" s="1099"/>
      <c r="I4" s="1099"/>
      <c r="J4" s="1099"/>
    </row>
    <row r="5" spans="1:15" s="1100" customFormat="1" ht="16.5" hidden="1">
      <c r="A5" s="1136"/>
      <c r="B5" s="1137"/>
      <c r="C5" s="1114"/>
      <c r="D5" s="1099"/>
      <c r="E5" s="1099"/>
      <c r="F5" s="1099"/>
      <c r="G5" s="1099"/>
      <c r="H5" s="1099"/>
      <c r="I5" s="1099"/>
      <c r="J5" s="1099"/>
    </row>
    <row r="6" spans="1:15" ht="16.5" hidden="1">
      <c r="A6" s="806"/>
      <c r="B6" s="768"/>
      <c r="C6" s="269"/>
      <c r="D6" s="743"/>
      <c r="E6" s="743"/>
      <c r="F6" s="743"/>
      <c r="G6" s="743"/>
      <c r="H6" s="743"/>
      <c r="I6" s="743"/>
      <c r="J6" s="743"/>
    </row>
    <row r="7" spans="1:15" s="1100" customFormat="1" ht="16.5">
      <c r="A7" s="1136" t="s">
        <v>1669</v>
      </c>
      <c r="B7" s="1137"/>
      <c r="C7" s="1114"/>
      <c r="D7" s="1099"/>
      <c r="E7" s="1099"/>
      <c r="F7" s="1099"/>
      <c r="G7" s="1099"/>
      <c r="H7" s="1099"/>
      <c r="I7" s="1099"/>
      <c r="J7" s="1099"/>
    </row>
    <row r="8" spans="1:15" s="747" customFormat="1" ht="14.9" customHeight="1">
      <c r="A8" s="807" t="s">
        <v>1670</v>
      </c>
      <c r="B8" s="745"/>
      <c r="J8" s="834" t="s">
        <v>1671</v>
      </c>
    </row>
    <row r="9" spans="1:15" ht="14">
      <c r="A9" s="809"/>
      <c r="B9" s="810"/>
      <c r="C9" s="771" t="s">
        <v>1672</v>
      </c>
      <c r="D9" s="811"/>
      <c r="E9" s="811"/>
      <c r="F9" s="771" t="s">
        <v>1637</v>
      </c>
      <c r="G9" s="771" t="s">
        <v>1637</v>
      </c>
      <c r="H9" s="2096"/>
      <c r="I9" s="2097"/>
      <c r="J9" s="811"/>
    </row>
    <row r="10" spans="1:15" ht="14">
      <c r="A10" s="814" t="s">
        <v>387</v>
      </c>
      <c r="B10" s="815"/>
      <c r="C10" s="2000" t="s">
        <v>1673</v>
      </c>
      <c r="D10" s="816" t="s">
        <v>1639</v>
      </c>
      <c r="E10" s="816" t="s">
        <v>1640</v>
      </c>
      <c r="F10" s="816" t="s">
        <v>1641</v>
      </c>
      <c r="G10" s="816" t="s">
        <v>1642</v>
      </c>
      <c r="H10" s="816" t="s">
        <v>1643</v>
      </c>
      <c r="I10" s="816" t="s">
        <v>1354</v>
      </c>
      <c r="J10" s="816" t="s">
        <v>1644</v>
      </c>
    </row>
    <row r="11" spans="1:15" ht="14">
      <c r="A11" s="775" t="s">
        <v>395</v>
      </c>
      <c r="B11" s="815"/>
      <c r="C11" s="778" t="s">
        <v>1674</v>
      </c>
      <c r="D11" s="778" t="s">
        <v>1648</v>
      </c>
      <c r="E11" s="778" t="s">
        <v>1649</v>
      </c>
      <c r="F11" s="778" t="s">
        <v>1650</v>
      </c>
      <c r="G11" s="778" t="s">
        <v>1650</v>
      </c>
      <c r="H11" s="778" t="s">
        <v>1651</v>
      </c>
      <c r="I11" s="778" t="s">
        <v>1652</v>
      </c>
      <c r="J11" s="778" t="s">
        <v>1653</v>
      </c>
    </row>
    <row r="12" spans="1:15" ht="14">
      <c r="A12" s="835"/>
      <c r="B12" s="836"/>
      <c r="C12" s="820" t="s">
        <v>1609</v>
      </c>
      <c r="D12" s="819"/>
      <c r="E12" s="819"/>
      <c r="F12" s="819" t="s">
        <v>1657</v>
      </c>
      <c r="G12" s="819" t="s">
        <v>1658</v>
      </c>
      <c r="H12" s="819"/>
      <c r="I12" s="819" t="s">
        <v>1659</v>
      </c>
      <c r="J12" s="819" t="s">
        <v>1660</v>
      </c>
    </row>
    <row r="13" spans="1:15" ht="21.25" hidden="1" customHeight="1">
      <c r="A13" s="704">
        <v>2016</v>
      </c>
      <c r="B13" s="1417"/>
      <c r="C13" s="792"/>
      <c r="D13" s="792"/>
      <c r="E13" s="792"/>
      <c r="F13" s="792"/>
      <c r="G13" s="792"/>
      <c r="H13" s="792"/>
      <c r="I13" s="792"/>
      <c r="J13" s="792"/>
    </row>
    <row r="14" spans="1:15" ht="16.5" hidden="1" customHeight="1">
      <c r="A14" s="704">
        <v>2017</v>
      </c>
      <c r="B14" s="1417"/>
      <c r="C14" s="792"/>
      <c r="D14" s="792"/>
      <c r="E14" s="792"/>
      <c r="F14" s="792"/>
      <c r="G14" s="792"/>
      <c r="H14" s="792"/>
      <c r="I14" s="792"/>
      <c r="J14" s="792"/>
      <c r="K14" s="1651"/>
    </row>
    <row r="15" spans="1:15" ht="16.5" hidden="1" customHeight="1">
      <c r="A15" s="704">
        <v>2018</v>
      </c>
      <c r="B15" s="1418"/>
      <c r="C15" s="792"/>
      <c r="D15" s="792"/>
      <c r="E15" s="792"/>
      <c r="F15" s="792"/>
      <c r="G15" s="792"/>
      <c r="H15" s="792"/>
      <c r="I15" s="792"/>
      <c r="J15" s="792"/>
      <c r="K15" s="1810"/>
      <c r="L15" s="999"/>
      <c r="M15" s="999"/>
      <c r="N15" s="999"/>
      <c r="O15" s="999"/>
    </row>
    <row r="16" spans="1:15" ht="16.5" hidden="1" customHeight="1">
      <c r="A16" s="704">
        <v>2019</v>
      </c>
      <c r="B16" s="1418"/>
      <c r="C16" s="792"/>
      <c r="D16" s="792"/>
      <c r="E16" s="792"/>
      <c r="F16" s="792"/>
      <c r="G16" s="792"/>
      <c r="H16" s="792"/>
      <c r="I16" s="792"/>
      <c r="J16" s="792"/>
      <c r="K16" s="1810"/>
      <c r="L16" s="999"/>
      <c r="M16" s="999"/>
      <c r="N16" s="999"/>
      <c r="O16" s="999"/>
    </row>
    <row r="17" spans="1:15" ht="16.5" hidden="1" customHeight="1">
      <c r="A17" s="704">
        <v>2020</v>
      </c>
      <c r="B17" s="1418"/>
      <c r="C17" s="792">
        <v>0</v>
      </c>
      <c r="D17" s="792">
        <v>0</v>
      </c>
      <c r="E17" s="792">
        <v>0</v>
      </c>
      <c r="F17" s="792">
        <v>0</v>
      </c>
      <c r="G17" s="792">
        <v>0</v>
      </c>
      <c r="H17" s="792"/>
      <c r="I17" s="792">
        <v>0</v>
      </c>
      <c r="J17" s="792">
        <v>0</v>
      </c>
      <c r="K17" s="1810"/>
      <c r="L17" s="999"/>
      <c r="M17" s="999"/>
      <c r="N17" s="999"/>
      <c r="O17" s="999"/>
    </row>
    <row r="18" spans="1:15" ht="20.25" customHeight="1">
      <c r="A18" s="704">
        <v>2021</v>
      </c>
      <c r="B18" s="1418"/>
      <c r="C18" s="792">
        <v>1797.252</v>
      </c>
      <c r="D18" s="792">
        <v>3675.3449999999998</v>
      </c>
      <c r="E18" s="792">
        <v>3042.22</v>
      </c>
      <c r="F18" s="792">
        <v>3035.8139999999999</v>
      </c>
      <c r="G18" s="792">
        <v>3010.6410000000001</v>
      </c>
      <c r="H18" s="792">
        <v>6402.47</v>
      </c>
      <c r="I18" s="792">
        <v>2957.8629999999998</v>
      </c>
      <c r="J18" s="792">
        <v>3190.1970000000001</v>
      </c>
      <c r="K18" s="1810"/>
      <c r="L18" s="999"/>
      <c r="M18" s="999"/>
      <c r="N18" s="999"/>
      <c r="O18" s="999"/>
    </row>
    <row r="19" spans="1:15" ht="15" customHeight="1">
      <c r="A19" s="704">
        <v>2022</v>
      </c>
      <c r="B19" s="1418"/>
      <c r="C19" s="792">
        <v>1895.2670000000001</v>
      </c>
      <c r="D19" s="792">
        <v>5007.6570000000002</v>
      </c>
      <c r="E19" s="792">
        <v>2871.2240000000002</v>
      </c>
      <c r="F19" s="792">
        <v>3332.9789999999998</v>
      </c>
      <c r="G19" s="792">
        <v>3003.8890000000001</v>
      </c>
      <c r="H19" s="792">
        <v>6691.2030000000004</v>
      </c>
      <c r="I19" s="792">
        <v>2437.0790000000002</v>
      </c>
      <c r="J19" s="792">
        <v>3008.2849999999999</v>
      </c>
      <c r="K19" s="2183"/>
      <c r="L19" s="1976"/>
      <c r="M19" s="1976"/>
      <c r="N19" s="1976"/>
      <c r="O19" s="1976"/>
    </row>
    <row r="20" spans="1:15" ht="15" customHeight="1">
      <c r="A20" s="704">
        <v>2023</v>
      </c>
      <c r="B20" s="1418"/>
      <c r="C20" s="792">
        <v>1971.492</v>
      </c>
      <c r="D20" s="792">
        <v>5260.3370000000004</v>
      </c>
      <c r="E20" s="792">
        <v>2998.5340000000001</v>
      </c>
      <c r="F20" s="792">
        <v>3503.6179999999999</v>
      </c>
      <c r="G20" s="792">
        <v>2547.556</v>
      </c>
      <c r="H20" s="792">
        <v>6976.1080000000002</v>
      </c>
      <c r="I20" s="792">
        <v>2480.5329999999999</v>
      </c>
      <c r="J20" s="792">
        <v>2696.643</v>
      </c>
      <c r="K20" s="2183"/>
      <c r="L20" s="1976"/>
      <c r="M20" s="1976"/>
      <c r="N20" s="1976"/>
      <c r="O20" s="1976"/>
    </row>
    <row r="21" spans="1:15" ht="15" customHeight="1">
      <c r="A21" s="704">
        <v>2024</v>
      </c>
      <c r="B21" s="1418"/>
      <c r="C21" s="792">
        <v>1985.913</v>
      </c>
      <c r="D21" s="792">
        <v>5972.4350000000004</v>
      </c>
      <c r="E21" s="792">
        <v>3015.518</v>
      </c>
      <c r="F21" s="792">
        <v>2835.8519999999999</v>
      </c>
      <c r="G21" s="792">
        <v>2175.6129999999998</v>
      </c>
      <c r="H21" s="792">
        <v>6855.3639999999996</v>
      </c>
      <c r="I21" s="792">
        <v>2451.9299999999998</v>
      </c>
      <c r="J21" s="792">
        <v>2216.6849999999999</v>
      </c>
      <c r="K21" s="2183"/>
      <c r="L21" s="1976"/>
      <c r="M21" s="1976"/>
      <c r="N21" s="1976"/>
      <c r="O21" s="1976"/>
    </row>
    <row r="22" spans="1:15" ht="15" customHeight="1">
      <c r="A22" s="1597">
        <v>2025</v>
      </c>
      <c r="B22" s="1796"/>
      <c r="C22" s="1791">
        <f t="shared" ref="C22:J22" si="0">C29</f>
        <v>2066.54</v>
      </c>
      <c r="D22" s="1791">
        <f t="shared" si="0"/>
        <v>5076.57</v>
      </c>
      <c r="E22" s="1791">
        <f t="shared" si="0"/>
        <v>2867.0320000000002</v>
      </c>
      <c r="F22" s="1791">
        <f t="shared" si="0"/>
        <v>3142.5770000000002</v>
      </c>
      <c r="G22" s="1791">
        <f t="shared" si="0"/>
        <v>2349.951</v>
      </c>
      <c r="H22" s="1791">
        <f t="shared" si="0"/>
        <v>7755.7330000000002</v>
      </c>
      <c r="I22" s="1791">
        <f t="shared" si="0"/>
        <v>2397.7399999999998</v>
      </c>
      <c r="J22" s="1791">
        <f t="shared" si="0"/>
        <v>2391.549</v>
      </c>
      <c r="K22" s="2183"/>
      <c r="L22" s="1976"/>
      <c r="M22" s="1976"/>
      <c r="N22" s="1976"/>
      <c r="O22" s="1976"/>
    </row>
    <row r="23" spans="1:15" ht="21" customHeight="1">
      <c r="A23" s="704">
        <v>2024</v>
      </c>
      <c r="B23" s="1418" t="s">
        <v>243</v>
      </c>
      <c r="C23" s="792">
        <v>2025.4929999999999</v>
      </c>
      <c r="D23" s="792">
        <v>5421.1329999999998</v>
      </c>
      <c r="E23" s="792">
        <v>3128.3989999999999</v>
      </c>
      <c r="F23" s="792">
        <v>3338.5070000000001</v>
      </c>
      <c r="G23" s="792">
        <v>2448.0549999999998</v>
      </c>
      <c r="H23" s="792">
        <v>7197.5339999999997</v>
      </c>
      <c r="I23" s="792">
        <v>2574.9580000000001</v>
      </c>
      <c r="J23" s="792">
        <v>2433.0590000000002</v>
      </c>
      <c r="K23" s="1810"/>
      <c r="L23" s="999"/>
      <c r="M23" s="999"/>
      <c r="N23" s="999"/>
      <c r="O23" s="999"/>
    </row>
    <row r="24" spans="1:15" ht="15" customHeight="1">
      <c r="A24" s="704"/>
      <c r="B24" s="1418" t="s">
        <v>240</v>
      </c>
      <c r="C24" s="792">
        <v>2012.771</v>
      </c>
      <c r="D24" s="792">
        <v>5779.4790000000003</v>
      </c>
      <c r="E24" s="792">
        <v>3141.8020000000001</v>
      </c>
      <c r="F24" s="792">
        <v>3194.5970000000002</v>
      </c>
      <c r="G24" s="792">
        <v>2309.4160000000002</v>
      </c>
      <c r="H24" s="792">
        <v>7011.683</v>
      </c>
      <c r="I24" s="792">
        <v>2526.703</v>
      </c>
      <c r="J24" s="792">
        <v>2260.7159999999999</v>
      </c>
      <c r="K24" s="1810"/>
      <c r="L24" s="999"/>
      <c r="M24" s="999"/>
      <c r="N24" s="999"/>
      <c r="O24" s="999"/>
    </row>
    <row r="25" spans="1:15" ht="15" customHeight="1">
      <c r="A25" s="704"/>
      <c r="B25" s="1418" t="s">
        <v>241</v>
      </c>
      <c r="C25" s="792">
        <v>1985.913</v>
      </c>
      <c r="D25" s="792">
        <v>5972.4350000000004</v>
      </c>
      <c r="E25" s="792">
        <v>3015.518</v>
      </c>
      <c r="F25" s="792">
        <v>2835.8519999999999</v>
      </c>
      <c r="G25" s="792">
        <v>2175.6129999999998</v>
      </c>
      <c r="H25" s="792">
        <v>6855.3639999999996</v>
      </c>
      <c r="I25" s="792">
        <v>2451.9299999999998</v>
      </c>
      <c r="J25" s="792">
        <v>2216.6849999999999</v>
      </c>
      <c r="K25" s="1810"/>
      <c r="L25" s="999"/>
      <c r="M25" s="999"/>
      <c r="N25" s="999"/>
      <c r="O25" s="999"/>
    </row>
    <row r="26" spans="1:15" ht="21" customHeight="1">
      <c r="A26" s="704">
        <v>2025</v>
      </c>
      <c r="B26" s="1418" t="s">
        <v>242</v>
      </c>
      <c r="C26" s="792">
        <v>1951.365</v>
      </c>
      <c r="D26" s="792">
        <v>5145.482</v>
      </c>
      <c r="E26" s="792">
        <v>3021.1729999999998</v>
      </c>
      <c r="F26" s="792">
        <v>2821.971</v>
      </c>
      <c r="G26" s="792">
        <v>2150.759</v>
      </c>
      <c r="H26" s="792">
        <v>7029.665</v>
      </c>
      <c r="I26" s="792">
        <v>2453.7660000000001</v>
      </c>
      <c r="J26" s="792">
        <v>2477.0300000000002</v>
      </c>
      <c r="K26" s="1810"/>
      <c r="L26" s="999"/>
      <c r="M26" s="999"/>
      <c r="N26" s="999"/>
      <c r="O26" s="999"/>
    </row>
    <row r="27" spans="1:15" ht="15" customHeight="1">
      <c r="A27" s="704"/>
      <c r="B27" s="1418" t="s">
        <v>243</v>
      </c>
      <c r="C27" s="792">
        <v>1943.81</v>
      </c>
      <c r="D27" s="792">
        <v>4525.268</v>
      </c>
      <c r="E27" s="792">
        <v>2748.5010000000002</v>
      </c>
      <c r="F27" s="792">
        <v>3325.0050000000001</v>
      </c>
      <c r="G27" s="792">
        <v>1965.4059999999999</v>
      </c>
      <c r="H27" s="792">
        <v>7269.8980000000001</v>
      </c>
      <c r="I27" s="792">
        <v>2457.0169999999998</v>
      </c>
      <c r="J27" s="792">
        <v>2436.6590000000001</v>
      </c>
      <c r="K27" s="1810"/>
      <c r="L27" s="999"/>
      <c r="M27" s="999"/>
      <c r="N27" s="999"/>
      <c r="O27" s="999"/>
    </row>
    <row r="28" spans="1:15" ht="15" customHeight="1">
      <c r="A28" s="704"/>
      <c r="B28" s="1418" t="s">
        <v>240</v>
      </c>
      <c r="C28" s="792">
        <f t="shared" ref="C28:J28" si="1">C35</f>
        <v>1948.173</v>
      </c>
      <c r="D28" s="792">
        <f t="shared" si="1"/>
        <v>4153.1390000000001</v>
      </c>
      <c r="E28" s="792">
        <f t="shared" si="1"/>
        <v>2790.8090000000002</v>
      </c>
      <c r="F28" s="792">
        <f t="shared" si="1"/>
        <v>2989.1379999999999</v>
      </c>
      <c r="G28" s="792">
        <f t="shared" si="1"/>
        <v>1888.461</v>
      </c>
      <c r="H28" s="792">
        <f t="shared" si="1"/>
        <v>7529.0749999999998</v>
      </c>
      <c r="I28" s="792">
        <f t="shared" si="1"/>
        <v>2424.538</v>
      </c>
      <c r="J28" s="792">
        <f t="shared" si="1"/>
        <v>2383.63</v>
      </c>
      <c r="K28" s="1810"/>
      <c r="L28" s="999"/>
      <c r="M28" s="999"/>
      <c r="N28" s="999"/>
      <c r="O28" s="999"/>
    </row>
    <row r="29" spans="1:15" ht="15" customHeight="1">
      <c r="A29" s="704"/>
      <c r="B29" s="1418" t="s">
        <v>241</v>
      </c>
      <c r="C29" s="792">
        <f t="shared" ref="C29:J29" si="2">C38</f>
        <v>2066.54</v>
      </c>
      <c r="D29" s="792">
        <f t="shared" si="2"/>
        <v>5076.57</v>
      </c>
      <c r="E29" s="792">
        <f t="shared" si="2"/>
        <v>2867.0320000000002</v>
      </c>
      <c r="F29" s="792">
        <f t="shared" si="2"/>
        <v>3142.5770000000002</v>
      </c>
      <c r="G29" s="792">
        <f t="shared" si="2"/>
        <v>2349.951</v>
      </c>
      <c r="H29" s="792">
        <f t="shared" si="2"/>
        <v>7755.7330000000002</v>
      </c>
      <c r="I29" s="792">
        <f t="shared" si="2"/>
        <v>2397.7399999999998</v>
      </c>
      <c r="J29" s="792">
        <f t="shared" si="2"/>
        <v>2391.549</v>
      </c>
      <c r="K29" s="1810"/>
      <c r="L29" s="999"/>
      <c r="M29" s="999"/>
      <c r="N29" s="999"/>
      <c r="O29" s="999"/>
    </row>
    <row r="30" spans="1:15" ht="21" customHeight="1">
      <c r="A30" s="1597">
        <v>2026</v>
      </c>
      <c r="B30" s="1796" t="s">
        <v>242</v>
      </c>
      <c r="C30" s="1791">
        <f t="shared" ref="C30:J30" si="3">C41</f>
        <v>1899.079</v>
      </c>
      <c r="D30" s="1791">
        <f t="shared" si="3"/>
        <v>4038.2849999999999</v>
      </c>
      <c r="E30" s="1791">
        <f t="shared" si="3"/>
        <v>2812.085</v>
      </c>
      <c r="F30" s="1791">
        <f t="shared" si="3"/>
        <v>2969.107</v>
      </c>
      <c r="G30" s="1791">
        <f t="shared" si="3"/>
        <v>2489.364</v>
      </c>
      <c r="H30" s="1791">
        <f t="shared" si="3"/>
        <v>7297.1570000000002</v>
      </c>
      <c r="I30" s="1791">
        <f t="shared" si="3"/>
        <v>2346.8029999999999</v>
      </c>
      <c r="J30" s="1791">
        <f t="shared" si="3"/>
        <v>2265.3359999999998</v>
      </c>
      <c r="K30" s="1810"/>
      <c r="L30" s="999"/>
      <c r="M30" s="999"/>
      <c r="N30" s="999"/>
      <c r="O30" s="999"/>
    </row>
    <row r="31" spans="1:15" s="1976" customFormat="1" ht="21" customHeight="1">
      <c r="A31" s="704">
        <v>2025</v>
      </c>
      <c r="B31" s="1418" t="s">
        <v>427</v>
      </c>
      <c r="C31" s="792">
        <v>1920.9079999999999</v>
      </c>
      <c r="D31" s="792">
        <v>4364.4719999999998</v>
      </c>
      <c r="E31" s="792">
        <v>2800.7530000000002</v>
      </c>
      <c r="F31" s="792">
        <v>3131.3229999999999</v>
      </c>
      <c r="G31" s="792">
        <v>2082.7539999999999</v>
      </c>
      <c r="H31" s="792">
        <v>7204.4880000000003</v>
      </c>
      <c r="I31" s="792">
        <v>2475.5160000000001</v>
      </c>
      <c r="J31" s="792">
        <v>2404.866</v>
      </c>
      <c r="K31" s="2458">
        <v>-2.00000000018008E-3</v>
      </c>
    </row>
    <row r="32" spans="1:15" s="1976" customFormat="1" ht="17.25" customHeight="1">
      <c r="A32" s="704"/>
      <c r="B32" s="1418" t="s">
        <v>428</v>
      </c>
      <c r="C32" s="792">
        <v>1943.81</v>
      </c>
      <c r="D32" s="792">
        <v>4525.268</v>
      </c>
      <c r="E32" s="792">
        <v>2748.5010000000002</v>
      </c>
      <c r="F32" s="792">
        <v>3325.0050000000001</v>
      </c>
      <c r="G32" s="792">
        <v>1965.4059999999999</v>
      </c>
      <c r="H32" s="792">
        <v>7269.8980000000001</v>
      </c>
      <c r="I32" s="792">
        <v>2457.0169999999998</v>
      </c>
      <c r="J32" s="792">
        <v>2436.6590000000001</v>
      </c>
      <c r="K32" s="2458">
        <f>C32-'55'!H32</f>
        <v>0</v>
      </c>
    </row>
    <row r="33" spans="1:11" s="1976" customFormat="1" ht="17.25" customHeight="1">
      <c r="A33" s="704"/>
      <c r="B33" s="1418" t="s">
        <v>429</v>
      </c>
      <c r="C33" s="792">
        <v>1955.6320000000001</v>
      </c>
      <c r="D33" s="792">
        <v>4355.2830000000004</v>
      </c>
      <c r="E33" s="792">
        <v>2772.375</v>
      </c>
      <c r="F33" s="792">
        <v>3177.0160000000001</v>
      </c>
      <c r="G33" s="792">
        <v>1956.432</v>
      </c>
      <c r="H33" s="792">
        <v>7413.2740000000003</v>
      </c>
      <c r="I33" s="792">
        <v>2496.0619999999999</v>
      </c>
      <c r="J33" s="792">
        <v>2431.92</v>
      </c>
      <c r="K33" s="2458">
        <f>C33-'55'!H33</f>
        <v>1.9999999999527063E-3</v>
      </c>
    </row>
    <row r="34" spans="1:11" s="1976" customFormat="1" ht="17.25" customHeight="1">
      <c r="A34" s="704"/>
      <c r="B34" s="1418" t="s">
        <v>430</v>
      </c>
      <c r="C34" s="792">
        <v>1929.183</v>
      </c>
      <c r="D34" s="792">
        <v>4088.8209999999999</v>
      </c>
      <c r="E34" s="792">
        <v>2828.92</v>
      </c>
      <c r="F34" s="792">
        <v>3134.5459999999998</v>
      </c>
      <c r="G34" s="792">
        <v>1964.7170000000001</v>
      </c>
      <c r="H34" s="792">
        <v>7422.067</v>
      </c>
      <c r="I34" s="792">
        <v>2428.7040000000002</v>
      </c>
      <c r="J34" s="792">
        <v>2365.634</v>
      </c>
      <c r="K34" s="2458">
        <f>C34-'55'!H34</f>
        <v>2.9999999999290594E-3</v>
      </c>
    </row>
    <row r="35" spans="1:11" s="1976" customFormat="1" ht="17.25" customHeight="1">
      <c r="A35" s="704"/>
      <c r="B35" s="1418" t="s">
        <v>431</v>
      </c>
      <c r="C35" s="792">
        <v>1948.173</v>
      </c>
      <c r="D35" s="792">
        <v>4153.1390000000001</v>
      </c>
      <c r="E35" s="792">
        <v>2790.8090000000002</v>
      </c>
      <c r="F35" s="792">
        <v>2989.1379999999999</v>
      </c>
      <c r="G35" s="792">
        <v>1888.461</v>
      </c>
      <c r="H35" s="792">
        <v>7529.0749999999998</v>
      </c>
      <c r="I35" s="792">
        <v>2424.538</v>
      </c>
      <c r="J35" s="792">
        <v>2383.63</v>
      </c>
      <c r="K35" s="2458">
        <f>C35-'55'!H35</f>
        <v>2.9999999999290594E-3</v>
      </c>
    </row>
    <row r="36" spans="1:11" s="1976" customFormat="1" ht="17.25" customHeight="1">
      <c r="A36" s="704"/>
      <c r="B36" s="1418" t="s">
        <v>420</v>
      </c>
      <c r="C36" s="792">
        <v>2062.8989999999999</v>
      </c>
      <c r="D36" s="792">
        <v>5076.57</v>
      </c>
      <c r="E36" s="792">
        <v>2771.9609999999998</v>
      </c>
      <c r="F36" s="792">
        <v>3110.7449999999999</v>
      </c>
      <c r="G36" s="792">
        <v>1979.12</v>
      </c>
      <c r="H36" s="792">
        <v>7747.7640000000001</v>
      </c>
      <c r="I36" s="792">
        <v>2434.8110000000001</v>
      </c>
      <c r="J36" s="792">
        <v>2460.4740000000002</v>
      </c>
      <c r="K36" s="2458">
        <f>C36-'55'!H36</f>
        <v>-1.0000000002037268E-3</v>
      </c>
    </row>
    <row r="37" spans="1:11" s="1976" customFormat="1" ht="17.25" customHeight="1">
      <c r="A37" s="704"/>
      <c r="B37" s="1418" t="s">
        <v>421</v>
      </c>
      <c r="C37" s="792">
        <v>2040.316</v>
      </c>
      <c r="D37" s="792">
        <v>4961.7150000000001</v>
      </c>
      <c r="E37" s="792">
        <v>2796.5010000000002</v>
      </c>
      <c r="F37" s="792">
        <v>3093.1889999999999</v>
      </c>
      <c r="G37" s="792">
        <v>2136.2449999999999</v>
      </c>
      <c r="H37" s="792">
        <v>7680.4560000000001</v>
      </c>
      <c r="I37" s="792">
        <v>2398.8359999999998</v>
      </c>
      <c r="J37" s="792">
        <v>2371.393</v>
      </c>
      <c r="K37" s="2458">
        <f>C37-'55'!H37</f>
        <v>-3.9999999999054126E-3</v>
      </c>
    </row>
    <row r="38" spans="1:11" s="1976" customFormat="1" ht="17.25" customHeight="1">
      <c r="A38" s="704"/>
      <c r="B38" s="1418" t="s">
        <v>422</v>
      </c>
      <c r="C38" s="792">
        <v>2066.54</v>
      </c>
      <c r="D38" s="792">
        <v>5076.57</v>
      </c>
      <c r="E38" s="792">
        <v>2867.0320000000002</v>
      </c>
      <c r="F38" s="792">
        <v>3142.5770000000002</v>
      </c>
      <c r="G38" s="792">
        <v>2349.951</v>
      </c>
      <c r="H38" s="792">
        <v>7755.7330000000002</v>
      </c>
      <c r="I38" s="792">
        <v>2397.7399999999998</v>
      </c>
      <c r="J38" s="792">
        <v>2391.549</v>
      </c>
      <c r="K38" s="2458">
        <f>C38-'55'!H38</f>
        <v>0</v>
      </c>
    </row>
    <row r="39" spans="1:11" s="1976" customFormat="1" ht="21" customHeight="1">
      <c r="A39" s="704">
        <v>2026</v>
      </c>
      <c r="B39" s="1418" t="s">
        <v>423</v>
      </c>
      <c r="C39" s="2502">
        <v>2044.09</v>
      </c>
      <c r="D39" s="792">
        <v>4984.6859999999997</v>
      </c>
      <c r="E39" s="792">
        <v>2874.5709999999999</v>
      </c>
      <c r="F39" s="792">
        <v>3120.1529999999998</v>
      </c>
      <c r="G39" s="792">
        <v>2448.4589999999998</v>
      </c>
      <c r="H39" s="792">
        <v>7638.0860000000002</v>
      </c>
      <c r="I39" s="792">
        <v>2436.8580000000002</v>
      </c>
      <c r="J39" s="792">
        <v>2397.9070000000002</v>
      </c>
      <c r="K39" s="2458">
        <f>C39-'55'!H39</f>
        <v>1.9999999999527063E-3</v>
      </c>
    </row>
    <row r="40" spans="1:11" s="1976" customFormat="1" ht="17.25" customHeight="1">
      <c r="A40" s="704"/>
      <c r="B40" s="1418" t="s">
        <v>424</v>
      </c>
      <c r="C40" s="792">
        <v>2060.7159999999999</v>
      </c>
      <c r="D40" s="792">
        <v>5044.41</v>
      </c>
      <c r="E40" s="792">
        <v>2874.1010000000001</v>
      </c>
      <c r="F40" s="792">
        <v>3164.8620000000001</v>
      </c>
      <c r="G40" s="792">
        <v>2534.4760000000001</v>
      </c>
      <c r="H40" s="792">
        <v>7711.085</v>
      </c>
      <c r="I40" s="792">
        <v>2407.5749999999998</v>
      </c>
      <c r="J40" s="792">
        <v>2450.9360000000001</v>
      </c>
      <c r="K40" s="2458">
        <f>C40-'55'!H40</f>
        <v>0</v>
      </c>
    </row>
    <row r="41" spans="1:11" s="1976" customFormat="1" ht="17.25" customHeight="1">
      <c r="A41" s="704"/>
      <c r="B41" s="1418" t="s">
        <v>425</v>
      </c>
      <c r="C41" s="792">
        <v>1899.079</v>
      </c>
      <c r="D41" s="792">
        <v>4038.2849999999999</v>
      </c>
      <c r="E41" s="792">
        <v>2812.085</v>
      </c>
      <c r="F41" s="792">
        <v>2969.107</v>
      </c>
      <c r="G41" s="792">
        <v>2489.364</v>
      </c>
      <c r="H41" s="792">
        <v>7297.1570000000002</v>
      </c>
      <c r="I41" s="792">
        <v>2346.8029999999999</v>
      </c>
      <c r="J41" s="792">
        <v>2265.3359999999998</v>
      </c>
      <c r="K41" s="2458">
        <f>C41-'55'!H41</f>
        <v>0</v>
      </c>
    </row>
    <row r="42" spans="1:11" s="1976" customFormat="1" ht="17.25" customHeight="1">
      <c r="A42" s="704"/>
      <c r="B42" s="1418" t="s">
        <v>426</v>
      </c>
      <c r="C42" s="792">
        <v>1972.0509999999999</v>
      </c>
      <c r="D42" s="792">
        <v>4042.8789999999999</v>
      </c>
      <c r="E42" s="792">
        <v>2523.3919999999998</v>
      </c>
      <c r="F42" s="792">
        <v>2914.9279999999999</v>
      </c>
      <c r="G42" s="792">
        <v>2404.5419999999999</v>
      </c>
      <c r="H42" s="792">
        <v>7755.0559999999996</v>
      </c>
      <c r="I42" s="792">
        <v>2304.3969999999999</v>
      </c>
      <c r="J42" s="792">
        <v>2779.7260000000001</v>
      </c>
      <c r="K42" s="2458">
        <f>C42-'55'!H42</f>
        <v>0</v>
      </c>
    </row>
    <row r="43" spans="1:11" s="1976" customFormat="1" ht="17.25" customHeight="1">
      <c r="A43" s="704"/>
      <c r="B43" s="1418" t="s">
        <v>427</v>
      </c>
      <c r="C43" s="792">
        <v>1979.0509999999999</v>
      </c>
      <c r="D43" s="792">
        <v>4088.8209999999999</v>
      </c>
      <c r="E43" s="792">
        <v>2444.2689999999998</v>
      </c>
      <c r="F43" s="792">
        <v>2928.0160000000001</v>
      </c>
      <c r="G43" s="792">
        <v>2347.4009999999998</v>
      </c>
      <c r="H43" s="792">
        <v>7799.4030000000002</v>
      </c>
      <c r="I43" s="792">
        <v>2288.9349999999999</v>
      </c>
      <c r="J43" s="792">
        <v>2633.8969999999999</v>
      </c>
      <c r="K43" s="2458">
        <f>C43-'55'!H43</f>
        <v>0</v>
      </c>
    </row>
    <row r="44" spans="1:11" ht="21" customHeight="1">
      <c r="A44" s="829" t="s">
        <v>1629</v>
      </c>
      <c r="B44" s="761"/>
      <c r="C44" s="761"/>
      <c r="D44" s="761"/>
      <c r="E44" s="761"/>
      <c r="F44" s="761"/>
      <c r="G44" s="761"/>
      <c r="H44" s="761"/>
      <c r="I44" s="761"/>
      <c r="J44" s="830" t="s">
        <v>1630</v>
      </c>
    </row>
    <row r="46" spans="1:11" ht="14">
      <c r="A46" s="805" t="s">
        <v>1675</v>
      </c>
      <c r="B46" s="743"/>
      <c r="C46" s="269"/>
      <c r="D46" s="743"/>
      <c r="E46" s="743"/>
      <c r="F46" s="743"/>
      <c r="G46" s="743"/>
      <c r="H46" s="743"/>
      <c r="I46" s="743"/>
      <c r="J46" s="743"/>
    </row>
  </sheetData>
  <printOptions horizontalCentered="1" verticalCentered="1"/>
  <pageMargins left="0" right="0" top="0.39" bottom="0" header="0.3" footer="0.3"/>
  <pageSetup scale="74"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42"/>
  <dimension ref="A1:J41"/>
  <sheetViews>
    <sheetView zoomScaleNormal="100" workbookViewId="0">
      <pane ySplit="9" topLeftCell="A25" activePane="bottomLeft" state="frozen"/>
      <selection activeCell="B9" sqref="B9"/>
      <selection pane="bottomLeft" activeCell="N31" sqref="N31"/>
    </sheetView>
  </sheetViews>
  <sheetFormatPr defaultColWidth="9.1796875" defaultRowHeight="12.5"/>
  <cols>
    <col min="1" max="1" width="12.453125" style="744" customWidth="1"/>
    <col min="2" max="2" width="12" style="744" customWidth="1"/>
    <col min="3" max="6" width="20.7265625" style="744" customWidth="1"/>
    <col min="7" max="9" width="17.7265625" style="744" hidden="1" customWidth="1"/>
    <col min="10" max="10" width="18.7265625" style="744" hidden="1" customWidth="1"/>
    <col min="11" max="16384" width="9.1796875" style="744"/>
  </cols>
  <sheetData>
    <row r="1" spans="1:10" s="1100" customFormat="1" ht="19.5" customHeight="1">
      <c r="A1" s="1098" t="s">
        <v>1676</v>
      </c>
      <c r="B1" s="1098"/>
      <c r="C1" s="1098"/>
      <c r="D1" s="1098"/>
      <c r="E1" s="1098"/>
      <c r="F1" s="1098"/>
      <c r="G1" s="1098"/>
      <c r="H1" s="1098"/>
      <c r="I1" s="1098"/>
      <c r="J1" s="1098"/>
    </row>
    <row r="2" spans="1:10" s="1100" customFormat="1" ht="19.5" customHeight="1">
      <c r="A2" s="1098" t="s">
        <v>1677</v>
      </c>
      <c r="B2" s="1098"/>
      <c r="C2" s="1098"/>
      <c r="D2" s="1098"/>
      <c r="E2" s="1098"/>
      <c r="F2" s="1098"/>
      <c r="G2" s="1098"/>
      <c r="H2" s="1098"/>
      <c r="I2" s="1098"/>
      <c r="J2" s="1114"/>
    </row>
    <row r="3" spans="1:10" s="1100" customFormat="1" ht="36" customHeight="1">
      <c r="A3" s="2484" t="s">
        <v>1678</v>
      </c>
      <c r="B3" s="1123"/>
      <c r="C3" s="1123"/>
      <c r="D3" s="1123"/>
      <c r="E3" s="1123"/>
      <c r="F3" s="1123"/>
      <c r="G3" s="1123"/>
      <c r="H3" s="1123"/>
      <c r="I3" s="1123"/>
      <c r="J3" s="1123"/>
    </row>
    <row r="4" spans="1:10" s="1126" customFormat="1" ht="14.9" customHeight="1">
      <c r="A4" s="1124"/>
      <c r="B4" s="1124"/>
      <c r="C4" s="1125"/>
      <c r="D4" s="1125"/>
      <c r="E4" s="1125"/>
      <c r="F4" s="1125"/>
      <c r="G4" s="1125"/>
      <c r="H4" s="1125"/>
      <c r="I4" s="1125"/>
      <c r="J4" s="1125"/>
    </row>
    <row r="5" spans="1:10" s="1134" customFormat="1" ht="20.25" customHeight="1">
      <c r="A5" s="1127"/>
      <c r="B5" s="1128"/>
      <c r="C5" s="1129" t="s">
        <v>1679</v>
      </c>
      <c r="D5" s="1130"/>
      <c r="E5" s="1130"/>
      <c r="F5" s="1131"/>
      <c r="G5" s="1132" t="s">
        <v>1680</v>
      </c>
      <c r="H5" s="1130"/>
      <c r="I5" s="1131"/>
      <c r="J5" s="1133" t="s">
        <v>1681</v>
      </c>
    </row>
    <row r="6" spans="1:10" s="837" customFormat="1" ht="20.25" customHeight="1">
      <c r="A6" s="838" t="s">
        <v>1595</v>
      </c>
      <c r="B6" s="839"/>
      <c r="C6" s="840" t="s">
        <v>1682</v>
      </c>
      <c r="D6" s="841"/>
      <c r="E6" s="841"/>
      <c r="F6" s="842"/>
      <c r="G6" s="840" t="s">
        <v>1683</v>
      </c>
      <c r="H6" s="841"/>
      <c r="I6" s="841"/>
      <c r="J6" s="843" t="s">
        <v>1684</v>
      </c>
    </row>
    <row r="7" spans="1:10" s="1134" customFormat="1" ht="20.25" customHeight="1">
      <c r="A7" s="1163" t="s">
        <v>1603</v>
      </c>
      <c r="B7" s="1164"/>
      <c r="C7" s="1165" t="s">
        <v>966</v>
      </c>
      <c r="D7" s="1165" t="s">
        <v>1685</v>
      </c>
      <c r="E7" s="1165" t="s">
        <v>1686</v>
      </c>
      <c r="F7" s="1165" t="s">
        <v>390</v>
      </c>
      <c r="G7" s="1165" t="s">
        <v>966</v>
      </c>
      <c r="H7" s="1165" t="s">
        <v>1685</v>
      </c>
      <c r="I7" s="1166" t="s">
        <v>1686</v>
      </c>
      <c r="J7" s="1167" t="s">
        <v>1687</v>
      </c>
    </row>
    <row r="8" spans="1:10" s="837" customFormat="1" ht="20.25" customHeight="1">
      <c r="A8" s="844"/>
      <c r="B8" s="845"/>
      <c r="C8" s="2776" t="s">
        <v>999</v>
      </c>
      <c r="D8" s="2776" t="s">
        <v>972</v>
      </c>
      <c r="E8" s="2776" t="s">
        <v>1046</v>
      </c>
      <c r="F8" s="2776" t="s">
        <v>400</v>
      </c>
      <c r="G8" s="2776" t="s">
        <v>999</v>
      </c>
      <c r="H8" s="2776" t="s">
        <v>972</v>
      </c>
      <c r="I8" s="2776" t="s">
        <v>1046</v>
      </c>
      <c r="J8" s="846" t="s">
        <v>1688</v>
      </c>
    </row>
    <row r="9" spans="1:10" s="837" customFormat="1" ht="20.25" customHeight="1">
      <c r="A9" s="2101"/>
      <c r="B9" s="847"/>
      <c r="C9" s="2777"/>
      <c r="D9" s="2777"/>
      <c r="E9" s="2777"/>
      <c r="F9" s="2777"/>
      <c r="G9" s="2777"/>
      <c r="H9" s="2777"/>
      <c r="I9" s="2777"/>
      <c r="J9" s="848" t="s">
        <v>767</v>
      </c>
    </row>
    <row r="10" spans="1:10" s="772" customFormat="1" ht="24" customHeight="1">
      <c r="A10" s="704">
        <v>2016</v>
      </c>
      <c r="B10" s="799"/>
      <c r="C10" s="797">
        <v>173464.86199999999</v>
      </c>
      <c r="D10" s="797">
        <v>45516.493999999999</v>
      </c>
      <c r="E10" s="797">
        <v>29926.627</v>
      </c>
      <c r="F10" s="850">
        <v>248907.98300000001</v>
      </c>
      <c r="G10" s="798" t="s">
        <v>606</v>
      </c>
      <c r="H10" s="798" t="s">
        <v>1689</v>
      </c>
      <c r="I10" s="798" t="s">
        <v>606</v>
      </c>
      <c r="J10" s="849" t="s">
        <v>606</v>
      </c>
    </row>
    <row r="11" spans="1:10" s="772" customFormat="1" ht="16.5" customHeight="1">
      <c r="A11" s="704">
        <v>2017</v>
      </c>
      <c r="B11" s="799"/>
      <c r="C11" s="1233">
        <v>288357</v>
      </c>
      <c r="D11" s="1233">
        <v>94549</v>
      </c>
      <c r="E11" s="1233">
        <v>39771</v>
      </c>
      <c r="F11" s="1233">
        <f>SUM(C11:E11)</f>
        <v>422677</v>
      </c>
      <c r="G11" s="798" t="s">
        <v>606</v>
      </c>
      <c r="H11" s="798" t="s">
        <v>1689</v>
      </c>
      <c r="I11" s="798" t="s">
        <v>606</v>
      </c>
      <c r="J11" s="849" t="s">
        <v>606</v>
      </c>
    </row>
    <row r="12" spans="1:10" s="772" customFormat="1" ht="16.5" customHeight="1">
      <c r="A12" s="704">
        <v>2018</v>
      </c>
      <c r="B12" s="799"/>
      <c r="C12" s="1233">
        <v>357427.24830000004</v>
      </c>
      <c r="D12" s="1233">
        <v>185370.85699999999</v>
      </c>
      <c r="E12" s="1233">
        <v>104867.47100000001</v>
      </c>
      <c r="F12" s="1233">
        <v>647665.57630000007</v>
      </c>
      <c r="G12" s="798" t="s">
        <v>606</v>
      </c>
      <c r="H12" s="798" t="s">
        <v>606</v>
      </c>
      <c r="I12" s="798" t="s">
        <v>606</v>
      </c>
      <c r="J12" s="849" t="s">
        <v>606</v>
      </c>
    </row>
    <row r="13" spans="1:10" s="772" customFormat="1" ht="16.5" customHeight="1">
      <c r="A13" s="704">
        <v>2019</v>
      </c>
      <c r="B13" s="799"/>
      <c r="C13" s="1835">
        <v>345309</v>
      </c>
      <c r="D13" s="1233">
        <v>151875</v>
      </c>
      <c r="E13" s="1233">
        <v>75628</v>
      </c>
      <c r="F13" s="1233">
        <v>572812</v>
      </c>
      <c r="G13" s="798" t="s">
        <v>606</v>
      </c>
      <c r="H13" s="798" t="s">
        <v>606</v>
      </c>
      <c r="I13" s="798" t="s">
        <v>606</v>
      </c>
      <c r="J13" s="849" t="s">
        <v>606</v>
      </c>
    </row>
    <row r="14" spans="1:10" s="772" customFormat="1" ht="16.5" customHeight="1">
      <c r="A14" s="704">
        <v>2020</v>
      </c>
      <c r="B14" s="799"/>
      <c r="C14" s="797">
        <v>318289.51189999998</v>
      </c>
      <c r="D14" s="797">
        <v>80420.298999999999</v>
      </c>
      <c r="E14" s="797">
        <v>26889.485000000001</v>
      </c>
      <c r="F14" s="1233">
        <v>425599.29589999997</v>
      </c>
      <c r="G14" s="798" t="s">
        <v>606</v>
      </c>
      <c r="H14" s="798" t="s">
        <v>606</v>
      </c>
      <c r="I14" s="798" t="s">
        <v>606</v>
      </c>
      <c r="J14" s="849" t="s">
        <v>606</v>
      </c>
    </row>
    <row r="15" spans="1:10" s="772" customFormat="1" ht="16.5" customHeight="1">
      <c r="A15" s="704">
        <v>2021</v>
      </c>
      <c r="B15" s="799"/>
      <c r="C15" s="797">
        <v>293389.19</v>
      </c>
      <c r="D15" s="797">
        <v>72011.910999999993</v>
      </c>
      <c r="E15" s="797">
        <v>26014.940999999999</v>
      </c>
      <c r="F15" s="1233">
        <v>391416.04200000002</v>
      </c>
      <c r="G15" s="798" t="s">
        <v>606</v>
      </c>
      <c r="H15" s="798" t="s">
        <v>606</v>
      </c>
      <c r="I15" s="798" t="s">
        <v>606</v>
      </c>
      <c r="J15" s="849" t="s">
        <v>606</v>
      </c>
    </row>
    <row r="16" spans="1:10" s="772" customFormat="1" ht="16.5" customHeight="1">
      <c r="A16" s="704">
        <v>2022</v>
      </c>
      <c r="B16" s="799"/>
      <c r="C16" s="797">
        <v>228118</v>
      </c>
      <c r="D16" s="797">
        <v>65640</v>
      </c>
      <c r="E16" s="797">
        <v>45820</v>
      </c>
      <c r="F16" s="1233">
        <v>339578</v>
      </c>
      <c r="G16" s="798" t="s">
        <v>606</v>
      </c>
      <c r="H16" s="798" t="s">
        <v>606</v>
      </c>
      <c r="I16" s="798" t="s">
        <v>606</v>
      </c>
      <c r="J16" s="849" t="s">
        <v>606</v>
      </c>
    </row>
    <row r="17" spans="1:10" s="772" customFormat="1" ht="16.5" customHeight="1">
      <c r="A17" s="704">
        <v>2023</v>
      </c>
      <c r="B17" s="799"/>
      <c r="C17" s="797">
        <v>256854</v>
      </c>
      <c r="D17" s="797">
        <v>95908</v>
      </c>
      <c r="E17" s="797">
        <v>67715</v>
      </c>
      <c r="F17" s="1233">
        <v>420477</v>
      </c>
      <c r="G17" s="798" t="s">
        <v>606</v>
      </c>
      <c r="H17" s="798" t="s">
        <v>606</v>
      </c>
      <c r="I17" s="798" t="s">
        <v>606</v>
      </c>
      <c r="J17" s="849" t="s">
        <v>606</v>
      </c>
    </row>
    <row r="18" spans="1:10" s="772" customFormat="1" ht="16.5" customHeight="1">
      <c r="A18" s="704">
        <v>2024</v>
      </c>
      <c r="B18" s="799"/>
      <c r="C18" s="797">
        <f>SUM(C28:C31)</f>
        <v>393888</v>
      </c>
      <c r="D18" s="797">
        <f t="shared" ref="D18:E18" si="0">SUM(D28:D31)</f>
        <v>186678</v>
      </c>
      <c r="E18" s="797">
        <f t="shared" si="0"/>
        <v>59032</v>
      </c>
      <c r="F18" s="1233">
        <f>SUM(C18:E18)</f>
        <v>639598</v>
      </c>
      <c r="G18" s="1600" t="s">
        <v>606</v>
      </c>
      <c r="H18" s="1600" t="s">
        <v>606</v>
      </c>
      <c r="I18" s="1600" t="s">
        <v>606</v>
      </c>
      <c r="J18" s="1601" t="s">
        <v>606</v>
      </c>
    </row>
    <row r="19" spans="1:10" s="772" customFormat="1" ht="16.5" customHeight="1">
      <c r="A19" s="1597">
        <v>2025</v>
      </c>
      <c r="B19" s="1598"/>
      <c r="C19" s="1789">
        <f>SUM(C32:C35)</f>
        <v>331752.44799999997</v>
      </c>
      <c r="D19" s="1789">
        <f t="shared" ref="D19:E19" si="1">SUM(D32:D35)</f>
        <v>878112.54700000002</v>
      </c>
      <c r="E19" s="1789">
        <f t="shared" si="1"/>
        <v>28283.59</v>
      </c>
      <c r="F19" s="1599">
        <f>SUM(C19:E19)</f>
        <v>1238148.5850000002</v>
      </c>
      <c r="G19" s="1600" t="s">
        <v>606</v>
      </c>
      <c r="H19" s="1600" t="s">
        <v>606</v>
      </c>
      <c r="I19" s="1600" t="s">
        <v>606</v>
      </c>
      <c r="J19" s="1601" t="s">
        <v>606</v>
      </c>
    </row>
    <row r="20" spans="1:10" s="772" customFormat="1" ht="20.25" customHeight="1">
      <c r="A20" s="704">
        <v>2022</v>
      </c>
      <c r="B20" s="801" t="s">
        <v>242</v>
      </c>
      <c r="C20" s="797">
        <v>74479</v>
      </c>
      <c r="D20" s="797">
        <v>19877</v>
      </c>
      <c r="E20" s="797">
        <v>12548</v>
      </c>
      <c r="F20" s="797">
        <f t="shared" ref="F20:F23" si="2">SUM(C20:E20)</f>
        <v>106904</v>
      </c>
      <c r="G20" s="798" t="s">
        <v>606</v>
      </c>
      <c r="H20" s="798" t="s">
        <v>606</v>
      </c>
      <c r="I20" s="798" t="s">
        <v>606</v>
      </c>
      <c r="J20" s="849" t="s">
        <v>606</v>
      </c>
    </row>
    <row r="21" spans="1:10" s="772" customFormat="1" ht="15.75" customHeight="1">
      <c r="A21" s="704"/>
      <c r="B21" s="801" t="s">
        <v>243</v>
      </c>
      <c r="C21" s="797">
        <v>65078</v>
      </c>
      <c r="D21" s="797">
        <v>19493</v>
      </c>
      <c r="E21" s="797">
        <v>13832</v>
      </c>
      <c r="F21" s="797">
        <f t="shared" si="2"/>
        <v>98403</v>
      </c>
      <c r="G21" s="798" t="s">
        <v>606</v>
      </c>
      <c r="H21" s="798" t="s">
        <v>606</v>
      </c>
      <c r="I21" s="798" t="s">
        <v>606</v>
      </c>
      <c r="J21" s="849" t="s">
        <v>606</v>
      </c>
    </row>
    <row r="22" spans="1:10" s="772" customFormat="1" ht="15.75" customHeight="1">
      <c r="A22" s="704"/>
      <c r="B22" s="801" t="s">
        <v>240</v>
      </c>
      <c r="C22" s="797">
        <v>46513</v>
      </c>
      <c r="D22" s="797">
        <v>12582</v>
      </c>
      <c r="E22" s="797">
        <v>13782</v>
      </c>
      <c r="F22" s="797">
        <f t="shared" si="2"/>
        <v>72877</v>
      </c>
      <c r="G22" s="798" t="s">
        <v>606</v>
      </c>
      <c r="H22" s="798" t="s">
        <v>606</v>
      </c>
      <c r="I22" s="798" t="s">
        <v>606</v>
      </c>
      <c r="J22" s="849" t="s">
        <v>606</v>
      </c>
    </row>
    <row r="23" spans="1:10" s="772" customFormat="1" ht="15.75" customHeight="1">
      <c r="A23" s="704"/>
      <c r="B23" s="801" t="s">
        <v>241</v>
      </c>
      <c r="C23" s="797">
        <v>42048</v>
      </c>
      <c r="D23" s="797">
        <v>13688</v>
      </c>
      <c r="E23" s="797">
        <v>5658</v>
      </c>
      <c r="F23" s="797">
        <f t="shared" si="2"/>
        <v>61394</v>
      </c>
      <c r="G23" s="798" t="s">
        <v>606</v>
      </c>
      <c r="H23" s="798" t="s">
        <v>606</v>
      </c>
      <c r="I23" s="798" t="s">
        <v>606</v>
      </c>
      <c r="J23" s="849" t="s">
        <v>606</v>
      </c>
    </row>
    <row r="24" spans="1:10" s="772" customFormat="1" ht="20.25" customHeight="1">
      <c r="A24" s="704">
        <v>2023</v>
      </c>
      <c r="B24" s="801" t="s">
        <v>242</v>
      </c>
      <c r="C24" s="797">
        <v>65714</v>
      </c>
      <c r="D24" s="797">
        <v>32527</v>
      </c>
      <c r="E24" s="797">
        <v>31837</v>
      </c>
      <c r="F24" s="797">
        <f t="shared" ref="F24:F25" si="3">SUM(C24:E24)</f>
        <v>130078</v>
      </c>
      <c r="G24" s="798" t="s">
        <v>606</v>
      </c>
      <c r="H24" s="798" t="s">
        <v>606</v>
      </c>
      <c r="I24" s="798" t="s">
        <v>606</v>
      </c>
      <c r="J24" s="849" t="s">
        <v>606</v>
      </c>
    </row>
    <row r="25" spans="1:10" s="772" customFormat="1" ht="15.75" customHeight="1">
      <c r="A25" s="704"/>
      <c r="B25" s="801" t="s">
        <v>243</v>
      </c>
      <c r="C25" s="797">
        <v>68791</v>
      </c>
      <c r="D25" s="797">
        <v>27153</v>
      </c>
      <c r="E25" s="1835">
        <v>12589</v>
      </c>
      <c r="F25" s="797">
        <f t="shared" si="3"/>
        <v>108533</v>
      </c>
      <c r="G25" s="798" t="s">
        <v>606</v>
      </c>
      <c r="H25" s="798" t="s">
        <v>606</v>
      </c>
      <c r="I25" s="798" t="s">
        <v>606</v>
      </c>
      <c r="J25" s="849" t="s">
        <v>606</v>
      </c>
    </row>
    <row r="26" spans="1:10" s="772" customFormat="1" ht="15.75" customHeight="1">
      <c r="A26" s="704"/>
      <c r="B26" s="801" t="s">
        <v>240</v>
      </c>
      <c r="C26" s="1835">
        <v>60989</v>
      </c>
      <c r="D26" s="797">
        <v>10001</v>
      </c>
      <c r="E26" s="797">
        <v>10450</v>
      </c>
      <c r="F26" s="797">
        <f t="shared" ref="F26:F28" si="4">SUM(C26:E26)</f>
        <v>81440</v>
      </c>
      <c r="G26" s="798" t="s">
        <v>606</v>
      </c>
      <c r="H26" s="798" t="s">
        <v>606</v>
      </c>
      <c r="I26" s="798" t="s">
        <v>606</v>
      </c>
      <c r="J26" s="849" t="s">
        <v>606</v>
      </c>
    </row>
    <row r="27" spans="1:10" s="772" customFormat="1" ht="15.75" customHeight="1">
      <c r="A27" s="704"/>
      <c r="B27" s="801" t="s">
        <v>241</v>
      </c>
      <c r="C27" s="797">
        <v>61360</v>
      </c>
      <c r="D27" s="797">
        <v>26227</v>
      </c>
      <c r="E27" s="797">
        <v>12839</v>
      </c>
      <c r="F27" s="797">
        <f t="shared" si="4"/>
        <v>100426</v>
      </c>
      <c r="G27" s="798" t="s">
        <v>606</v>
      </c>
      <c r="H27" s="798" t="s">
        <v>606</v>
      </c>
      <c r="I27" s="798" t="s">
        <v>606</v>
      </c>
      <c r="J27" s="791" t="s">
        <v>606</v>
      </c>
    </row>
    <row r="28" spans="1:10" s="772" customFormat="1" ht="20.25" customHeight="1">
      <c r="A28" s="704">
        <v>2024</v>
      </c>
      <c r="B28" s="801" t="s">
        <v>242</v>
      </c>
      <c r="C28" s="797">
        <v>103610</v>
      </c>
      <c r="D28" s="797">
        <v>38216</v>
      </c>
      <c r="E28" s="797">
        <v>28109</v>
      </c>
      <c r="F28" s="797">
        <f t="shared" si="4"/>
        <v>169935</v>
      </c>
      <c r="G28" s="798" t="s">
        <v>606</v>
      </c>
      <c r="H28" s="798" t="s">
        <v>606</v>
      </c>
      <c r="I28" s="798" t="s">
        <v>606</v>
      </c>
      <c r="J28" s="849" t="s">
        <v>606</v>
      </c>
    </row>
    <row r="29" spans="1:10" s="772" customFormat="1" ht="15.75" customHeight="1">
      <c r="A29" s="704"/>
      <c r="B29" s="801" t="s">
        <v>243</v>
      </c>
      <c r="C29" s="797">
        <v>106307</v>
      </c>
      <c r="D29" s="797">
        <v>29925</v>
      </c>
      <c r="E29" s="797">
        <v>8474</v>
      </c>
      <c r="F29" s="797">
        <f t="shared" ref="F29" si="5">SUM(C29:E29)</f>
        <v>144706</v>
      </c>
      <c r="G29" s="798" t="s">
        <v>606</v>
      </c>
      <c r="H29" s="798" t="s">
        <v>606</v>
      </c>
      <c r="I29" s="798" t="s">
        <v>606</v>
      </c>
      <c r="J29" s="849" t="s">
        <v>606</v>
      </c>
    </row>
    <row r="30" spans="1:10" s="772" customFormat="1" ht="15.75" customHeight="1">
      <c r="A30" s="704"/>
      <c r="B30" s="801" t="s">
        <v>240</v>
      </c>
      <c r="C30" s="797">
        <v>144828</v>
      </c>
      <c r="D30" s="797">
        <v>74782</v>
      </c>
      <c r="E30" s="797">
        <v>15675</v>
      </c>
      <c r="F30" s="797">
        <f t="shared" ref="F30" si="6">SUM(C30:E30)</f>
        <v>235285</v>
      </c>
      <c r="G30" s="798" t="s">
        <v>606</v>
      </c>
      <c r="H30" s="798" t="s">
        <v>606</v>
      </c>
      <c r="I30" s="798" t="s">
        <v>606</v>
      </c>
      <c r="J30" s="849" t="s">
        <v>606</v>
      </c>
    </row>
    <row r="31" spans="1:10" s="772" customFormat="1" ht="15.75" customHeight="1">
      <c r="A31" s="704"/>
      <c r="B31" s="801" t="s">
        <v>241</v>
      </c>
      <c r="C31" s="797">
        <v>39143</v>
      </c>
      <c r="D31" s="1835">
        <v>43755</v>
      </c>
      <c r="E31" s="797">
        <v>6774</v>
      </c>
      <c r="F31" s="797">
        <f t="shared" ref="F31" si="7">SUM(C31:E31)</f>
        <v>89672</v>
      </c>
      <c r="G31" s="798" t="s">
        <v>606</v>
      </c>
      <c r="H31" s="798" t="s">
        <v>606</v>
      </c>
      <c r="I31" s="798" t="s">
        <v>606</v>
      </c>
      <c r="J31" s="849" t="s">
        <v>606</v>
      </c>
    </row>
    <row r="32" spans="1:10" s="772" customFormat="1" ht="20.25" customHeight="1">
      <c r="A32" s="704">
        <v>2025</v>
      </c>
      <c r="B32" s="801" t="s">
        <v>242</v>
      </c>
      <c r="C32" s="797">
        <v>89066.448000000004</v>
      </c>
      <c r="D32" s="797">
        <v>742903.54700000002</v>
      </c>
      <c r="E32" s="797">
        <v>4567.59</v>
      </c>
      <c r="F32" s="797">
        <f t="shared" ref="F32:F34" si="8">SUM(C32:E32)</f>
        <v>836537.58499999996</v>
      </c>
      <c r="G32" s="798" t="s">
        <v>606</v>
      </c>
      <c r="H32" s="798" t="s">
        <v>606</v>
      </c>
      <c r="I32" s="798" t="s">
        <v>606</v>
      </c>
      <c r="J32" s="849" t="s">
        <v>606</v>
      </c>
    </row>
    <row r="33" spans="1:10" s="772" customFormat="1" ht="15.75" customHeight="1">
      <c r="A33" s="704"/>
      <c r="B33" s="801" t="s">
        <v>243</v>
      </c>
      <c r="C33" s="797">
        <v>78700</v>
      </c>
      <c r="D33" s="797">
        <v>10772</v>
      </c>
      <c r="E33" s="1835">
        <v>12108</v>
      </c>
      <c r="F33" s="797">
        <f t="shared" si="8"/>
        <v>101580</v>
      </c>
      <c r="G33" s="798" t="s">
        <v>606</v>
      </c>
      <c r="H33" s="798" t="s">
        <v>606</v>
      </c>
      <c r="I33" s="798" t="s">
        <v>606</v>
      </c>
      <c r="J33" s="849" t="s">
        <v>606</v>
      </c>
    </row>
    <row r="34" spans="1:10" s="772" customFormat="1" ht="15.75" customHeight="1">
      <c r="A34" s="704"/>
      <c r="B34" s="801" t="s">
        <v>240</v>
      </c>
      <c r="C34" s="797">
        <v>70922</v>
      </c>
      <c r="D34" s="797">
        <v>29234</v>
      </c>
      <c r="E34" s="797">
        <v>4044</v>
      </c>
      <c r="F34" s="797">
        <f t="shared" si="8"/>
        <v>104200</v>
      </c>
      <c r="G34" s="798"/>
      <c r="H34" s="798"/>
      <c r="I34" s="798"/>
      <c r="J34" s="849"/>
    </row>
    <row r="35" spans="1:10" s="772" customFormat="1" ht="15.75" customHeight="1">
      <c r="A35" s="704"/>
      <c r="B35" s="801" t="s">
        <v>241</v>
      </c>
      <c r="C35" s="797">
        <v>93064</v>
      </c>
      <c r="D35" s="797">
        <v>95203</v>
      </c>
      <c r="E35" s="797">
        <v>7564</v>
      </c>
      <c r="F35" s="797">
        <f t="shared" ref="F35:F36" si="9">SUM(C35:E35)</f>
        <v>195831</v>
      </c>
      <c r="G35" s="798"/>
      <c r="H35" s="798"/>
      <c r="I35" s="798"/>
      <c r="J35" s="849"/>
    </row>
    <row r="36" spans="1:10" s="772" customFormat="1" ht="20.25" customHeight="1">
      <c r="A36" s="704">
        <v>2026</v>
      </c>
      <c r="B36" s="801" t="s">
        <v>242</v>
      </c>
      <c r="C36" s="797">
        <v>56348.561999999998</v>
      </c>
      <c r="D36" s="797">
        <v>19163.246999999999</v>
      </c>
      <c r="E36" s="797">
        <v>22743.373</v>
      </c>
      <c r="F36" s="797">
        <f t="shared" si="9"/>
        <v>98255.182000000001</v>
      </c>
      <c r="G36" s="798"/>
      <c r="H36" s="798"/>
      <c r="I36" s="798"/>
      <c r="J36" s="849"/>
    </row>
    <row r="37" spans="1:10" ht="21.25" customHeight="1">
      <c r="A37" s="761" t="s">
        <v>1690</v>
      </c>
      <c r="B37" s="761"/>
      <c r="C37" s="761"/>
      <c r="D37" s="761"/>
      <c r="E37" s="761"/>
      <c r="F37" s="1008" t="s">
        <v>1691</v>
      </c>
      <c r="G37" s="761"/>
      <c r="H37" s="761"/>
      <c r="I37" s="761"/>
      <c r="J37" s="1008" t="s">
        <v>1691</v>
      </c>
    </row>
    <row r="38" spans="1:10" ht="27.75" customHeight="1">
      <c r="A38" s="2774" t="s">
        <v>1692</v>
      </c>
      <c r="B38" s="2774"/>
      <c r="C38" s="2774"/>
      <c r="D38" s="2775" t="s">
        <v>1693</v>
      </c>
      <c r="E38" s="2775"/>
      <c r="F38" s="2775"/>
      <c r="J38" s="832" t="s">
        <v>1694</v>
      </c>
    </row>
    <row r="39" spans="1:10" ht="13.75" customHeight="1">
      <c r="A39" s="766" t="s">
        <v>1629</v>
      </c>
      <c r="F39" s="832" t="s">
        <v>1630</v>
      </c>
      <c r="J39" s="832" t="s">
        <v>1630</v>
      </c>
    </row>
    <row r="40" spans="1:10" ht="13.75" customHeight="1">
      <c r="A40" s="851"/>
      <c r="J40" s="852"/>
    </row>
    <row r="41" spans="1:10" ht="14">
      <c r="A41" s="805" t="s">
        <v>1695</v>
      </c>
      <c r="B41" s="743"/>
      <c r="C41" s="743"/>
      <c r="D41" s="743"/>
      <c r="E41" s="743"/>
      <c r="F41" s="743"/>
      <c r="G41" s="743"/>
      <c r="H41" s="743"/>
      <c r="I41" s="743"/>
      <c r="J41" s="743"/>
    </row>
  </sheetData>
  <mergeCells count="9">
    <mergeCell ref="A38:C38"/>
    <mergeCell ref="D38:F38"/>
    <mergeCell ref="I8:I9"/>
    <mergeCell ref="C8:C9"/>
    <mergeCell ref="D8:D9"/>
    <mergeCell ref="E8:E9"/>
    <mergeCell ref="F8:F9"/>
    <mergeCell ref="G8:G9"/>
    <mergeCell ref="H8:H9"/>
  </mergeCells>
  <printOptions horizontalCentered="1" verticalCentered="1"/>
  <pageMargins left="0" right="0" top="0" bottom="0" header="0.3" footer="0.3"/>
  <pageSetup paperSize="9" scale="7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3"/>
  <dimension ref="A1:F43"/>
  <sheetViews>
    <sheetView zoomScale="80" zoomScaleNormal="80" workbookViewId="0">
      <pane ySplit="7" topLeftCell="A37" activePane="bottomLeft" state="frozen"/>
      <selection activeCell="B9" sqref="B9"/>
      <selection pane="bottomLeft" activeCell="D1" sqref="D1"/>
    </sheetView>
  </sheetViews>
  <sheetFormatPr defaultColWidth="9.1796875" defaultRowHeight="12.5"/>
  <cols>
    <col min="1" max="1" width="19.26953125" style="153" customWidth="1"/>
    <col min="2" max="2" width="25.7265625" style="153" customWidth="1"/>
    <col min="3" max="4" width="17.7265625" style="153" customWidth="1"/>
    <col min="5" max="5" width="18.1796875" style="153" customWidth="1"/>
    <col min="6" max="6" width="9.7265625" style="153" customWidth="1"/>
    <col min="7" max="7" width="9.81640625" style="153" bestFit="1" customWidth="1"/>
    <col min="8" max="16384" width="9.1796875" style="153"/>
  </cols>
  <sheetData>
    <row r="1" spans="1:6" s="1118" customFormat="1" ht="18" customHeight="1">
      <c r="A1" s="1117" t="s">
        <v>1696</v>
      </c>
      <c r="B1" s="1091"/>
      <c r="C1" s="1091"/>
      <c r="D1" s="1091"/>
      <c r="E1" s="1091"/>
      <c r="F1" s="2780" t="s">
        <v>1697</v>
      </c>
    </row>
    <row r="2" spans="1:6" s="1118" customFormat="1" ht="18">
      <c r="A2" s="1117" t="s">
        <v>1698</v>
      </c>
      <c r="B2" s="1091"/>
      <c r="C2" s="1091"/>
      <c r="D2" s="1091"/>
      <c r="E2" s="1091"/>
      <c r="F2" s="2780"/>
    </row>
    <row r="3" spans="1:6" s="1118" customFormat="1" ht="18">
      <c r="A3" s="1117" t="s">
        <v>1699</v>
      </c>
      <c r="B3" s="1091"/>
      <c r="C3" s="1091"/>
      <c r="D3" s="1091"/>
      <c r="E3" s="1091"/>
      <c r="F3" s="2780"/>
    </row>
    <row r="4" spans="1:6" s="1118" customFormat="1" ht="14.25" customHeight="1">
      <c r="A4" s="1118" t="s">
        <v>1700</v>
      </c>
      <c r="E4" s="1119" t="s">
        <v>1701</v>
      </c>
      <c r="F4" s="2780"/>
    </row>
    <row r="5" spans="1:6" s="1118" customFormat="1" ht="21.25" customHeight="1">
      <c r="A5" s="2778" t="s">
        <v>387</v>
      </c>
      <c r="B5" s="2778" t="s">
        <v>1702</v>
      </c>
      <c r="C5" s="1121" t="s">
        <v>1703</v>
      </c>
      <c r="D5" s="1122" t="s">
        <v>1704</v>
      </c>
      <c r="E5" s="1120" t="s">
        <v>1705</v>
      </c>
      <c r="F5" s="2780"/>
    </row>
    <row r="6" spans="1:6" s="855" customFormat="1" ht="28.5" customHeight="1">
      <c r="A6" s="2779"/>
      <c r="B6" s="2779"/>
      <c r="C6" s="2019" t="s">
        <v>1706</v>
      </c>
      <c r="D6" s="853" t="s">
        <v>1707</v>
      </c>
      <c r="E6" s="854" t="s">
        <v>1708</v>
      </c>
      <c r="F6" s="2780"/>
    </row>
    <row r="7" spans="1:6" s="1162" customFormat="1" ht="41.25" customHeight="1">
      <c r="A7" s="1160" t="s">
        <v>395</v>
      </c>
      <c r="B7" s="1160" t="s">
        <v>1709</v>
      </c>
      <c r="C7" s="1529" t="s">
        <v>1710</v>
      </c>
      <c r="D7" s="1161" t="s">
        <v>1711</v>
      </c>
      <c r="E7" s="1160" t="s">
        <v>1712</v>
      </c>
      <c r="F7" s="2780"/>
    </row>
    <row r="8" spans="1:6" s="449" customFormat="1" ht="25" customHeight="1">
      <c r="A8" s="856" t="s">
        <v>1717</v>
      </c>
      <c r="B8" s="857" t="s">
        <v>1713</v>
      </c>
      <c r="C8" s="2021">
        <v>272037</v>
      </c>
      <c r="D8" s="2021">
        <v>448668</v>
      </c>
      <c r="E8" s="2021">
        <f t="shared" ref="E8:E39" si="0">SUM(C8:D8)</f>
        <v>720705</v>
      </c>
      <c r="F8" s="2780"/>
    </row>
    <row r="9" spans="1:6" s="449" customFormat="1" ht="18.649999999999999" customHeight="1">
      <c r="A9" s="858"/>
      <c r="B9" s="859" t="s">
        <v>1714</v>
      </c>
      <c r="C9" s="2022">
        <v>824749</v>
      </c>
      <c r="D9" s="2022">
        <v>1759706</v>
      </c>
      <c r="E9" s="2022">
        <f t="shared" si="0"/>
        <v>2584455</v>
      </c>
      <c r="F9" s="2780"/>
    </row>
    <row r="10" spans="1:6" s="449" customFormat="1" ht="18.649999999999999" customHeight="1">
      <c r="A10" s="858"/>
      <c r="B10" s="860" t="s">
        <v>1715</v>
      </c>
      <c r="C10" s="2022">
        <v>6532787</v>
      </c>
      <c r="D10" s="2022">
        <v>1712974</v>
      </c>
      <c r="E10" s="2023">
        <f t="shared" si="0"/>
        <v>8245761</v>
      </c>
      <c r="F10" s="2780"/>
    </row>
    <row r="11" spans="1:6" s="449" customFormat="1" ht="18.649999999999999" customHeight="1">
      <c r="A11" s="861"/>
      <c r="B11" s="862" t="s">
        <v>1716</v>
      </c>
      <c r="C11" s="863">
        <f>SUM(C8:C10)</f>
        <v>7629573</v>
      </c>
      <c r="D11" s="863">
        <f>SUM(D8:D10)</f>
        <v>3921348</v>
      </c>
      <c r="E11" s="863">
        <f t="shared" si="0"/>
        <v>11550921</v>
      </c>
      <c r="F11" s="2780"/>
    </row>
    <row r="12" spans="1:6" s="449" customFormat="1" ht="25" customHeight="1">
      <c r="A12" s="856" t="s">
        <v>1718</v>
      </c>
      <c r="B12" s="857" t="s">
        <v>1713</v>
      </c>
      <c r="C12" s="2021">
        <v>279943</v>
      </c>
      <c r="D12" s="2021">
        <v>433891</v>
      </c>
      <c r="E12" s="2021">
        <f t="shared" si="0"/>
        <v>713834</v>
      </c>
      <c r="F12" s="2780"/>
    </row>
    <row r="13" spans="1:6" s="449" customFormat="1" ht="18.649999999999999" customHeight="1">
      <c r="A13" s="858"/>
      <c r="B13" s="859" t="s">
        <v>1714</v>
      </c>
      <c r="C13" s="2022">
        <v>840459</v>
      </c>
      <c r="D13" s="2022">
        <v>1415973</v>
      </c>
      <c r="E13" s="2022">
        <f t="shared" si="0"/>
        <v>2256432</v>
      </c>
      <c r="F13" s="2780"/>
    </row>
    <row r="14" spans="1:6" s="449" customFormat="1" ht="18.649999999999999" customHeight="1">
      <c r="A14" s="858"/>
      <c r="B14" s="860" t="s">
        <v>1715</v>
      </c>
      <c r="C14" s="2022">
        <v>6449427</v>
      </c>
      <c r="D14" s="2022">
        <v>1759064</v>
      </c>
      <c r="E14" s="2023">
        <f t="shared" si="0"/>
        <v>8208491</v>
      </c>
      <c r="F14" s="2780"/>
    </row>
    <row r="15" spans="1:6" s="449" customFormat="1" ht="18.649999999999999" customHeight="1">
      <c r="A15" s="861"/>
      <c r="B15" s="862" t="s">
        <v>1716</v>
      </c>
      <c r="C15" s="863">
        <f>SUM(C12:C14)</f>
        <v>7569829</v>
      </c>
      <c r="D15" s="863">
        <f>SUM(D12:D14)</f>
        <v>3608928</v>
      </c>
      <c r="E15" s="863">
        <f t="shared" si="0"/>
        <v>11178757</v>
      </c>
      <c r="F15" s="2780"/>
    </row>
    <row r="16" spans="1:6" s="449" customFormat="1" ht="25" customHeight="1">
      <c r="A16" s="856" t="s">
        <v>1719</v>
      </c>
      <c r="B16" s="857" t="s">
        <v>1713</v>
      </c>
      <c r="C16" s="2021">
        <v>282484</v>
      </c>
      <c r="D16" s="2021">
        <v>447708</v>
      </c>
      <c r="E16" s="2021">
        <f t="shared" si="0"/>
        <v>730192</v>
      </c>
      <c r="F16" s="2780"/>
    </row>
    <row r="17" spans="1:6" s="449" customFormat="1" ht="18.649999999999999" customHeight="1">
      <c r="A17" s="858"/>
      <c r="B17" s="859" t="s">
        <v>1714</v>
      </c>
      <c r="C17" s="2022">
        <v>845818</v>
      </c>
      <c r="D17" s="2022">
        <v>1417297</v>
      </c>
      <c r="E17" s="2022">
        <f t="shared" si="0"/>
        <v>2263115</v>
      </c>
      <c r="F17" s="2780"/>
    </row>
    <row r="18" spans="1:6" s="449" customFormat="1" ht="18.649999999999999" customHeight="1">
      <c r="A18" s="858"/>
      <c r="B18" s="860" t="s">
        <v>1715</v>
      </c>
      <c r="C18" s="2022">
        <v>6448564</v>
      </c>
      <c r="D18" s="2022">
        <v>1790249</v>
      </c>
      <c r="E18" s="2023">
        <f t="shared" si="0"/>
        <v>8238813</v>
      </c>
      <c r="F18" s="2780"/>
    </row>
    <row r="19" spans="1:6" s="449" customFormat="1" ht="18.649999999999999" customHeight="1">
      <c r="A19" s="861"/>
      <c r="B19" s="862" t="s">
        <v>1716</v>
      </c>
      <c r="C19" s="863">
        <f>SUM(C16:C18)</f>
        <v>7576866</v>
      </c>
      <c r="D19" s="863">
        <f>SUM(D16:D18)</f>
        <v>3655254</v>
      </c>
      <c r="E19" s="863">
        <f t="shared" si="0"/>
        <v>11232120</v>
      </c>
      <c r="F19" s="2780"/>
    </row>
    <row r="20" spans="1:6" s="449" customFormat="1" ht="25" customHeight="1">
      <c r="A20" s="856" t="s">
        <v>1720</v>
      </c>
      <c r="B20" s="857" t="s">
        <v>1713</v>
      </c>
      <c r="C20" s="2021">
        <v>272907</v>
      </c>
      <c r="D20" s="2021">
        <v>450763</v>
      </c>
      <c r="E20" s="2021">
        <f t="shared" si="0"/>
        <v>723670</v>
      </c>
      <c r="F20" s="2780"/>
    </row>
    <row r="21" spans="1:6" s="449" customFormat="1" ht="18.649999999999999" customHeight="1">
      <c r="A21" s="858"/>
      <c r="B21" s="859" t="s">
        <v>1714</v>
      </c>
      <c r="C21" s="2022">
        <v>834226</v>
      </c>
      <c r="D21" s="2022">
        <v>1388423</v>
      </c>
      <c r="E21" s="2022">
        <f t="shared" si="0"/>
        <v>2222649</v>
      </c>
      <c r="F21" s="2780"/>
    </row>
    <row r="22" spans="1:6" s="449" customFormat="1" ht="18.649999999999999" customHeight="1">
      <c r="A22" s="858"/>
      <c r="B22" s="860" t="s">
        <v>1715</v>
      </c>
      <c r="C22" s="2022">
        <v>6449609</v>
      </c>
      <c r="D22" s="2022">
        <v>1773186</v>
      </c>
      <c r="E22" s="2023">
        <f t="shared" si="0"/>
        <v>8222795</v>
      </c>
      <c r="F22" s="2780"/>
    </row>
    <row r="23" spans="1:6" s="449" customFormat="1" ht="18.649999999999999" customHeight="1">
      <c r="A23" s="861"/>
      <c r="B23" s="862" t="s">
        <v>1716</v>
      </c>
      <c r="C23" s="863">
        <f>SUM(C20:C22)</f>
        <v>7556742</v>
      </c>
      <c r="D23" s="863">
        <f>SUM(D20:D22)</f>
        <v>3612372</v>
      </c>
      <c r="E23" s="863">
        <f t="shared" si="0"/>
        <v>11169114</v>
      </c>
      <c r="F23" s="2780"/>
    </row>
    <row r="24" spans="1:6" s="449" customFormat="1" ht="25" customHeight="1">
      <c r="A24" s="856" t="s">
        <v>1721</v>
      </c>
      <c r="B24" s="857" t="s">
        <v>1713</v>
      </c>
      <c r="C24" s="2021">
        <v>274348</v>
      </c>
      <c r="D24" s="2021">
        <v>509138</v>
      </c>
      <c r="E24" s="2021">
        <f t="shared" si="0"/>
        <v>783486</v>
      </c>
      <c r="F24" s="2780"/>
    </row>
    <row r="25" spans="1:6" s="449" customFormat="1" ht="18.649999999999999" customHeight="1">
      <c r="A25" s="858"/>
      <c r="B25" s="859" t="s">
        <v>1714</v>
      </c>
      <c r="C25" s="2022">
        <v>822355</v>
      </c>
      <c r="D25" s="2022">
        <v>1385949</v>
      </c>
      <c r="E25" s="2022">
        <f t="shared" si="0"/>
        <v>2208304</v>
      </c>
      <c r="F25" s="2780"/>
    </row>
    <row r="26" spans="1:6" s="449" customFormat="1" ht="18.649999999999999" customHeight="1">
      <c r="A26" s="858"/>
      <c r="B26" s="860" t="s">
        <v>1715</v>
      </c>
      <c r="C26" s="2022">
        <v>6500916</v>
      </c>
      <c r="D26" s="2022">
        <v>1776558</v>
      </c>
      <c r="E26" s="2023">
        <f t="shared" si="0"/>
        <v>8277474</v>
      </c>
      <c r="F26" s="2780"/>
    </row>
    <row r="27" spans="1:6" s="449" customFormat="1" ht="18.649999999999999" customHeight="1">
      <c r="A27" s="861"/>
      <c r="B27" s="862" t="s">
        <v>1716</v>
      </c>
      <c r="C27" s="863">
        <f>SUM(C24:C26)</f>
        <v>7597619</v>
      </c>
      <c r="D27" s="863">
        <f>SUM(D24:D26)</f>
        <v>3671645</v>
      </c>
      <c r="E27" s="863">
        <f t="shared" si="0"/>
        <v>11269264</v>
      </c>
      <c r="F27" s="2780"/>
    </row>
    <row r="28" spans="1:6" s="449" customFormat="1" ht="25" customHeight="1">
      <c r="A28" s="856" t="s">
        <v>1722</v>
      </c>
      <c r="B28" s="857" t="s">
        <v>1713</v>
      </c>
      <c r="C28" s="2021">
        <v>272217</v>
      </c>
      <c r="D28" s="2021">
        <v>507997</v>
      </c>
      <c r="E28" s="2021">
        <f t="shared" si="0"/>
        <v>780214</v>
      </c>
      <c r="F28" s="2780"/>
    </row>
    <row r="29" spans="1:6" s="449" customFormat="1" ht="18.649999999999999" customHeight="1">
      <c r="A29" s="858"/>
      <c r="B29" s="859" t="s">
        <v>1714</v>
      </c>
      <c r="C29" s="2022">
        <v>836054</v>
      </c>
      <c r="D29" s="2022">
        <v>1006528</v>
      </c>
      <c r="E29" s="2022">
        <f t="shared" si="0"/>
        <v>1842582</v>
      </c>
      <c r="F29" s="2780"/>
    </row>
    <row r="30" spans="1:6" s="449" customFormat="1" ht="18.649999999999999" customHeight="1">
      <c r="A30" s="858"/>
      <c r="B30" s="860" t="s">
        <v>1715</v>
      </c>
      <c r="C30" s="2022">
        <v>6467372</v>
      </c>
      <c r="D30" s="2022">
        <v>1824741</v>
      </c>
      <c r="E30" s="2023">
        <f t="shared" si="0"/>
        <v>8292113</v>
      </c>
      <c r="F30" s="2780"/>
    </row>
    <row r="31" spans="1:6" s="449" customFormat="1" ht="18.649999999999999" customHeight="1">
      <c r="A31" s="861"/>
      <c r="B31" s="862" t="s">
        <v>1716</v>
      </c>
      <c r="C31" s="863">
        <f>SUM(C28:C30)</f>
        <v>7575643</v>
      </c>
      <c r="D31" s="863">
        <f>SUM(D28:D30)</f>
        <v>3339266</v>
      </c>
      <c r="E31" s="863">
        <f t="shared" si="0"/>
        <v>10914909</v>
      </c>
      <c r="F31" s="2780"/>
    </row>
    <row r="32" spans="1:6" s="449" customFormat="1" ht="25" customHeight="1">
      <c r="A32" s="856" t="s">
        <v>1723</v>
      </c>
      <c r="B32" s="857" t="s">
        <v>1713</v>
      </c>
      <c r="C32" s="2021">
        <v>310449</v>
      </c>
      <c r="D32" s="2021">
        <v>534890</v>
      </c>
      <c r="E32" s="2021">
        <f t="shared" si="0"/>
        <v>845339</v>
      </c>
      <c r="F32" s="2780"/>
    </row>
    <row r="33" spans="1:6" s="449" customFormat="1" ht="18.649999999999999" customHeight="1">
      <c r="A33" s="858"/>
      <c r="B33" s="859" t="s">
        <v>1714</v>
      </c>
      <c r="C33" s="2022">
        <v>915795</v>
      </c>
      <c r="D33" s="2022">
        <v>1010293</v>
      </c>
      <c r="E33" s="2022">
        <f t="shared" si="0"/>
        <v>1926088</v>
      </c>
      <c r="F33" s="2780"/>
    </row>
    <row r="34" spans="1:6" s="449" customFormat="1" ht="18.649999999999999" customHeight="1">
      <c r="A34" s="858"/>
      <c r="B34" s="860" t="s">
        <v>1715</v>
      </c>
      <c r="C34" s="2022">
        <v>6519644</v>
      </c>
      <c r="D34" s="2022">
        <v>1847615</v>
      </c>
      <c r="E34" s="2023">
        <f t="shared" si="0"/>
        <v>8367259</v>
      </c>
      <c r="F34" s="2780"/>
    </row>
    <row r="35" spans="1:6" s="449" customFormat="1" ht="18.649999999999999" customHeight="1">
      <c r="A35" s="861"/>
      <c r="B35" s="862" t="s">
        <v>1716</v>
      </c>
      <c r="C35" s="863">
        <f>SUM(C32:C34)</f>
        <v>7745888</v>
      </c>
      <c r="D35" s="863">
        <f>SUM(D32:D34)</f>
        <v>3392798</v>
      </c>
      <c r="E35" s="863">
        <f t="shared" si="0"/>
        <v>11138686</v>
      </c>
      <c r="F35" s="2780"/>
    </row>
    <row r="36" spans="1:6" ht="25" customHeight="1">
      <c r="A36" s="856" t="s">
        <v>1743</v>
      </c>
      <c r="B36" s="857" t="s">
        <v>1713</v>
      </c>
      <c r="C36" s="2021">
        <v>326868.66672189784</v>
      </c>
      <c r="D36" s="2021">
        <v>596109.47835502529</v>
      </c>
      <c r="E36" s="2021">
        <f t="shared" si="0"/>
        <v>922978.14507692307</v>
      </c>
      <c r="F36" s="2780"/>
    </row>
    <row r="37" spans="1:6" ht="18.649999999999999" customHeight="1">
      <c r="A37" s="858"/>
      <c r="B37" s="859" t="s">
        <v>1714</v>
      </c>
      <c r="C37" s="2022">
        <v>907552.7</v>
      </c>
      <c r="D37" s="2022">
        <v>724266.79368</v>
      </c>
      <c r="E37" s="2022">
        <f t="shared" si="0"/>
        <v>1631819.4936799998</v>
      </c>
      <c r="F37" s="2780"/>
    </row>
    <row r="38" spans="1:6" ht="18.649999999999999" customHeight="1">
      <c r="A38" s="858"/>
      <c r="B38" s="860" t="s">
        <v>1715</v>
      </c>
      <c r="C38" s="2022">
        <v>6579637.2999999998</v>
      </c>
      <c r="D38" s="2022">
        <v>1925499.4811223729</v>
      </c>
      <c r="E38" s="2023">
        <f t="shared" si="0"/>
        <v>8505136.7811223734</v>
      </c>
      <c r="F38" s="2780"/>
    </row>
    <row r="39" spans="1:6" ht="18.649999999999999" customHeight="1">
      <c r="A39" s="861"/>
      <c r="B39" s="862" t="s">
        <v>1716</v>
      </c>
      <c r="C39" s="863">
        <f>SUM(C36:C38)</f>
        <v>7814058.6667218972</v>
      </c>
      <c r="D39" s="863">
        <f>SUM(D36:D38)</f>
        <v>3245875.7531573982</v>
      </c>
      <c r="E39" s="863">
        <f t="shared" si="0"/>
        <v>11059934.419879295</v>
      </c>
      <c r="F39" s="2780"/>
    </row>
    <row r="40" spans="1:6" ht="25" customHeight="1">
      <c r="A40" s="856" t="s">
        <v>1783</v>
      </c>
      <c r="B40" s="857" t="s">
        <v>1713</v>
      </c>
      <c r="C40" s="2021">
        <v>338024.44</v>
      </c>
      <c r="D40" s="2021">
        <v>582744.74</v>
      </c>
      <c r="E40" s="2021">
        <f t="shared" ref="E40:E43" si="1">SUM(C40:D40)</f>
        <v>920769.17999999993</v>
      </c>
      <c r="F40" s="2780"/>
    </row>
    <row r="41" spans="1:6" ht="18.649999999999999" customHeight="1">
      <c r="A41" s="858"/>
      <c r="B41" s="859" t="s">
        <v>1714</v>
      </c>
      <c r="C41" s="2022">
        <v>904450.65</v>
      </c>
      <c r="D41" s="2022">
        <v>662498.88</v>
      </c>
      <c r="E41" s="2022">
        <f t="shared" si="1"/>
        <v>1566949.53</v>
      </c>
      <c r="F41" s="2780"/>
    </row>
    <row r="42" spans="1:6" ht="18.649999999999999" customHeight="1">
      <c r="A42" s="858"/>
      <c r="B42" s="860" t="s">
        <v>1715</v>
      </c>
      <c r="C42" s="2022">
        <v>6513942.0300000003</v>
      </c>
      <c r="D42" s="2022">
        <v>1927356.6</v>
      </c>
      <c r="E42" s="2023">
        <f t="shared" si="1"/>
        <v>8441298.6300000008</v>
      </c>
      <c r="F42" s="2780"/>
    </row>
    <row r="43" spans="1:6" ht="18.649999999999999" customHeight="1">
      <c r="A43" s="861"/>
      <c r="B43" s="862" t="s">
        <v>1716</v>
      </c>
      <c r="C43" s="863">
        <f>SUM(C40:C42)</f>
        <v>7756417.1200000001</v>
      </c>
      <c r="D43" s="863">
        <f>SUM(D40:D42)</f>
        <v>3172600.22</v>
      </c>
      <c r="E43" s="863">
        <f t="shared" si="1"/>
        <v>10929017.34</v>
      </c>
      <c r="F43" s="2780"/>
    </row>
  </sheetData>
  <mergeCells count="3">
    <mergeCell ref="A5:A6"/>
    <mergeCell ref="B5:B6"/>
    <mergeCell ref="F1:F43"/>
  </mergeCells>
  <printOptions horizontalCentered="1" verticalCentered="1"/>
  <pageMargins left="0" right="0" top="0" bottom="0"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sheetPr>
  <dimension ref="A1:M47"/>
  <sheetViews>
    <sheetView zoomScale="90" zoomScaleNormal="90" workbookViewId="0">
      <pane ySplit="12" topLeftCell="A39" activePane="bottomLeft" state="frozen"/>
      <selection activeCell="B43" sqref="B43"/>
      <selection pane="bottomLeft" activeCell="H43" sqref="H43"/>
    </sheetView>
  </sheetViews>
  <sheetFormatPr defaultColWidth="7.81640625" defaultRowHeight="15.5"/>
  <cols>
    <col min="1" max="2" width="9.26953125" customWidth="1"/>
    <col min="3" max="10" width="16.81640625" style="14" customWidth="1"/>
    <col min="11" max="12" width="7.81640625" style="14"/>
    <col min="13" max="13" width="10.7265625" style="14" customWidth="1"/>
    <col min="14" max="16384" width="7.81640625" style="14"/>
  </cols>
  <sheetData>
    <row r="1" spans="1:13" s="1088" customFormat="1" ht="18" customHeight="1">
      <c r="A1" s="1086" t="s">
        <v>499</v>
      </c>
      <c r="B1" s="1087"/>
      <c r="C1" s="1087"/>
      <c r="D1" s="1087"/>
      <c r="E1" s="1087"/>
      <c r="F1" s="1087"/>
      <c r="G1" s="1087"/>
      <c r="H1" s="1087"/>
      <c r="I1" s="1087"/>
      <c r="J1" s="1087"/>
    </row>
    <row r="2" spans="1:13" s="1088" customFormat="1" ht="18" customHeight="1">
      <c r="A2" s="1089" t="s">
        <v>13</v>
      </c>
      <c r="B2" s="1087"/>
      <c r="C2" s="1087"/>
      <c r="D2" s="1087"/>
      <c r="E2" s="1087"/>
      <c r="F2" s="1087"/>
      <c r="G2" s="1087"/>
      <c r="H2" s="1087"/>
      <c r="I2" s="1087"/>
      <c r="J2" s="1087"/>
    </row>
    <row r="3" spans="1:13" s="1088" customFormat="1" ht="18" customHeight="1">
      <c r="A3" s="1086" t="s">
        <v>12</v>
      </c>
      <c r="B3" s="1087"/>
      <c r="C3" s="1090"/>
      <c r="D3" s="1087"/>
      <c r="E3" s="1087"/>
      <c r="F3" s="1087"/>
      <c r="G3" s="1087"/>
      <c r="H3" s="1087"/>
      <c r="I3" s="1087"/>
      <c r="J3" s="1087"/>
    </row>
    <row r="4" spans="1:13" s="15" customFormat="1" ht="2.25" customHeight="1">
      <c r="A4" s="14"/>
      <c r="B4" s="14"/>
      <c r="C4" s="13"/>
      <c r="D4" s="13"/>
      <c r="E4" s="13"/>
      <c r="F4" s="13"/>
      <c r="G4" s="13"/>
      <c r="H4" s="13"/>
      <c r="I4" s="13"/>
      <c r="J4"/>
    </row>
    <row r="5" spans="1:13" s="15" customFormat="1" ht="14.25" customHeight="1">
      <c r="A5" s="37" t="s">
        <v>377</v>
      </c>
      <c r="B5" s="14"/>
      <c r="C5" s="31"/>
      <c r="D5" s="31"/>
      <c r="E5" s="31"/>
      <c r="F5" s="31"/>
      <c r="G5" s="31"/>
      <c r="H5" s="31"/>
      <c r="I5" s="31"/>
      <c r="J5" s="38" t="s">
        <v>378</v>
      </c>
    </row>
    <row r="6" spans="1:13" s="43" customFormat="1" ht="18.649999999999999" customHeight="1">
      <c r="A6" s="29"/>
      <c r="B6" s="48"/>
      <c r="C6" s="101" t="s">
        <v>500</v>
      </c>
      <c r="D6" s="102"/>
      <c r="E6" s="83"/>
      <c r="F6" s="101" t="s">
        <v>501</v>
      </c>
      <c r="G6" s="102"/>
      <c r="H6" s="102"/>
      <c r="I6" s="83"/>
      <c r="J6" s="2080" t="s">
        <v>11</v>
      </c>
    </row>
    <row r="7" spans="1:13" s="43" customFormat="1" ht="18.649999999999999" customHeight="1">
      <c r="A7" s="30"/>
      <c r="B7" s="83"/>
      <c r="C7" s="104" t="s">
        <v>502</v>
      </c>
      <c r="D7" s="104"/>
      <c r="E7" s="105"/>
      <c r="F7" s="104" t="s">
        <v>503</v>
      </c>
      <c r="G7" s="104"/>
      <c r="H7" s="104"/>
      <c r="I7" s="105"/>
      <c r="J7" s="109" t="s">
        <v>467</v>
      </c>
    </row>
    <row r="8" spans="1:13" s="41" customFormat="1" ht="18.649999999999999" customHeight="1">
      <c r="A8" s="26" t="s">
        <v>387</v>
      </c>
      <c r="B8" s="76"/>
      <c r="C8" s="80" t="s">
        <v>504</v>
      </c>
      <c r="D8" s="97" t="s">
        <v>505</v>
      </c>
      <c r="E8" s="66"/>
      <c r="F8" s="80" t="s">
        <v>506</v>
      </c>
      <c r="G8" s="97" t="s">
        <v>506</v>
      </c>
      <c r="H8" s="97" t="s">
        <v>507</v>
      </c>
      <c r="I8" s="66"/>
      <c r="J8" s="311" t="s">
        <v>472</v>
      </c>
    </row>
    <row r="9" spans="1:13" s="43" customFormat="1" ht="18.649999999999999" customHeight="1">
      <c r="A9" s="84" t="s">
        <v>395</v>
      </c>
      <c r="B9" s="83"/>
      <c r="C9" s="110" t="s">
        <v>508</v>
      </c>
      <c r="D9" s="108" t="s">
        <v>509</v>
      </c>
      <c r="E9" s="108" t="s">
        <v>390</v>
      </c>
      <c r="F9" s="107" t="s">
        <v>398</v>
      </c>
      <c r="G9" s="108" t="s">
        <v>510</v>
      </c>
      <c r="H9" s="108" t="s">
        <v>511</v>
      </c>
      <c r="I9" s="75" t="s">
        <v>390</v>
      </c>
      <c r="J9" s="75" t="s">
        <v>479</v>
      </c>
    </row>
    <row r="10" spans="1:13" s="52" customFormat="1" ht="14.25" customHeight="1">
      <c r="A10" s="84"/>
      <c r="B10" s="85"/>
      <c r="C10" s="98" t="s">
        <v>512</v>
      </c>
      <c r="D10" s="86" t="s">
        <v>513</v>
      </c>
      <c r="E10" s="86"/>
      <c r="F10" s="111" t="s">
        <v>406</v>
      </c>
      <c r="G10" s="86" t="s">
        <v>406</v>
      </c>
      <c r="H10" s="86" t="s">
        <v>407</v>
      </c>
      <c r="I10" s="112"/>
      <c r="J10" s="75" t="s">
        <v>514</v>
      </c>
    </row>
    <row r="11" spans="1:13" s="52" customFormat="1" ht="14.25" customHeight="1">
      <c r="A11" s="84"/>
      <c r="B11" s="85"/>
      <c r="C11" s="66" t="s">
        <v>515</v>
      </c>
      <c r="D11" s="112" t="s">
        <v>413</v>
      </c>
      <c r="E11" s="112" t="s">
        <v>400</v>
      </c>
      <c r="F11" s="112" t="s">
        <v>516</v>
      </c>
      <c r="G11" s="112" t="s">
        <v>517</v>
      </c>
      <c r="H11" s="112" t="s">
        <v>518</v>
      </c>
      <c r="I11" s="112" t="s">
        <v>400</v>
      </c>
      <c r="J11" s="86" t="s">
        <v>519</v>
      </c>
    </row>
    <row r="12" spans="1:13" s="52" customFormat="1" ht="14.25" customHeight="1">
      <c r="A12" s="113"/>
      <c r="B12" s="114"/>
      <c r="C12" s="91"/>
      <c r="D12" s="92"/>
      <c r="E12" s="92"/>
      <c r="F12" s="92"/>
      <c r="G12" s="92"/>
      <c r="H12" s="92"/>
      <c r="I12" s="92"/>
      <c r="J12" s="91" t="s">
        <v>258</v>
      </c>
    </row>
    <row r="13" spans="1:13" s="274" customFormat="1" ht="20.25" customHeight="1">
      <c r="A13" s="263">
        <v>2016</v>
      </c>
      <c r="B13" s="406"/>
      <c r="C13" s="416">
        <v>818.4</v>
      </c>
      <c r="D13" s="417">
        <v>-588.26338214329007</v>
      </c>
      <c r="E13" s="408">
        <v>230.1366178567099</v>
      </c>
      <c r="F13" s="417">
        <v>5626.8132624427144</v>
      </c>
      <c r="G13" s="408">
        <v>8755.5592465315076</v>
      </c>
      <c r="H13" s="417">
        <v>-2590.6833779628132</v>
      </c>
      <c r="I13" s="408">
        <v>11791.689131011408</v>
      </c>
      <c r="J13" s="418">
        <v>12021.82690553366</v>
      </c>
      <c r="K13" s="2163">
        <f t="shared" ref="K13:K23" si="0">ROUND(E13,1)-ROUND(C13,1)-ROUND(D13,1)</f>
        <v>0</v>
      </c>
      <c r="L13" s="2163">
        <f t="shared" ref="L13:L23" si="1">ROUND(I13,1)-ROUND(F13,1)-ROUND(G13,1)-ROUND(H13,1)</f>
        <v>0</v>
      </c>
      <c r="M13" s="2163">
        <f t="shared" ref="M13:M23" si="2">ROUND(J13,1)-ROUND(E13,1)-ROUND(I13,1)</f>
        <v>0</v>
      </c>
    </row>
    <row r="14" spans="1:13" s="276" customFormat="1" ht="14.25" customHeight="1">
      <c r="A14" s="265">
        <v>2017</v>
      </c>
      <c r="B14" s="321"/>
      <c r="C14" s="419">
        <v>883.1</v>
      </c>
      <c r="D14" s="420">
        <v>-921.46110953044877</v>
      </c>
      <c r="E14" s="414">
        <v>-38.361109530448743</v>
      </c>
      <c r="F14" s="420">
        <v>6094.3643282399189</v>
      </c>
      <c r="G14" s="414">
        <v>8970.1976701133171</v>
      </c>
      <c r="H14" s="420">
        <v>-2504.8704568670537</v>
      </c>
      <c r="I14" s="414">
        <v>12559.691541486183</v>
      </c>
      <c r="J14" s="414">
        <v>12521.33834765356</v>
      </c>
      <c r="K14" s="2163">
        <f t="shared" si="0"/>
        <v>0</v>
      </c>
      <c r="L14" s="2163">
        <f t="shared" si="1"/>
        <v>0</v>
      </c>
      <c r="M14" s="2163">
        <f t="shared" si="2"/>
        <v>0</v>
      </c>
    </row>
    <row r="15" spans="1:13" s="889" customFormat="1" ht="14.25" customHeight="1">
      <c r="A15" s="884">
        <v>2018</v>
      </c>
      <c r="B15" s="916"/>
      <c r="C15" s="917">
        <v>702.3</v>
      </c>
      <c r="D15" s="917">
        <v>-1106.9416969982703</v>
      </c>
      <c r="E15" s="918">
        <v>-404.64169699827039</v>
      </c>
      <c r="F15" s="917">
        <v>6057.6131674958597</v>
      </c>
      <c r="G15" s="918">
        <v>9860.5224357719762</v>
      </c>
      <c r="H15" s="917">
        <v>-2891.4280632143264</v>
      </c>
      <c r="I15" s="918">
        <v>13026.70754005351</v>
      </c>
      <c r="J15" s="918">
        <v>12622.075757186307</v>
      </c>
      <c r="K15" s="2163">
        <f t="shared" si="0"/>
        <v>0</v>
      </c>
      <c r="L15" s="2163">
        <f t="shared" si="1"/>
        <v>0</v>
      </c>
      <c r="M15" s="2163">
        <f t="shared" si="2"/>
        <v>0</v>
      </c>
    </row>
    <row r="16" spans="1:13" s="889" customFormat="1" ht="14.25" customHeight="1">
      <c r="A16" s="884">
        <v>2019</v>
      </c>
      <c r="B16" s="916"/>
      <c r="C16" s="917">
        <v>1278.5999999999999</v>
      </c>
      <c r="D16" s="917">
        <v>-978.95207411742194</v>
      </c>
      <c r="E16" s="918">
        <v>299.64792588257797</v>
      </c>
      <c r="F16" s="917">
        <v>6622.4570046662348</v>
      </c>
      <c r="G16" s="918">
        <v>9966.7851993423283</v>
      </c>
      <c r="H16" s="917">
        <v>-3217.0007851050414</v>
      </c>
      <c r="I16" s="918">
        <v>13372.261418903521</v>
      </c>
      <c r="J16" s="918">
        <v>13671.88438483977</v>
      </c>
      <c r="K16" s="2163">
        <f t="shared" si="0"/>
        <v>0</v>
      </c>
      <c r="L16" s="2163">
        <f t="shared" si="1"/>
        <v>0</v>
      </c>
      <c r="M16" s="2163">
        <f t="shared" si="2"/>
        <v>0</v>
      </c>
    </row>
    <row r="17" spans="1:13" s="889" customFormat="1" ht="14.25" customHeight="1">
      <c r="A17" s="884">
        <v>2020</v>
      </c>
      <c r="B17" s="916"/>
      <c r="C17" s="917">
        <v>734.5</v>
      </c>
      <c r="D17" s="917">
        <v>-1329.1114923424102</v>
      </c>
      <c r="E17" s="918">
        <v>-594.6114923424102</v>
      </c>
      <c r="F17" s="917">
        <v>7789.5132998701774</v>
      </c>
      <c r="G17" s="918">
        <v>10644.319226108561</v>
      </c>
      <c r="H17" s="917">
        <v>-3687.9415435554715</v>
      </c>
      <c r="I17" s="918">
        <v>14745.890982423267</v>
      </c>
      <c r="J17" s="918">
        <v>14151.256808289852</v>
      </c>
      <c r="K17" s="2163">
        <f t="shared" si="0"/>
        <v>0</v>
      </c>
      <c r="L17" s="2163">
        <f t="shared" si="1"/>
        <v>0</v>
      </c>
      <c r="M17" s="2163">
        <f t="shared" si="2"/>
        <v>0</v>
      </c>
    </row>
    <row r="18" spans="1:13" s="889" customFormat="1" ht="14.25" customHeight="1">
      <c r="A18" s="884">
        <v>2021</v>
      </c>
      <c r="B18" s="916"/>
      <c r="C18" s="917">
        <v>1471.1</v>
      </c>
      <c r="D18" s="917">
        <v>-1493.9619543455665</v>
      </c>
      <c r="E18" s="918">
        <v>-22.861954345566573</v>
      </c>
      <c r="F18" s="917">
        <v>8077.2270960630085</v>
      </c>
      <c r="G18" s="918">
        <v>11111.127374236223</v>
      </c>
      <c r="H18" s="917">
        <v>-4281.2316329858113</v>
      </c>
      <c r="I18" s="918">
        <v>14907.122837313418</v>
      </c>
      <c r="J18" s="918">
        <v>14884.212361565633</v>
      </c>
      <c r="K18" s="2163">
        <f t="shared" si="0"/>
        <v>0</v>
      </c>
      <c r="L18" s="2163">
        <f t="shared" si="1"/>
        <v>0</v>
      </c>
      <c r="M18" s="2163">
        <f t="shared" si="2"/>
        <v>0</v>
      </c>
    </row>
    <row r="19" spans="1:13" s="483" customFormat="1" ht="14.25" customHeight="1">
      <c r="A19" s="1782">
        <v>2022</v>
      </c>
      <c r="B19" s="2051"/>
      <c r="C19" s="2412">
        <v>1404.1</v>
      </c>
      <c r="D19" s="2412">
        <v>-2599.5235519705866</v>
      </c>
      <c r="E19" s="2413">
        <v>-1195.4235519705867</v>
      </c>
      <c r="F19" s="2412">
        <v>9192.7125319697006</v>
      </c>
      <c r="G19" s="2413">
        <v>11505.400231115644</v>
      </c>
      <c r="H19" s="2412">
        <v>-4367.3212276701852</v>
      </c>
      <c r="I19" s="2413">
        <v>16330.791535415159</v>
      </c>
      <c r="J19" s="2413">
        <v>15135.428446639962</v>
      </c>
      <c r="K19" s="2163">
        <f t="shared" si="0"/>
        <v>0</v>
      </c>
      <c r="L19" s="2163">
        <f t="shared" si="1"/>
        <v>0</v>
      </c>
      <c r="M19" s="2163">
        <f t="shared" si="2"/>
        <v>0</v>
      </c>
    </row>
    <row r="20" spans="1:13" s="483" customFormat="1" ht="14.25" customHeight="1">
      <c r="A20" s="1782">
        <v>2023</v>
      </c>
      <c r="B20" s="2051"/>
      <c r="C20" s="2412">
        <v>1515.2</v>
      </c>
      <c r="D20" s="2412">
        <v>-3101.3999999999996</v>
      </c>
      <c r="E20" s="2413">
        <v>-1586.1999999999996</v>
      </c>
      <c r="F20" s="2412">
        <v>9941.3863329282958</v>
      </c>
      <c r="G20" s="2413">
        <v>11804.930969689533</v>
      </c>
      <c r="H20" s="2412">
        <v>-4193.7702889526372</v>
      </c>
      <c r="I20" s="2413">
        <v>17552.547013665189</v>
      </c>
      <c r="J20" s="2413">
        <v>15966.291360589066</v>
      </c>
      <c r="K20" s="2163">
        <v>0</v>
      </c>
      <c r="L20" s="2163">
        <v>0</v>
      </c>
      <c r="M20" s="2163">
        <v>0</v>
      </c>
    </row>
    <row r="21" spans="1:13" s="483" customFormat="1" ht="14.25" customHeight="1">
      <c r="A21" s="1782">
        <v>2024</v>
      </c>
      <c r="B21" s="2051"/>
      <c r="C21" s="2412">
        <v>1427.5</v>
      </c>
      <c r="D21" s="2412">
        <v>-4223.7000000000007</v>
      </c>
      <c r="E21" s="2413">
        <v>-2796.2000000000007</v>
      </c>
      <c r="F21" s="2412">
        <v>11229.10431745114</v>
      </c>
      <c r="G21" s="2413">
        <v>11897.037488911043</v>
      </c>
      <c r="H21" s="2412">
        <v>-4109.4707128637983</v>
      </c>
      <c r="I21" s="2413">
        <v>19016.641093498387</v>
      </c>
      <c r="J21" s="2413">
        <v>16220.441938154301</v>
      </c>
      <c r="K21" s="2163">
        <v>0</v>
      </c>
      <c r="L21" s="2163">
        <v>0</v>
      </c>
      <c r="M21" s="2163">
        <v>0</v>
      </c>
    </row>
    <row r="22" spans="1:13" s="483" customFormat="1" ht="14.25" customHeight="1">
      <c r="A22" s="2058">
        <v>2025</v>
      </c>
      <c r="B22" s="2059"/>
      <c r="C22" s="2287">
        <f t="shared" ref="C22:J22" si="3">C29</f>
        <v>1674.8999999999999</v>
      </c>
      <c r="D22" s="2287">
        <f t="shared" si="3"/>
        <v>-5871.5000000000018</v>
      </c>
      <c r="E22" s="2288">
        <f t="shared" si="3"/>
        <v>-4196.6000000000022</v>
      </c>
      <c r="F22" s="2287">
        <f t="shared" si="3"/>
        <v>12668.4</v>
      </c>
      <c r="G22" s="2288">
        <f t="shared" si="3"/>
        <v>12321.563574700062</v>
      </c>
      <c r="H22" s="2287">
        <f t="shared" si="3"/>
        <v>-4244.9142671346272</v>
      </c>
      <c r="I22" s="2288">
        <f t="shared" si="3"/>
        <v>20745.149307565433</v>
      </c>
      <c r="J22" s="2288">
        <f t="shared" si="3"/>
        <v>16548.5</v>
      </c>
      <c r="K22" s="2163">
        <f t="shared" ref="K22" si="4">ROUND(E22,1)-ROUND(C22,1)-ROUND(D22,1)</f>
        <v>0</v>
      </c>
      <c r="L22" s="2163">
        <f t="shared" ref="L22" si="5">ROUND(I22,1)-ROUND(F22,1)-ROUND(G22,1)-ROUND(H22,1)</f>
        <v>0</v>
      </c>
      <c r="M22" s="2163">
        <f t="shared" ref="M22" si="6">ROUND(J22,1)-ROUND(E22,1)-ROUND(I22,1)</f>
        <v>0</v>
      </c>
    </row>
    <row r="23" spans="1:13" s="889" customFormat="1" ht="21" customHeight="1">
      <c r="A23" s="884">
        <v>2024</v>
      </c>
      <c r="B23" s="916" t="s">
        <v>243</v>
      </c>
      <c r="C23" s="917">
        <v>1507.5</v>
      </c>
      <c r="D23" s="917">
        <v>-4206.7000000000007</v>
      </c>
      <c r="E23" s="918">
        <v>-2699.2000000000007</v>
      </c>
      <c r="F23" s="917">
        <v>10936.891114119579</v>
      </c>
      <c r="G23" s="918">
        <v>12242.259972509069</v>
      </c>
      <c r="H23" s="917">
        <v>-4463.8587576036743</v>
      </c>
      <c r="I23" s="918">
        <v>18715.292329024975</v>
      </c>
      <c r="J23" s="918">
        <v>16016.147946331115</v>
      </c>
      <c r="K23" s="2163">
        <f t="shared" si="0"/>
        <v>0</v>
      </c>
      <c r="L23" s="2163">
        <f t="shared" si="1"/>
        <v>0</v>
      </c>
      <c r="M23" s="2163">
        <f t="shared" si="2"/>
        <v>0</v>
      </c>
    </row>
    <row r="24" spans="1:13" s="889" customFormat="1" ht="15" customHeight="1">
      <c r="A24" s="884"/>
      <c r="B24" s="916" t="s">
        <v>240</v>
      </c>
      <c r="C24" s="917">
        <v>1912.2</v>
      </c>
      <c r="D24" s="917">
        <v>-4089.3000000000011</v>
      </c>
      <c r="E24" s="918">
        <v>-2177.1000000000013</v>
      </c>
      <c r="F24" s="917">
        <v>11256.704237503141</v>
      </c>
      <c r="G24" s="918">
        <v>12132.166024345523</v>
      </c>
      <c r="H24" s="917">
        <v>-4585.6314018330268</v>
      </c>
      <c r="I24" s="918">
        <v>18803.258860015638</v>
      </c>
      <c r="J24" s="918">
        <v>16626.240013787232</v>
      </c>
      <c r="K24" s="2163">
        <v>0</v>
      </c>
      <c r="L24" s="2163">
        <v>0</v>
      </c>
      <c r="M24" s="2163">
        <v>0</v>
      </c>
    </row>
    <row r="25" spans="1:13" s="889" customFormat="1" ht="15" customHeight="1">
      <c r="A25" s="884"/>
      <c r="B25" s="916" t="s">
        <v>241</v>
      </c>
      <c r="C25" s="917">
        <v>1427.5</v>
      </c>
      <c r="D25" s="917">
        <v>-4223.7000000000007</v>
      </c>
      <c r="E25" s="918">
        <v>-2796.2000000000007</v>
      </c>
      <c r="F25" s="917">
        <v>11229.10431745114</v>
      </c>
      <c r="G25" s="918">
        <v>11897.037488911043</v>
      </c>
      <c r="H25" s="917">
        <v>-4109.4707128637983</v>
      </c>
      <c r="I25" s="918">
        <v>19016.641093498387</v>
      </c>
      <c r="J25" s="918">
        <v>16220.441938154301</v>
      </c>
      <c r="K25" s="2163">
        <v>0</v>
      </c>
      <c r="L25" s="2163">
        <v>0</v>
      </c>
      <c r="M25" s="2163">
        <v>0</v>
      </c>
    </row>
    <row r="26" spans="1:13" s="889" customFormat="1" ht="21" customHeight="1">
      <c r="A26" s="884">
        <v>2025</v>
      </c>
      <c r="B26" s="916" t="s">
        <v>242</v>
      </c>
      <c r="C26" s="917">
        <v>1051.3</v>
      </c>
      <c r="D26" s="917">
        <v>-4572.7000000000007</v>
      </c>
      <c r="E26" s="918">
        <v>-3521.4000000000005</v>
      </c>
      <c r="F26" s="917">
        <v>12477.314762898464</v>
      </c>
      <c r="G26" s="918">
        <v>12209.403658198527</v>
      </c>
      <c r="H26" s="917">
        <v>-4645.8258048215266</v>
      </c>
      <c r="I26" s="918">
        <v>20040.892616275465</v>
      </c>
      <c r="J26" s="918">
        <v>16519.485029977339</v>
      </c>
      <c r="K26" s="2163">
        <v>0</v>
      </c>
      <c r="L26" s="2163">
        <v>0</v>
      </c>
      <c r="M26" s="2163">
        <v>0</v>
      </c>
    </row>
    <row r="27" spans="1:13" s="889" customFormat="1" ht="15" customHeight="1">
      <c r="A27" s="884"/>
      <c r="B27" s="916" t="s">
        <v>243</v>
      </c>
      <c r="C27" s="917">
        <v>1435</v>
      </c>
      <c r="D27" s="917">
        <v>-5184.1000000000004</v>
      </c>
      <c r="E27" s="918">
        <v>-3749.1000000000004</v>
      </c>
      <c r="F27" s="917">
        <v>12596.400000000001</v>
      </c>
      <c r="G27" s="918">
        <v>12226.193005835752</v>
      </c>
      <c r="H27" s="917">
        <v>-4606.8874972329613</v>
      </c>
      <c r="I27" s="918">
        <v>20215.705508602794</v>
      </c>
      <c r="J27" s="918">
        <v>16466.599999999999</v>
      </c>
      <c r="K27" s="2163">
        <v>0</v>
      </c>
      <c r="L27" s="2163">
        <v>0</v>
      </c>
      <c r="M27" s="2163">
        <v>0</v>
      </c>
    </row>
    <row r="28" spans="1:13" s="889" customFormat="1" ht="15" customHeight="1">
      <c r="A28" s="884"/>
      <c r="B28" s="916" t="s">
        <v>240</v>
      </c>
      <c r="C28" s="917">
        <f t="shared" ref="C28:J28" si="7">C35</f>
        <v>1223.4000000000001</v>
      </c>
      <c r="D28" s="917">
        <f t="shared" si="7"/>
        <v>-5115.7000000000007</v>
      </c>
      <c r="E28" s="918">
        <f t="shared" si="7"/>
        <v>-3892.3000000000006</v>
      </c>
      <c r="F28" s="917">
        <f t="shared" si="7"/>
        <v>12866.8</v>
      </c>
      <c r="G28" s="918">
        <f t="shared" si="7"/>
        <v>12070.874790278758</v>
      </c>
      <c r="H28" s="917">
        <f t="shared" si="7"/>
        <v>-4808.3176309173414</v>
      </c>
      <c r="I28" s="918">
        <f t="shared" si="7"/>
        <v>20129.357159361418</v>
      </c>
      <c r="J28" s="918">
        <f t="shared" si="7"/>
        <v>16237.1</v>
      </c>
      <c r="K28" s="2163">
        <f t="shared" ref="K28" si="8">ROUND(E28,1)-ROUND(C28,1)-ROUND(D28,1)</f>
        <v>0</v>
      </c>
      <c r="L28" s="2163">
        <f t="shared" ref="L28" si="9">ROUND(I28,1)-ROUND(F28,1)-ROUND(G28,1)-ROUND(H28,1)</f>
        <v>0</v>
      </c>
      <c r="M28" s="2163">
        <f t="shared" ref="M28" si="10">ROUND(J28,1)-ROUND(E28,1)-ROUND(I28,1)</f>
        <v>0</v>
      </c>
    </row>
    <row r="29" spans="1:13" s="889" customFormat="1" ht="15" customHeight="1">
      <c r="A29" s="884"/>
      <c r="B29" s="916" t="s">
        <v>241</v>
      </c>
      <c r="C29" s="917">
        <f t="shared" ref="C29:J29" si="11">C38</f>
        <v>1674.8999999999999</v>
      </c>
      <c r="D29" s="917">
        <f t="shared" si="11"/>
        <v>-5871.5000000000018</v>
      </c>
      <c r="E29" s="918">
        <f t="shared" si="11"/>
        <v>-4196.6000000000022</v>
      </c>
      <c r="F29" s="917">
        <f t="shared" si="11"/>
        <v>12668.4</v>
      </c>
      <c r="G29" s="918">
        <f t="shared" si="11"/>
        <v>12321.563574700062</v>
      </c>
      <c r="H29" s="917">
        <f t="shared" si="11"/>
        <v>-4244.9142671346272</v>
      </c>
      <c r="I29" s="918">
        <f t="shared" si="11"/>
        <v>20745.149307565433</v>
      </c>
      <c r="J29" s="918">
        <f t="shared" si="11"/>
        <v>16548.5</v>
      </c>
      <c r="K29" s="2163">
        <f t="shared" ref="K29" si="12">ROUND(E29,1)-ROUND(C29,1)-ROUND(D29,1)</f>
        <v>0</v>
      </c>
      <c r="L29" s="2163">
        <f t="shared" ref="L29" si="13">ROUND(I29,1)-ROUND(F29,1)-ROUND(G29,1)-ROUND(H29,1)</f>
        <v>0</v>
      </c>
      <c r="M29" s="2163">
        <f t="shared" ref="M29" si="14">ROUND(J29,1)-ROUND(E29,1)-ROUND(I29,1)</f>
        <v>0</v>
      </c>
    </row>
    <row r="30" spans="1:13" s="889" customFormat="1" ht="21" customHeight="1">
      <c r="A30" s="1681">
        <v>2026</v>
      </c>
      <c r="B30" s="1691" t="s">
        <v>242</v>
      </c>
      <c r="C30" s="1692">
        <f t="shared" ref="C30:J30" si="15">C41</f>
        <v>2206.6</v>
      </c>
      <c r="D30" s="1692">
        <f t="shared" si="15"/>
        <v>-6504.8999999999978</v>
      </c>
      <c r="E30" s="1689">
        <f t="shared" si="15"/>
        <v>-4298.2999999999975</v>
      </c>
      <c r="F30" s="1692">
        <f t="shared" si="15"/>
        <v>13313.4</v>
      </c>
      <c r="G30" s="1689">
        <f t="shared" si="15"/>
        <v>12432.730006494046</v>
      </c>
      <c r="H30" s="1692">
        <f t="shared" si="15"/>
        <v>-4108.9109930382001</v>
      </c>
      <c r="I30" s="1689">
        <f t="shared" si="15"/>
        <v>21637.209013455846</v>
      </c>
      <c r="J30" s="1689">
        <f t="shared" si="15"/>
        <v>17338.900000000001</v>
      </c>
      <c r="K30" s="2434">
        <f t="shared" ref="K30" si="16">ROUND(E30,1)-ROUND(C30,1)-ROUND(D30,1)</f>
        <v>0</v>
      </c>
      <c r="L30" s="2163">
        <f t="shared" ref="L30" si="17">ROUND(I30,1)-ROUND(F30,1)-ROUND(G30,1)-ROUND(H30,1)</f>
        <v>0</v>
      </c>
      <c r="M30" s="2163">
        <f t="shared" ref="M30" si="18">ROUND(J30,1)-ROUND(E30,1)-ROUND(I30,1)</f>
        <v>0</v>
      </c>
    </row>
    <row r="31" spans="1:13" s="372" customFormat="1" ht="21" customHeight="1">
      <c r="A31" s="704">
        <v>2025</v>
      </c>
      <c r="B31" s="705" t="s">
        <v>427</v>
      </c>
      <c r="C31" s="1507">
        <v>1712.5</v>
      </c>
      <c r="D31" s="1507">
        <v>-5157.2000000000007</v>
      </c>
      <c r="E31" s="1510">
        <v>-3444.7000000000007</v>
      </c>
      <c r="F31" s="1507">
        <v>12435.095581669313</v>
      </c>
      <c r="G31" s="1510">
        <v>12218.675505790741</v>
      </c>
      <c r="H31" s="1507">
        <v>-4589.7840458953024</v>
      </c>
      <c r="I31" s="1510">
        <v>20063.987041564749</v>
      </c>
      <c r="J31" s="1510">
        <v>16619.3</v>
      </c>
      <c r="K31" s="2167">
        <v>0</v>
      </c>
      <c r="L31" s="2167">
        <v>0</v>
      </c>
      <c r="M31" s="2167">
        <v>0</v>
      </c>
    </row>
    <row r="32" spans="1:13" s="372" customFormat="1" ht="15" customHeight="1">
      <c r="A32" s="704"/>
      <c r="B32" s="705" t="s">
        <v>428</v>
      </c>
      <c r="C32" s="1507">
        <f>'1'!C32+'1'!D32-'1'!I32</f>
        <v>1435</v>
      </c>
      <c r="D32" s="1507">
        <f>'16'!J32</f>
        <v>-5184.1000000000004</v>
      </c>
      <c r="E32" s="1510">
        <f t="shared" ref="E32" si="19">SUM(C32:D32)</f>
        <v>-3749.1000000000004</v>
      </c>
      <c r="F32" s="1507">
        <f>'1'!F32+ROUND('14'!G32,1)+ROUND('14'!H32,1)</f>
        <v>12596.400000000001</v>
      </c>
      <c r="G32" s="1510">
        <f>'14'!F32</f>
        <v>12226.193005835752</v>
      </c>
      <c r="H32" s="1507">
        <f>('1'!E32+'1'!G32+'14'!D32+'14'!E32+'14'!I32)-('1'!K32+'1'!N32+'1'!O32+'15'!C32+'15'!D32+'15'!G32+'15'!H32+'[5]2'!$I$20+'[5]2'!$I$21+'[5]2'!$I$28+'[5]2'!$I$29)</f>
        <v>-4606.8874972329613</v>
      </c>
      <c r="I32" s="1510">
        <f t="shared" ref="I32:I34" si="20">SUM(F32:H32)</f>
        <v>20215.705508602794</v>
      </c>
      <c r="J32" s="1510">
        <f>'3'!J32</f>
        <v>16466.599999999999</v>
      </c>
      <c r="K32" s="2167">
        <f t="shared" ref="K32" si="21">ROUND(E32,1)-ROUND(C32,1)-ROUND(D32,1)</f>
        <v>0</v>
      </c>
      <c r="L32" s="2167">
        <f t="shared" ref="L32" si="22">ROUND(I32,1)-ROUND(F32,1)-ROUND(G32,1)-ROUND(H32,1)</f>
        <v>0</v>
      </c>
      <c r="M32" s="2167">
        <f t="shared" ref="M32" si="23">ROUND(J32,1)-ROUND(E32,1)-ROUND(I32,1)</f>
        <v>0</v>
      </c>
    </row>
    <row r="33" spans="1:13" s="372" customFormat="1" ht="15" customHeight="1">
      <c r="A33" s="704"/>
      <c r="B33" s="705" t="s">
        <v>429</v>
      </c>
      <c r="C33" s="1507">
        <f>'1'!C33+'1'!D33-'1'!I33</f>
        <v>1607.7</v>
      </c>
      <c r="D33" s="1507">
        <f>'16'!J33</f>
        <v>-5253.3000000000011</v>
      </c>
      <c r="E33" s="1510">
        <f t="shared" ref="E33" si="24">SUM(C33:D33)</f>
        <v>-3645.6000000000013</v>
      </c>
      <c r="F33" s="1507">
        <f>'1'!F33+ROUND('14'!G33,1)+ROUND('14'!H33,1)</f>
        <v>12240.8</v>
      </c>
      <c r="G33" s="1510">
        <f>'14'!F33</f>
        <v>12170.574120990528</v>
      </c>
      <c r="H33" s="1488">
        <f>('1'!E33+'1'!G33+'14'!D33+'14'!E33+'14'!I33)-('1'!K33+'1'!N33+'1'!O33+'15'!C33+'15'!D33+'15'!G33+'15'!H33+'[6]2'!$I$20+'[6]2'!$I$21+'[6]2'!$I$28+'[6]2'!$I$29)-0.1</f>
        <v>-4573.9901914761795</v>
      </c>
      <c r="I33" s="1510">
        <f t="shared" si="20"/>
        <v>19837.383929514348</v>
      </c>
      <c r="J33" s="1510">
        <f>'3'!J33</f>
        <v>16191.8</v>
      </c>
      <c r="K33" s="2167">
        <f t="shared" ref="K33" si="25">ROUND(E33,1)-ROUND(C33,1)-ROUND(D33,1)</f>
        <v>0</v>
      </c>
      <c r="L33" s="2167">
        <f t="shared" ref="L33" si="26">ROUND(I33,1)-ROUND(F33,1)-ROUND(G33,1)-ROUND(H33,1)</f>
        <v>0</v>
      </c>
      <c r="M33" s="2167">
        <f t="shared" ref="M33" si="27">ROUND(J33,1)-ROUND(E33,1)-ROUND(I33,1)</f>
        <v>0</v>
      </c>
    </row>
    <row r="34" spans="1:13" s="372" customFormat="1" ht="15" customHeight="1">
      <c r="A34" s="704"/>
      <c r="B34" s="705" t="s">
        <v>430</v>
      </c>
      <c r="C34" s="1507">
        <f>'1'!C34+'1'!D34-'1'!I34</f>
        <v>1337</v>
      </c>
      <c r="D34" s="1507">
        <f>'16'!J34</f>
        <v>-5052.8000000000011</v>
      </c>
      <c r="E34" s="1510">
        <f t="shared" ref="E34" si="28">SUM(C34:D34)</f>
        <v>-3715.8000000000011</v>
      </c>
      <c r="F34" s="1507">
        <f>'1'!F34+ROUND('14'!G34,1)+ROUND('14'!H34,1)</f>
        <v>12727.5</v>
      </c>
      <c r="G34" s="1510">
        <f>'14'!F34</f>
        <v>12102.288466598202</v>
      </c>
      <c r="H34" s="1507">
        <f>('1'!E34+'1'!G34+'14'!D34+'14'!E34+'14'!I34)-('1'!K34+'1'!N34+'1'!O34+'15'!C34+'15'!D34+'15'!G34+'15'!H34+'[7]2'!$I$20+'[7]2'!$I$21+'[7]2'!$I$28+'[7]2'!$I$29)</f>
        <v>-4773.9632201820077</v>
      </c>
      <c r="I34" s="1510">
        <f t="shared" si="20"/>
        <v>20055.825246416192</v>
      </c>
      <c r="J34" s="1510">
        <f>'3'!J34</f>
        <v>16340</v>
      </c>
      <c r="K34" s="2167">
        <f t="shared" ref="K34" si="29">ROUND(E34,1)-ROUND(C34,1)-ROUND(D34,1)</f>
        <v>0</v>
      </c>
      <c r="L34" s="2167">
        <f t="shared" ref="L34" si="30">ROUND(I34,1)-ROUND(F34,1)-ROUND(G34,1)-ROUND(H34,1)</f>
        <v>0</v>
      </c>
      <c r="M34" s="2167">
        <f t="shared" ref="M34" si="31">ROUND(J34,1)-ROUND(E34,1)-ROUND(I34,1)</f>
        <v>0</v>
      </c>
    </row>
    <row r="35" spans="1:13" s="372" customFormat="1" ht="15" customHeight="1">
      <c r="A35" s="704"/>
      <c r="B35" s="705" t="s">
        <v>431</v>
      </c>
      <c r="C35" s="1507">
        <f>'1'!C35+'1'!D35-'1'!I35</f>
        <v>1223.4000000000001</v>
      </c>
      <c r="D35" s="1507">
        <f>'16'!J35</f>
        <v>-5115.7000000000007</v>
      </c>
      <c r="E35" s="1510">
        <f t="shared" ref="E35" si="32">SUM(C35:D35)</f>
        <v>-3892.3000000000006</v>
      </c>
      <c r="F35" s="1507">
        <f>'1'!F35+ROUND('14'!G35,1)+ROUND('14'!H35,1)</f>
        <v>12866.8</v>
      </c>
      <c r="G35" s="1510">
        <f>'14'!F35</f>
        <v>12070.874790278758</v>
      </c>
      <c r="H35" s="1507">
        <f>('1'!E35+'1'!G35+'14'!D35+'14'!E35+'14'!I35)-('1'!K35+'1'!N35+'1'!O35+'15'!C35+'15'!D35+'15'!G35+'15'!H35+'[8]2'!$I$20+'[8]2'!$I$21+'[8]2'!$I$28+'[8]2'!$I$29)</f>
        <v>-4808.3176309173414</v>
      </c>
      <c r="I35" s="1510">
        <f t="shared" ref="I35" si="33">SUM(F35:H35)</f>
        <v>20129.357159361418</v>
      </c>
      <c r="J35" s="1510">
        <f>'3'!J35</f>
        <v>16237.1</v>
      </c>
      <c r="K35" s="2167">
        <f t="shared" ref="K35" si="34">ROUND(E35,1)-ROUND(C35,1)-ROUND(D35,1)</f>
        <v>0</v>
      </c>
      <c r="L35" s="2167">
        <f t="shared" ref="L35" si="35">ROUND(I35,1)-ROUND(F35,1)-ROUND(G35,1)-ROUND(H35,1)</f>
        <v>0</v>
      </c>
      <c r="M35" s="2167">
        <f t="shared" ref="M35" si="36">ROUND(J35,1)-ROUND(E35,1)-ROUND(I35,1)</f>
        <v>0</v>
      </c>
    </row>
    <row r="36" spans="1:13" s="372" customFormat="1" ht="15" customHeight="1">
      <c r="A36" s="704"/>
      <c r="B36" s="705" t="s">
        <v>420</v>
      </c>
      <c r="C36" s="1507">
        <f>'1'!C36+'1'!D36-'1'!I36</f>
        <v>1591.1</v>
      </c>
      <c r="D36" s="1507">
        <f>'16'!J36</f>
        <v>-5824.7000000000007</v>
      </c>
      <c r="E36" s="1510">
        <f t="shared" ref="E36" si="37">SUM(C36:D36)</f>
        <v>-4233.6000000000004</v>
      </c>
      <c r="F36" s="1507">
        <f>'1'!F36+ROUND('14'!G36,1)+ROUND('14'!H36,1)</f>
        <v>12337.7</v>
      </c>
      <c r="G36" s="1510">
        <f>'14'!F36</f>
        <v>12185.737582546886</v>
      </c>
      <c r="H36" s="1507">
        <f>('1'!E36+'1'!G36+'14'!D36+'14'!E36+'14'!I36)-('1'!K36+'1'!N36+'1'!O36+'15'!C36+'15'!D36+'15'!G36+'15'!H36+'[9]2'!$I$20+'[9]2'!$I$21+'[9]2'!$I$28+'[9]2'!$I$29)</f>
        <v>-4272.6109555745898</v>
      </c>
      <c r="I36" s="1510">
        <f t="shared" ref="I36" si="38">SUM(F36:H36)</f>
        <v>20250.826626972299</v>
      </c>
      <c r="J36" s="1510">
        <f>'3'!J36</f>
        <v>16017.199999999999</v>
      </c>
      <c r="K36" s="2167">
        <f t="shared" ref="K36" si="39">ROUND(E36,1)-ROUND(C36,1)-ROUND(D36,1)</f>
        <v>0</v>
      </c>
      <c r="L36" s="2167">
        <f t="shared" ref="L36" si="40">ROUND(I36,1)-ROUND(F36,1)-ROUND(G36,1)-ROUND(H36,1)</f>
        <v>0</v>
      </c>
      <c r="M36" s="2167">
        <f t="shared" ref="M36" si="41">ROUND(J36,1)-ROUND(E36,1)-ROUND(I36,1)</f>
        <v>0</v>
      </c>
    </row>
    <row r="37" spans="1:13" s="372" customFormat="1" ht="15" customHeight="1">
      <c r="A37" s="704"/>
      <c r="B37" s="705" t="s">
        <v>421</v>
      </c>
      <c r="C37" s="1507">
        <f>'1'!C37+'1'!D37-'1'!I37</f>
        <v>1366.7</v>
      </c>
      <c r="D37" s="1507">
        <f>'16'!J37</f>
        <v>-5720.8999999999978</v>
      </c>
      <c r="E37" s="1510">
        <f t="shared" ref="E37" si="42">SUM(C37:D37)</f>
        <v>-4354.199999999998</v>
      </c>
      <c r="F37" s="1507">
        <f>'1'!F37+ROUND('14'!G37,1)+ROUND('14'!H37,1)</f>
        <v>12708.8</v>
      </c>
      <c r="G37" s="1510">
        <f>'14'!F37</f>
        <v>12174.902209119286</v>
      </c>
      <c r="H37" s="1507">
        <f>('1'!E37+'1'!G37+'14'!D37+'14'!E37+'14'!I37)-('1'!K37+'1'!N37+'1'!O37+'15'!C37+'15'!D37+'15'!G37+'15'!H37+'[10]2'!$I$20+'[10]2'!$I$21+'[10]2'!$I$28+'[10]2'!$I$29)</f>
        <v>-4310.2049699758427</v>
      </c>
      <c r="I37" s="1510">
        <f t="shared" ref="I37" si="43">SUM(F37:H37)</f>
        <v>20573.497239143442</v>
      </c>
      <c r="J37" s="1510">
        <f>'3'!J37</f>
        <v>16219.3</v>
      </c>
      <c r="K37" s="2167">
        <f t="shared" ref="K37" si="44">ROUND(E37,1)-ROUND(C37,1)-ROUND(D37,1)</f>
        <v>0</v>
      </c>
      <c r="L37" s="2167">
        <f t="shared" ref="L37" si="45">ROUND(I37,1)-ROUND(F37,1)-ROUND(G37,1)-ROUND(H37,1)</f>
        <v>0</v>
      </c>
      <c r="M37" s="2167">
        <f t="shared" ref="M37" si="46">ROUND(J37,1)-ROUND(E37,1)-ROUND(I37,1)</f>
        <v>0</v>
      </c>
    </row>
    <row r="38" spans="1:13" s="372" customFormat="1" ht="15" customHeight="1">
      <c r="A38" s="704"/>
      <c r="B38" s="705" t="s">
        <v>422</v>
      </c>
      <c r="C38" s="1507">
        <f>'1'!C38+'1'!D38-'1'!I38</f>
        <v>1674.8999999999999</v>
      </c>
      <c r="D38" s="1507">
        <f>'16'!J38</f>
        <v>-5871.5000000000018</v>
      </c>
      <c r="E38" s="1510">
        <f t="shared" ref="E38" si="47">SUM(C38:D38)</f>
        <v>-4196.6000000000022</v>
      </c>
      <c r="F38" s="1507">
        <f>'1'!F38+ROUND('14'!G38,1)+ROUND('14'!H38,1)</f>
        <v>12668.4</v>
      </c>
      <c r="G38" s="1510">
        <f>'14'!F38</f>
        <v>12321.563574700062</v>
      </c>
      <c r="H38" s="1507">
        <f>('1'!E38+'1'!G38+'14'!D38+'14'!E38+'14'!I38)-('1'!K38+'1'!N38+'1'!O38+'15'!C38+'15'!D38+'15'!G38+'15'!H38+'[11]2'!$I$20+'[11]2'!$I$21+'[11]2'!$I$28+'[11]2'!$I$29)</f>
        <v>-4244.9142671346272</v>
      </c>
      <c r="I38" s="2306">
        <f>SUM(F38:H38)+0.1</f>
        <v>20745.149307565433</v>
      </c>
      <c r="J38" s="1510">
        <f>'3'!J38</f>
        <v>16548.5</v>
      </c>
      <c r="K38" s="2167">
        <f t="shared" ref="K38" si="48">ROUND(E38,1)-ROUND(C38,1)-ROUND(D38,1)</f>
        <v>0</v>
      </c>
      <c r="L38" s="2167">
        <f t="shared" ref="L38" si="49">ROUND(I38,1)-ROUND(F38,1)-ROUND(G38,1)-ROUND(H38,1)</f>
        <v>0</v>
      </c>
      <c r="M38" s="2167">
        <f t="shared" ref="M38" si="50">ROUND(J38,1)-ROUND(E38,1)-ROUND(I38,1)</f>
        <v>0</v>
      </c>
    </row>
    <row r="39" spans="1:13" s="372" customFormat="1" ht="21" customHeight="1">
      <c r="A39" s="704">
        <v>2026</v>
      </c>
      <c r="B39" s="705" t="s">
        <v>423</v>
      </c>
      <c r="C39" s="1507">
        <f>'1'!C39+'1'!D39-'1'!I39</f>
        <v>1358.6</v>
      </c>
      <c r="D39" s="1507">
        <f>'16'!J39</f>
        <v>-5691.8000000000011</v>
      </c>
      <c r="E39" s="1510">
        <f t="shared" ref="E39" si="51">SUM(C39:D39)</f>
        <v>-4333.2000000000007</v>
      </c>
      <c r="F39" s="1507">
        <f>'1'!F39+ROUND('14'!G39,1)+ROUND('14'!H39,1)</f>
        <v>13334.6</v>
      </c>
      <c r="G39" s="1507">
        <f>'14'!F39</f>
        <v>12200.143844624019</v>
      </c>
      <c r="H39" s="1488">
        <f>('1'!E39+'1'!G39+'14'!D39+'14'!E39+'14'!I39)-('1'!K39+'1'!N39+'1'!O39+'15'!C39+'15'!D39+'15'!G39+'15'!H39+'[12]2'!$I$20+'[12]2'!$I$21+'[12]2'!$I$28+'[12]2'!$I$29)-0.1</f>
        <v>-4521.8835713323824</v>
      </c>
      <c r="I39" s="2306">
        <f>SUM(F39:H39)-0.02</f>
        <v>21012.840273291637</v>
      </c>
      <c r="J39" s="1510">
        <f>'3'!J39</f>
        <v>16679.600000000002</v>
      </c>
      <c r="K39" s="2167">
        <f t="shared" ref="K39" si="52">ROUND(E39,1)-ROUND(C39,1)-ROUND(D39,1)</f>
        <v>0</v>
      </c>
      <c r="L39" s="2167">
        <f t="shared" ref="L39" si="53">ROUND(I39,1)-ROUND(F39,1)-ROUND(G39,1)-ROUND(H39,1)</f>
        <v>0</v>
      </c>
      <c r="M39" s="2167">
        <f t="shared" ref="M39" si="54">ROUND(J39,1)-ROUND(E39,1)-ROUND(I39,1)</f>
        <v>0</v>
      </c>
    </row>
    <row r="40" spans="1:13" s="372" customFormat="1" ht="15" customHeight="1">
      <c r="A40" s="704"/>
      <c r="B40" s="705" t="s">
        <v>424</v>
      </c>
      <c r="C40" s="1507">
        <f>'1'!C40+'1'!D40-'1'!I40</f>
        <v>2070.5</v>
      </c>
      <c r="D40" s="1507">
        <f>'16'!J40</f>
        <v>-5586.1000000000022</v>
      </c>
      <c r="E40" s="1510">
        <f t="shared" ref="E40" si="55">SUM(C40:D40)</f>
        <v>-3515.6000000000022</v>
      </c>
      <c r="F40" s="1507">
        <f>'1'!F40+ROUND('14'!G40,1)+ROUND('14'!H40,1)</f>
        <v>13078.2</v>
      </c>
      <c r="G40" s="1507">
        <f>'14'!F40</f>
        <v>12209.39527980212</v>
      </c>
      <c r="H40" s="1488">
        <f>('1'!E40+'1'!G40+'14'!D40+'14'!E40+'14'!I40)-('1'!K40+'1'!N40+'1'!O40+'15'!C40+'15'!D40+'15'!G40+'15'!H40+'[13]2'!$I$20+'[13]2'!$I$21+'[13]2'!$I$28+'[13]2'!$I$29)+0.7</f>
        <v>-4761.7106520132247</v>
      </c>
      <c r="I40" s="1510">
        <f>SUM(F40:H40)</f>
        <v>20525.884627788895</v>
      </c>
      <c r="J40" s="1510">
        <f>'3'!J40</f>
        <v>17010.3</v>
      </c>
      <c r="K40" s="2167">
        <f t="shared" ref="K40" si="56">ROUND(E40,1)-ROUND(C40,1)-ROUND(D40,1)</f>
        <v>0</v>
      </c>
      <c r="L40" s="2167">
        <f t="shared" ref="L40" si="57">ROUND(I40,1)-ROUND(F40,1)-ROUND(G40,1)-ROUND(H40,1)</f>
        <v>0</v>
      </c>
      <c r="M40" s="2167">
        <f t="shared" ref="M40" si="58">ROUND(J40,1)-ROUND(E40,1)-ROUND(I40,1)</f>
        <v>0</v>
      </c>
    </row>
    <row r="41" spans="1:13" s="372" customFormat="1" ht="15" customHeight="1">
      <c r="A41" s="704"/>
      <c r="B41" s="705" t="s">
        <v>425</v>
      </c>
      <c r="C41" s="1507">
        <f>'1'!C41+'1'!D41-'1'!I41</f>
        <v>2206.6</v>
      </c>
      <c r="D41" s="1507">
        <f>'16'!J41</f>
        <v>-6504.8999999999978</v>
      </c>
      <c r="E41" s="1510">
        <f t="shared" ref="E41" si="59">SUM(C41:D41)</f>
        <v>-4298.2999999999975</v>
      </c>
      <c r="F41" s="1507">
        <f>'1'!F41+ROUND('14'!G41,1)+ROUND('14'!H41,1)</f>
        <v>13313.4</v>
      </c>
      <c r="G41" s="1507">
        <f>'14'!F41</f>
        <v>12432.730006494046</v>
      </c>
      <c r="H41" s="1507">
        <f>('1'!E41+'1'!G41+'14'!D41+'14'!E41+'14'!I41)-('1'!K41+'1'!N41+'1'!O41+'15'!C41+'15'!D41+'15'!G41+'15'!H41+'[14]2'!$I$20+'[14]2'!$I$21+'[14]2'!$I$28+'[14]2'!$I$29)</f>
        <v>-4108.9109930382001</v>
      </c>
      <c r="I41" s="2306">
        <f>SUM(F41:H41)-0.01</f>
        <v>21637.209013455846</v>
      </c>
      <c r="J41" s="1510">
        <f>'3'!J41</f>
        <v>17338.900000000001</v>
      </c>
      <c r="K41" s="2167">
        <f t="shared" ref="K41" si="60">ROUND(E41,1)-ROUND(C41,1)-ROUND(D41,1)</f>
        <v>0</v>
      </c>
      <c r="L41" s="2167">
        <f t="shared" ref="L41" si="61">ROUND(I41,1)-ROUND(F41,1)-ROUND(G41,1)-ROUND(H41,1)</f>
        <v>0</v>
      </c>
      <c r="M41" s="2167">
        <f t="shared" ref="M41:M42" si="62">ROUND(J41,1)-ROUND(E41,1)-ROUND(I41,1)</f>
        <v>0</v>
      </c>
    </row>
    <row r="42" spans="1:13" s="372" customFormat="1" ht="15" customHeight="1">
      <c r="A42" s="704"/>
      <c r="B42" s="705" t="s">
        <v>426</v>
      </c>
      <c r="C42" s="1507">
        <f>'1'!C42+'1'!D42-'1'!I42</f>
        <v>1567.3</v>
      </c>
      <c r="D42" s="1507">
        <f>'16'!J42</f>
        <v>-5571.1999999999971</v>
      </c>
      <c r="E42" s="1510">
        <f t="shared" ref="E42" si="63">SUM(C42:D42)</f>
        <v>-4003.8999999999969</v>
      </c>
      <c r="F42" s="1507">
        <f>'1'!F42+ROUND('14'!G42,1)+ROUND('14'!H42,1)</f>
        <v>13568.8</v>
      </c>
      <c r="G42" s="1507">
        <f>'14'!F42</f>
        <v>12641.54818946557</v>
      </c>
      <c r="H42" s="1507">
        <f>('1'!E42+'1'!G42+'14'!D42+'14'!E42+'14'!I42)-('1'!K42+'1'!N42+'1'!O42+'15'!C42+'15'!D42+'15'!G42+'15'!H42+'[15]2'!$I$20+'[15]2'!$I$21+'[15]2'!$I$28+'[15]2'!$I$29)</f>
        <v>-4131.8656974856349</v>
      </c>
      <c r="I42" s="1510">
        <f>SUM(F42:H42)-0.04</f>
        <v>22078.442491979935</v>
      </c>
      <c r="J42" s="1510">
        <f>'3'!J42</f>
        <v>18074.5</v>
      </c>
      <c r="K42" s="2167">
        <f t="shared" ref="K42" si="64">ROUND(E42,1)-ROUND(C42,1)-ROUND(D42,1)</f>
        <v>0</v>
      </c>
      <c r="L42" s="2167">
        <f t="shared" ref="L42" si="65">ROUND(I42,1)-ROUND(F42,1)-ROUND(G42,1)-ROUND(H42,1)</f>
        <v>0</v>
      </c>
      <c r="M42" s="2167">
        <f t="shared" si="62"/>
        <v>0</v>
      </c>
    </row>
    <row r="43" spans="1:13" s="372" customFormat="1" ht="15" customHeight="1">
      <c r="A43" s="704"/>
      <c r="B43" s="705" t="s">
        <v>1790</v>
      </c>
      <c r="C43" s="1507">
        <f>'1'!C43+'1'!D43-'1'!I43</f>
        <v>825.2</v>
      </c>
      <c r="D43" s="1507">
        <f>'16'!J43</f>
        <v>-5295.5</v>
      </c>
      <c r="E43" s="1510">
        <f t="shared" ref="E43" si="66">SUM(C43:D43)</f>
        <v>-4470.3</v>
      </c>
      <c r="F43" s="1507">
        <f>'1'!F43+ROUND('14'!G43,1)+ROUND('14'!H43,1)</f>
        <v>13977.9</v>
      </c>
      <c r="G43" s="1507">
        <f>'14'!F43</f>
        <v>12623.932835515896</v>
      </c>
      <c r="H43" s="1488">
        <f>('1'!E43+'1'!G43+'14'!D43+'14'!E43+'14'!I43)-('1'!K43+'1'!N43+'1'!O43+'15'!C43+'15'!D43+'15'!G43+'15'!H43+'[16]2'!$I$20+'[16]2'!$I$21+'[16]2'!$I$28+'[16]2'!$I$29)+0.02</f>
        <v>-4165.3412090925431</v>
      </c>
      <c r="I43" s="1510">
        <f>SUM(F43:H43)-0.04</f>
        <v>22436.451626423353</v>
      </c>
      <c r="J43" s="1510">
        <f>'3'!J43</f>
        <v>17966.199999999997</v>
      </c>
      <c r="K43" s="2167">
        <f t="shared" ref="K43" si="67">ROUND(E43,1)-ROUND(C43,1)-ROUND(D43,1)</f>
        <v>0</v>
      </c>
      <c r="L43" s="2167">
        <f t="shared" ref="L43" si="68">ROUND(I43,1)-ROUND(F43,1)-ROUND(G43,1)-ROUND(H43,1)</f>
        <v>0</v>
      </c>
      <c r="M43" s="2167">
        <f t="shared" ref="M43" si="69">ROUND(J43,1)-ROUND(E43,1)-ROUND(I43,1)</f>
        <v>0</v>
      </c>
    </row>
    <row r="44" spans="1:13" s="6" customFormat="1" ht="20.25" customHeight="1">
      <c r="A44" s="225"/>
      <c r="B44" s="225"/>
      <c r="C44" s="1433"/>
      <c r="D44" s="1433"/>
      <c r="E44" s="1433"/>
      <c r="F44" s="1433"/>
      <c r="G44" s="1433"/>
      <c r="H44" s="1434"/>
      <c r="I44" s="1433"/>
      <c r="J44" s="1435"/>
    </row>
    <row r="45" spans="1:13">
      <c r="A45" s="14"/>
      <c r="B45" s="14"/>
      <c r="C45" s="1248"/>
      <c r="D45" s="1248"/>
      <c r="E45" s="1248"/>
      <c r="F45" s="1248"/>
      <c r="G45" s="1248"/>
      <c r="H45" s="1466"/>
      <c r="I45" s="1467"/>
      <c r="J45" s="1467"/>
    </row>
    <row r="47" spans="1:13">
      <c r="A47" s="476" t="s">
        <v>520</v>
      </c>
      <c r="B47" s="1"/>
      <c r="C47" s="12"/>
      <c r="D47" s="12"/>
      <c r="E47" s="12"/>
      <c r="F47" s="12"/>
      <c r="G47" s="12"/>
      <c r="H47" s="12"/>
      <c r="I47" s="12"/>
      <c r="J47" s="12"/>
    </row>
  </sheetData>
  <phoneticPr fontId="0" type="noConversion"/>
  <printOptions horizontalCentered="1" verticalCentered="1"/>
  <pageMargins left="0" right="0" top="0" bottom="0" header="0.511811023622047" footer="0.511811023622047"/>
  <pageSetup paperSize="9" scale="7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sheetPr>
  <dimension ref="A1:M51"/>
  <sheetViews>
    <sheetView zoomScale="80" zoomScaleNormal="80" workbookViewId="0">
      <pane ySplit="12" topLeftCell="A38" activePane="bottomLeft" state="frozen"/>
      <selection activeCell="B43" sqref="B43"/>
      <selection pane="bottomLeft" activeCell="K43" sqref="K43"/>
    </sheetView>
  </sheetViews>
  <sheetFormatPr defaultColWidth="7.81640625" defaultRowHeight="15.5"/>
  <cols>
    <col min="1" max="2" width="9.26953125" style="9" customWidth="1"/>
    <col min="3" max="11" width="16.81640625" style="9" customWidth="1"/>
    <col min="12" max="16384" width="7.81640625" style="9"/>
  </cols>
  <sheetData>
    <row r="1" spans="1:13" s="1088" customFormat="1" ht="18">
      <c r="A1" s="1086" t="s">
        <v>521</v>
      </c>
      <c r="B1" s="1087"/>
      <c r="C1" s="1087"/>
      <c r="D1" s="1087"/>
      <c r="E1" s="1087"/>
      <c r="F1" s="1087"/>
      <c r="G1" s="1087"/>
      <c r="H1" s="1087"/>
      <c r="I1" s="1087"/>
      <c r="J1" s="1087"/>
      <c r="K1" s="1087"/>
    </row>
    <row r="2" spans="1:13" s="1088" customFormat="1" ht="18">
      <c r="A2" s="1089" t="s">
        <v>522</v>
      </c>
      <c r="B2" s="1087"/>
      <c r="C2" s="1087"/>
      <c r="D2" s="1087"/>
      <c r="E2" s="1087"/>
      <c r="F2" s="1087"/>
      <c r="G2" s="1087"/>
      <c r="H2" s="1087"/>
      <c r="I2" s="1087"/>
      <c r="J2" s="1087"/>
      <c r="K2" s="1087"/>
    </row>
    <row r="3" spans="1:13" s="1088" customFormat="1" ht="18">
      <c r="A3" s="1086" t="s">
        <v>14</v>
      </c>
      <c r="B3" s="1087"/>
      <c r="C3" s="1087"/>
      <c r="D3" s="1087"/>
      <c r="E3" s="1087"/>
      <c r="F3" s="1087"/>
      <c r="G3" s="1087"/>
      <c r="H3" s="1087"/>
      <c r="I3" s="1087"/>
      <c r="J3" s="1087"/>
      <c r="K3" s="1087"/>
    </row>
    <row r="4" spans="1:13" s="28" customFormat="1" ht="18" customHeight="1">
      <c r="A4" s="20" t="s">
        <v>377</v>
      </c>
      <c r="B4" s="11"/>
      <c r="C4" s="35"/>
      <c r="E4" s="35"/>
      <c r="F4" s="35"/>
      <c r="G4" s="35"/>
      <c r="H4" s="35"/>
      <c r="I4" s="35"/>
      <c r="J4" s="35"/>
      <c r="K4" s="38" t="s">
        <v>378</v>
      </c>
    </row>
    <row r="5" spans="1:13" s="36" customFormat="1">
      <c r="A5" s="32"/>
      <c r="B5" s="115"/>
      <c r="C5" s="24"/>
      <c r="D5" s="115"/>
      <c r="E5" s="24" t="s">
        <v>15</v>
      </c>
      <c r="F5" s="116"/>
      <c r="G5" s="116"/>
      <c r="H5" s="116"/>
      <c r="I5" s="116"/>
      <c r="J5" s="116"/>
      <c r="K5" s="117"/>
    </row>
    <row r="6" spans="1:13" s="36" customFormat="1">
      <c r="A6" s="33"/>
      <c r="B6" s="76"/>
      <c r="C6" s="24" t="s">
        <v>11</v>
      </c>
      <c r="D6" s="76"/>
      <c r="E6" s="68" t="s">
        <v>523</v>
      </c>
      <c r="F6" s="68"/>
      <c r="G6" s="68"/>
      <c r="H6" s="68"/>
      <c r="I6" s="68"/>
      <c r="J6" s="68"/>
      <c r="K6" s="100"/>
    </row>
    <row r="7" spans="1:13" s="36" customFormat="1">
      <c r="A7" s="33"/>
      <c r="B7" s="76"/>
      <c r="C7" s="62" t="s">
        <v>258</v>
      </c>
      <c r="D7" s="76"/>
      <c r="E7" s="24" t="s">
        <v>524</v>
      </c>
      <c r="F7" s="62"/>
      <c r="G7" s="76"/>
      <c r="H7" s="24" t="s">
        <v>525</v>
      </c>
      <c r="I7" s="62"/>
      <c r="J7" s="62"/>
      <c r="K7" s="76"/>
    </row>
    <row r="8" spans="1:13" s="36" customFormat="1">
      <c r="A8" s="26" t="s">
        <v>387</v>
      </c>
      <c r="B8" s="76"/>
      <c r="C8" s="118"/>
      <c r="D8" s="119"/>
      <c r="E8" s="68" t="s">
        <v>526</v>
      </c>
      <c r="F8" s="68"/>
      <c r="G8" s="100"/>
      <c r="H8" s="68" t="s">
        <v>527</v>
      </c>
      <c r="I8" s="68"/>
      <c r="J8" s="68"/>
      <c r="K8" s="100"/>
    </row>
    <row r="9" spans="1:13" s="36" customFormat="1">
      <c r="A9" s="120" t="s">
        <v>395</v>
      </c>
      <c r="B9" s="76"/>
      <c r="C9" s="73"/>
      <c r="D9" s="73"/>
      <c r="E9" s="80" t="s">
        <v>504</v>
      </c>
      <c r="F9" s="97" t="s">
        <v>505</v>
      </c>
      <c r="G9" s="65"/>
      <c r="H9" s="107"/>
      <c r="I9" s="108"/>
      <c r="J9" s="65"/>
      <c r="K9" s="66"/>
    </row>
    <row r="10" spans="1:13" s="36" customFormat="1">
      <c r="A10" s="33"/>
      <c r="B10" s="76"/>
      <c r="C10" s="81" t="s">
        <v>390</v>
      </c>
      <c r="D10" s="81" t="s">
        <v>528</v>
      </c>
      <c r="E10" s="80" t="s">
        <v>508</v>
      </c>
      <c r="F10" s="108" t="s">
        <v>509</v>
      </c>
      <c r="G10" s="97" t="s">
        <v>390</v>
      </c>
      <c r="H10" s="108" t="s">
        <v>398</v>
      </c>
      <c r="I10" s="108" t="s">
        <v>510</v>
      </c>
      <c r="J10" s="97" t="s">
        <v>529</v>
      </c>
      <c r="K10" s="81" t="s">
        <v>390</v>
      </c>
    </row>
    <row r="11" spans="1:13" s="36" customFormat="1">
      <c r="A11" s="33"/>
      <c r="B11" s="76"/>
      <c r="C11" s="66" t="s">
        <v>400</v>
      </c>
      <c r="D11" s="66" t="s">
        <v>530</v>
      </c>
      <c r="E11" s="98" t="s">
        <v>512</v>
      </c>
      <c r="F11" s="86" t="s">
        <v>513</v>
      </c>
      <c r="G11" s="65" t="s">
        <v>400</v>
      </c>
      <c r="H11" s="66" t="s">
        <v>476</v>
      </c>
      <c r="I11" s="98" t="s">
        <v>517</v>
      </c>
      <c r="J11" s="65" t="s">
        <v>531</v>
      </c>
      <c r="K11" s="66" t="s">
        <v>400</v>
      </c>
    </row>
    <row r="12" spans="1:13" s="36" customFormat="1">
      <c r="A12" s="34"/>
      <c r="B12" s="100"/>
      <c r="C12" s="119"/>
      <c r="D12" s="119"/>
      <c r="E12" s="95" t="s">
        <v>515</v>
      </c>
      <c r="F12" s="112" t="s">
        <v>413</v>
      </c>
      <c r="G12" s="51"/>
      <c r="H12" s="121" t="s">
        <v>516</v>
      </c>
      <c r="I12" s="51"/>
      <c r="J12" s="51"/>
      <c r="K12" s="95"/>
    </row>
    <row r="13" spans="1:13" s="483" customFormat="1" ht="20.25" customHeight="1">
      <c r="A13" s="975">
        <v>2016</v>
      </c>
      <c r="B13" s="976"/>
      <c r="C13" s="977">
        <v>12021.82690553366</v>
      </c>
      <c r="D13" s="978">
        <v>126.64528416905887</v>
      </c>
      <c r="E13" s="978">
        <v>-353.00000000000011</v>
      </c>
      <c r="F13" s="978">
        <v>-216.78653172736449</v>
      </c>
      <c r="G13" s="978">
        <v>-569.7865317273646</v>
      </c>
      <c r="H13" s="978">
        <v>1228.2125826084639</v>
      </c>
      <c r="I13" s="978">
        <v>128.15509331663247</v>
      </c>
      <c r="J13" s="978">
        <v>-659.95705889517421</v>
      </c>
      <c r="K13" s="978">
        <v>696.42061702992214</v>
      </c>
      <c r="L13" s="2163">
        <f t="shared" ref="L13:L19" si="0">ROUND(G13,1)-ROUND(F13,1)-ROUND(E13,1)</f>
        <v>0</v>
      </c>
      <c r="M13" s="2163">
        <f t="shared" ref="M13:M19" si="1">ROUND(K13,1)-ROUND(J13,1)-ROUND(H13,1)-ROUND(I13,1)</f>
        <v>0</v>
      </c>
    </row>
    <row r="14" spans="1:13" s="707" customFormat="1" ht="14.25" customHeight="1">
      <c r="A14" s="625">
        <v>2017</v>
      </c>
      <c r="B14" s="979"/>
      <c r="C14" s="980">
        <v>12521.33834765356</v>
      </c>
      <c r="D14" s="983">
        <v>499.51144211989958</v>
      </c>
      <c r="E14" s="981">
        <v>64.700000000000045</v>
      </c>
      <c r="F14" s="981">
        <v>-333.19772738715869</v>
      </c>
      <c r="G14" s="981">
        <v>-268.49772738715865</v>
      </c>
      <c r="H14" s="981">
        <v>467.5510657972045</v>
      </c>
      <c r="I14" s="981">
        <v>214.63842358180955</v>
      </c>
      <c r="J14" s="981">
        <v>85.812921095759521</v>
      </c>
      <c r="K14" s="981">
        <v>768.00241047477539</v>
      </c>
      <c r="L14" s="2163">
        <f t="shared" si="0"/>
        <v>0</v>
      </c>
      <c r="M14" s="2163">
        <f t="shared" si="1"/>
        <v>0</v>
      </c>
    </row>
    <row r="15" spans="1:13" s="889" customFormat="1" ht="14.25" customHeight="1">
      <c r="A15" s="884">
        <v>2018</v>
      </c>
      <c r="B15" s="885"/>
      <c r="C15" s="982">
        <v>12622.075757186307</v>
      </c>
      <c r="D15" s="993">
        <v>100.75740953274682</v>
      </c>
      <c r="E15" s="983">
        <v>-180.80000000000007</v>
      </c>
      <c r="F15" s="993">
        <v>-185.43058746782157</v>
      </c>
      <c r="G15" s="993">
        <v>-366.23058746782164</v>
      </c>
      <c r="H15" s="974">
        <v>-36.751160744059234</v>
      </c>
      <c r="I15" s="974">
        <v>890.32476565865909</v>
      </c>
      <c r="J15" s="993">
        <v>-386.53760634727269</v>
      </c>
      <c r="K15" s="983">
        <v>467.01599856732719</v>
      </c>
      <c r="L15" s="2163">
        <f t="shared" si="0"/>
        <v>0</v>
      </c>
      <c r="M15" s="2163">
        <f t="shared" si="1"/>
        <v>0</v>
      </c>
    </row>
    <row r="16" spans="1:13" s="889" customFormat="1" ht="14.25" customHeight="1">
      <c r="A16" s="884">
        <v>2019</v>
      </c>
      <c r="B16" s="885"/>
      <c r="C16" s="982">
        <v>13671.88438483977</v>
      </c>
      <c r="D16" s="974">
        <v>1049.8086276534632</v>
      </c>
      <c r="E16" s="983">
        <v>576.29999999999995</v>
      </c>
      <c r="F16" s="993">
        <v>127.9396228808484</v>
      </c>
      <c r="G16" s="993">
        <v>704.2396228808484</v>
      </c>
      <c r="H16" s="993">
        <v>564.86383717037506</v>
      </c>
      <c r="I16" s="974">
        <v>106.26276357035204</v>
      </c>
      <c r="J16" s="974">
        <v>-325.572721890715</v>
      </c>
      <c r="K16" s="983">
        <v>345.55387885001073</v>
      </c>
      <c r="L16" s="2163">
        <f t="shared" si="0"/>
        <v>0</v>
      </c>
      <c r="M16" s="2163">
        <f t="shared" si="1"/>
        <v>0</v>
      </c>
    </row>
    <row r="17" spans="1:13" s="889" customFormat="1" ht="14.25" customHeight="1">
      <c r="A17" s="884">
        <v>2020</v>
      </c>
      <c r="B17" s="885"/>
      <c r="C17" s="982">
        <v>14151.256808289852</v>
      </c>
      <c r="D17" s="974">
        <v>479.37242345008235</v>
      </c>
      <c r="E17" s="983">
        <v>-544.09999999999991</v>
      </c>
      <c r="F17" s="993">
        <v>-350.13941822498828</v>
      </c>
      <c r="G17" s="993">
        <v>-894.23941822498819</v>
      </c>
      <c r="H17" s="993">
        <v>1167.0362952039427</v>
      </c>
      <c r="I17" s="974">
        <v>677.53402676623227</v>
      </c>
      <c r="J17" s="974">
        <v>-470.94075845043017</v>
      </c>
      <c r="K17" s="983">
        <v>1373.6295635197457</v>
      </c>
      <c r="L17" s="2163">
        <f t="shared" si="0"/>
        <v>0</v>
      </c>
      <c r="M17" s="2163">
        <f t="shared" si="1"/>
        <v>0</v>
      </c>
    </row>
    <row r="18" spans="1:13" s="889" customFormat="1" ht="14.25" customHeight="1">
      <c r="A18" s="884">
        <v>2021</v>
      </c>
      <c r="B18" s="885"/>
      <c r="C18" s="982">
        <v>14884.212361565633</v>
      </c>
      <c r="D18" s="993">
        <v>732.93555327578042</v>
      </c>
      <c r="E18" s="983">
        <v>736.59999999999991</v>
      </c>
      <c r="F18" s="974">
        <v>-164.85046200315628</v>
      </c>
      <c r="G18" s="974">
        <v>571.74953799684363</v>
      </c>
      <c r="H18" s="974">
        <v>287.71379619283107</v>
      </c>
      <c r="I18" s="974">
        <v>466.80814812766221</v>
      </c>
      <c r="J18" s="974">
        <v>-593.29008943033978</v>
      </c>
      <c r="K18" s="983">
        <v>161.23185489015123</v>
      </c>
      <c r="L18" s="2163">
        <f t="shared" si="0"/>
        <v>0</v>
      </c>
      <c r="M18" s="2163">
        <f t="shared" si="1"/>
        <v>0</v>
      </c>
    </row>
    <row r="19" spans="1:13" s="483" customFormat="1" ht="14.25" customHeight="1">
      <c r="A19" s="1782">
        <v>2022</v>
      </c>
      <c r="B19" s="1783"/>
      <c r="C19" s="2411">
        <v>15135.428446639962</v>
      </c>
      <c r="D19" s="974">
        <v>251.19999999999891</v>
      </c>
      <c r="E19" s="2349">
        <v>-67</v>
      </c>
      <c r="F19" s="974">
        <v>-1105.5</v>
      </c>
      <c r="G19" s="974">
        <v>-1172.5</v>
      </c>
      <c r="H19" s="974">
        <v>1115.5000000000009</v>
      </c>
      <c r="I19" s="974">
        <v>394.29999999999927</v>
      </c>
      <c r="J19" s="974">
        <v>-86.100000000000364</v>
      </c>
      <c r="K19" s="974">
        <v>1423.6999999999989</v>
      </c>
      <c r="L19" s="2163">
        <f t="shared" si="0"/>
        <v>0</v>
      </c>
      <c r="M19" s="2163">
        <f t="shared" si="1"/>
        <v>0</v>
      </c>
    </row>
    <row r="20" spans="1:13" s="483" customFormat="1" ht="14.25" customHeight="1">
      <c r="A20" s="1782">
        <v>2023</v>
      </c>
      <c r="B20" s="1783"/>
      <c r="C20" s="2411">
        <v>15966.291360589066</v>
      </c>
      <c r="D20" s="974">
        <v>830.89999999999964</v>
      </c>
      <c r="E20" s="974">
        <v>111.10000000000014</v>
      </c>
      <c r="F20" s="974">
        <v>-501.90000000000009</v>
      </c>
      <c r="G20" s="974">
        <v>-390.79999999999995</v>
      </c>
      <c r="H20" s="974">
        <v>748.69999999999891</v>
      </c>
      <c r="I20" s="974">
        <v>299.5</v>
      </c>
      <c r="J20" s="974">
        <v>173.5</v>
      </c>
      <c r="K20" s="974">
        <v>1221.7000000000007</v>
      </c>
      <c r="L20" s="2163">
        <v>0</v>
      </c>
      <c r="M20" s="2163">
        <v>0</v>
      </c>
    </row>
    <row r="21" spans="1:13" s="483" customFormat="1" ht="14.25" customHeight="1">
      <c r="A21" s="1782">
        <v>2024</v>
      </c>
      <c r="B21" s="1783"/>
      <c r="C21" s="2411">
        <v>16220.441938154301</v>
      </c>
      <c r="D21" s="974">
        <v>254.10000000000036</v>
      </c>
      <c r="E21" s="974">
        <v>-87.700000000000045</v>
      </c>
      <c r="F21" s="974">
        <v>-1122.2999999999997</v>
      </c>
      <c r="G21" s="974">
        <v>-1209.9999999999998</v>
      </c>
      <c r="H21" s="974">
        <v>1287.7000000000007</v>
      </c>
      <c r="I21" s="974">
        <v>92.100000000000364</v>
      </c>
      <c r="J21" s="974">
        <v>84.300000000000182</v>
      </c>
      <c r="K21" s="974">
        <v>1464.0999999999985</v>
      </c>
      <c r="L21" s="2163">
        <v>0</v>
      </c>
      <c r="M21" s="2163">
        <v>0</v>
      </c>
    </row>
    <row r="22" spans="1:13" s="483" customFormat="1" ht="14.25" customHeight="1">
      <c r="A22" s="2058">
        <v>2025</v>
      </c>
      <c r="B22" s="2200"/>
      <c r="C22" s="2286">
        <f>C29</f>
        <v>16548.5</v>
      </c>
      <c r="D22" s="1848">
        <f t="shared" ref="D22" si="2">ROUND(C22,1)-ROUND(C21,1)</f>
        <v>328.10000000000036</v>
      </c>
      <c r="E22" s="1848">
        <f>ROUND('4'!C22,1)-ROUND('4'!C21,1)</f>
        <v>247.40000000000009</v>
      </c>
      <c r="F22" s="1848">
        <f>ROUND('4'!D22,1)-ROUND('4'!D21,1)</f>
        <v>-1647.8000000000002</v>
      </c>
      <c r="G22" s="1848">
        <f>ROUND('4'!E22,1)-ROUND('4'!E21,1)</f>
        <v>-1400.4000000000005</v>
      </c>
      <c r="H22" s="1848">
        <f>ROUND('4'!F22,1)-ROUND('4'!F21,1)</f>
        <v>1439.2999999999993</v>
      </c>
      <c r="I22" s="1848">
        <f>ROUND('4'!G22,1)-ROUND('4'!G21,1)</f>
        <v>424.60000000000036</v>
      </c>
      <c r="J22" s="1848">
        <f>ROUND('4'!H22,1)-ROUND('4'!H21,1)</f>
        <v>-135.39999999999964</v>
      </c>
      <c r="K22" s="1848">
        <f>ROUND('4'!I22,1)-ROUND('4'!I21,1)</f>
        <v>1728.5</v>
      </c>
      <c r="L22" s="2163">
        <f>ROUND(G22,1)-ROUND(F22,1)-ROUND(E22,1)</f>
        <v>0</v>
      </c>
      <c r="M22" s="2163">
        <f>ROUND(K22,1)-ROUND(J22,1)-ROUND(H22,1)-ROUND(I22,1)</f>
        <v>0</v>
      </c>
    </row>
    <row r="23" spans="1:13" s="889" customFormat="1" ht="21" customHeight="1">
      <c r="A23" s="884">
        <v>2024</v>
      </c>
      <c r="B23" s="885" t="s">
        <v>243</v>
      </c>
      <c r="C23" s="982">
        <v>16016.12461470573</v>
      </c>
      <c r="D23" s="981">
        <v>116.39999999999964</v>
      </c>
      <c r="E23" s="1859">
        <v>-10.900000000000091</v>
      </c>
      <c r="F23" s="1859">
        <v>-510.89999999999964</v>
      </c>
      <c r="G23" s="981">
        <v>-521.79999999999973</v>
      </c>
      <c r="H23" s="1859">
        <v>411.89999999999964</v>
      </c>
      <c r="I23" s="1859">
        <v>139</v>
      </c>
      <c r="J23" s="1859">
        <v>87.300000000000182</v>
      </c>
      <c r="K23" s="981">
        <v>638.20000000000073</v>
      </c>
      <c r="L23" s="2434">
        <f t="shared" ref="L23" si="3">ROUND(G23,1)-ROUND(F23,1)-ROUND(E23,1)</f>
        <v>2.3092638912203256E-14</v>
      </c>
      <c r="M23" s="2163">
        <f t="shared" ref="M23" si="4">ROUND(K23,1)-ROUND(J23,1)-ROUND(H23,1)-ROUND(I23,1)</f>
        <v>0</v>
      </c>
    </row>
    <row r="24" spans="1:13" s="889" customFormat="1" ht="15" customHeight="1">
      <c r="A24" s="884"/>
      <c r="B24" s="885" t="s">
        <v>240</v>
      </c>
      <c r="C24" s="982">
        <v>16626.187498621013</v>
      </c>
      <c r="D24" s="981">
        <v>610.10000000000036</v>
      </c>
      <c r="E24" s="1859">
        <v>404.70000000000005</v>
      </c>
      <c r="F24" s="1859">
        <v>117.39999999999964</v>
      </c>
      <c r="G24" s="981">
        <v>522.09999999999991</v>
      </c>
      <c r="H24" s="1859">
        <v>319.80000000000109</v>
      </c>
      <c r="I24" s="1859">
        <v>-110.09999999999854</v>
      </c>
      <c r="J24" s="1859">
        <v>-121.70000000000073</v>
      </c>
      <c r="K24" s="981">
        <v>88</v>
      </c>
      <c r="L24" s="2434">
        <v>0</v>
      </c>
      <c r="M24" s="2163">
        <v>0</v>
      </c>
    </row>
    <row r="25" spans="1:13" s="889" customFormat="1" ht="15" customHeight="1">
      <c r="A25" s="884"/>
      <c r="B25" s="885" t="s">
        <v>241</v>
      </c>
      <c r="C25" s="982">
        <v>16220.441938154301</v>
      </c>
      <c r="D25" s="981">
        <v>-405.80000000000109</v>
      </c>
      <c r="E25" s="1859">
        <v>-484.70000000000005</v>
      </c>
      <c r="F25" s="1859">
        <v>-134.39999999999964</v>
      </c>
      <c r="G25" s="981">
        <v>-619.09999999999991</v>
      </c>
      <c r="H25" s="1859">
        <v>-27.600000000000364</v>
      </c>
      <c r="I25" s="1859">
        <v>-235.20000000000073</v>
      </c>
      <c r="J25" s="1859">
        <v>476.10000000000036</v>
      </c>
      <c r="K25" s="981">
        <v>213.29999999999927</v>
      </c>
      <c r="L25" s="2434">
        <v>0</v>
      </c>
      <c r="M25" s="2163">
        <v>0</v>
      </c>
    </row>
    <row r="26" spans="1:13" s="889" customFormat="1" ht="21" customHeight="1">
      <c r="A26" s="884">
        <v>2025</v>
      </c>
      <c r="B26" s="885" t="s">
        <v>242</v>
      </c>
      <c r="C26" s="982">
        <v>16519.485029977339</v>
      </c>
      <c r="D26" s="981">
        <v>299.10000000000036</v>
      </c>
      <c r="E26" s="1859">
        <v>-376.20000000000005</v>
      </c>
      <c r="F26" s="1859">
        <v>-349</v>
      </c>
      <c r="G26" s="981">
        <v>-725.20000000000027</v>
      </c>
      <c r="H26" s="1859">
        <v>1248.1999999999989</v>
      </c>
      <c r="I26" s="1859">
        <v>312.39999999999964</v>
      </c>
      <c r="J26" s="1859">
        <v>-536.30000000000018</v>
      </c>
      <c r="K26" s="981">
        <v>1024.3000000000029</v>
      </c>
      <c r="L26" s="2434">
        <v>0</v>
      </c>
      <c r="M26" s="2163">
        <v>0</v>
      </c>
    </row>
    <row r="27" spans="1:13" s="889" customFormat="1" ht="15" customHeight="1">
      <c r="A27" s="884"/>
      <c r="B27" s="885" t="s">
        <v>243</v>
      </c>
      <c r="C27" s="982">
        <v>16466.599999999999</v>
      </c>
      <c r="D27" s="981">
        <v>-52.900000000001455</v>
      </c>
      <c r="E27" s="1859">
        <v>383.70000000000005</v>
      </c>
      <c r="F27" s="1859">
        <v>-611.40000000000055</v>
      </c>
      <c r="G27" s="981">
        <v>-227.69999999999982</v>
      </c>
      <c r="H27" s="1859">
        <v>119.10000000000036</v>
      </c>
      <c r="I27" s="1859">
        <v>16.800000000001091</v>
      </c>
      <c r="J27" s="1859">
        <v>38.900000000000546</v>
      </c>
      <c r="K27" s="981">
        <v>174.79999999999927</v>
      </c>
      <c r="L27" s="2434">
        <v>0</v>
      </c>
      <c r="M27" s="2163">
        <v>0</v>
      </c>
    </row>
    <row r="28" spans="1:13" s="889" customFormat="1" ht="15" customHeight="1">
      <c r="A28" s="884"/>
      <c r="B28" s="885" t="s">
        <v>240</v>
      </c>
      <c r="C28" s="982">
        <f>C35</f>
        <v>16237.1</v>
      </c>
      <c r="D28" s="981">
        <f>ROUND(C28,1)-ROUND(C27,1)</f>
        <v>-229.49999999999818</v>
      </c>
      <c r="E28" s="1859">
        <f>ROUND('4'!C28,1)-ROUND('4'!C27,1)</f>
        <v>-211.59999999999991</v>
      </c>
      <c r="F28" s="1859">
        <f>ROUND('4'!D28,1)-ROUND('4'!D27,1)</f>
        <v>68.400000000000546</v>
      </c>
      <c r="G28" s="981">
        <f>ROUND('4'!E28,1)-ROUND('4'!E27,1)</f>
        <v>-143.20000000000027</v>
      </c>
      <c r="H28" s="1859">
        <f>ROUND('4'!F28,1)-ROUND('4'!F27,1)</f>
        <v>270.39999999999964</v>
      </c>
      <c r="I28" s="1859">
        <f>ROUND('4'!G28,1)-ROUND('4'!G27,1)</f>
        <v>-155.30000000000109</v>
      </c>
      <c r="J28" s="1859">
        <f>ROUND('4'!H28,1)-ROUND('4'!H27,1)</f>
        <v>-201.40000000000055</v>
      </c>
      <c r="K28" s="981">
        <f>ROUND('4'!I28,1)-ROUND('4'!I27,1)</f>
        <v>-86.299999999999272</v>
      </c>
      <c r="L28" s="2434">
        <f>ROUND(G28,1)-ROUND(F28,1)-ROUND(E28,1)</f>
        <v>0</v>
      </c>
      <c r="M28" s="2163">
        <f>ROUND(K28,1)-ROUND(J28,1)-ROUND(H28,1)-ROUND(I28,1)</f>
        <v>0</v>
      </c>
    </row>
    <row r="29" spans="1:13" s="889" customFormat="1" ht="15" customHeight="1">
      <c r="A29" s="884"/>
      <c r="B29" s="885" t="s">
        <v>241</v>
      </c>
      <c r="C29" s="982">
        <f>C38</f>
        <v>16548.5</v>
      </c>
      <c r="D29" s="2542">
        <f>ROUND(C29,1)-ROUND(C28,1)</f>
        <v>311.39999999999964</v>
      </c>
      <c r="E29" s="1859">
        <f>ROUND('4'!C29,1)-ROUND('4'!C28,1)</f>
        <v>451.5</v>
      </c>
      <c r="F29" s="1859">
        <f>ROUND('4'!D29,1)-ROUND('4'!D28,1)</f>
        <v>-755.80000000000018</v>
      </c>
      <c r="G29" s="981">
        <f>ROUND('4'!E29,1)-ROUND('4'!E28,1)</f>
        <v>-304.30000000000018</v>
      </c>
      <c r="H29" s="1859">
        <f>ROUND('4'!F29,1)-ROUND('4'!F28,1)</f>
        <v>-198.39999999999964</v>
      </c>
      <c r="I29" s="1859">
        <f>ROUND('4'!G29,1)-ROUND('4'!G28,1)</f>
        <v>250.70000000000073</v>
      </c>
      <c r="J29" s="1859">
        <f>ROUND('4'!H29,1)-ROUND('4'!H28,1)</f>
        <v>563.40000000000055</v>
      </c>
      <c r="K29" s="981">
        <f>ROUND('4'!I29,1)-ROUND('4'!I28,1)</f>
        <v>615.69999999999709</v>
      </c>
      <c r="L29" s="2434">
        <f>ROUND(G29,1)-ROUND(F29,1)-ROUND(E29,1)</f>
        <v>0</v>
      </c>
      <c r="M29" s="2163">
        <f>ROUND(K29,1)-ROUND(J29,1)-ROUND(H29,1)-ROUND(I29,1)</f>
        <v>0</v>
      </c>
    </row>
    <row r="30" spans="1:13" s="889" customFormat="1" ht="21" customHeight="1">
      <c r="A30" s="1681">
        <v>2026</v>
      </c>
      <c r="B30" s="1687" t="s">
        <v>242</v>
      </c>
      <c r="C30" s="1693">
        <f>C41</f>
        <v>17338.900000000001</v>
      </c>
      <c r="D30" s="2543">
        <f>ROUND(C30,1)-ROUND(C29,1)</f>
        <v>790.40000000000146</v>
      </c>
      <c r="E30" s="2544">
        <f>ROUND('4'!C30,1)-ROUND('4'!C29,1)</f>
        <v>531.69999999999982</v>
      </c>
      <c r="F30" s="2544">
        <f>ROUND('4'!D30,1)-ROUND('4'!D29,1)</f>
        <v>-633.39999999999964</v>
      </c>
      <c r="G30" s="2545">
        <f>ROUND('4'!E30,1)-ROUND('4'!E29,1)</f>
        <v>-101.69999999999982</v>
      </c>
      <c r="H30" s="2544">
        <f>ROUND('4'!F30,1)-ROUND('4'!F29,1)</f>
        <v>645</v>
      </c>
      <c r="I30" s="2544">
        <f>ROUND('4'!G30,1)-ROUND('4'!G29,1)</f>
        <v>111.10000000000036</v>
      </c>
      <c r="J30" s="2544">
        <f>ROUND('4'!H30,1)-ROUND('4'!H29,1)</f>
        <v>136</v>
      </c>
      <c r="K30" s="2545">
        <f>ROUND('4'!I30,1)-ROUND('4'!I29,1)</f>
        <v>892.10000000000218</v>
      </c>
      <c r="L30" s="2434">
        <f>ROUND(G30,1)-ROUND(F30,1)-ROUND(E30,1)</f>
        <v>0</v>
      </c>
      <c r="M30" s="2163">
        <f>ROUND(K30,1)-ROUND(J30,1)-ROUND(H30,1)-ROUND(I30,1)</f>
        <v>0</v>
      </c>
    </row>
    <row r="31" spans="1:13" s="372" customFormat="1" ht="21" customHeight="1">
      <c r="A31" s="704">
        <v>2025</v>
      </c>
      <c r="B31" s="801" t="s">
        <v>427</v>
      </c>
      <c r="C31" s="980">
        <v>16619.3</v>
      </c>
      <c r="D31" s="981">
        <v>-164.5</v>
      </c>
      <c r="E31" s="1859">
        <v>813.2</v>
      </c>
      <c r="F31" s="1859">
        <v>-497.5</v>
      </c>
      <c r="G31" s="981">
        <v>315.70000000000027</v>
      </c>
      <c r="H31" s="1859">
        <v>-303.19999999999891</v>
      </c>
      <c r="I31" s="1859">
        <v>33.600000000000364</v>
      </c>
      <c r="J31" s="1859">
        <v>-210.60000000000036</v>
      </c>
      <c r="K31" s="981">
        <v>-480.20000000000073</v>
      </c>
      <c r="L31" s="2167">
        <v>0</v>
      </c>
      <c r="M31" s="2167">
        <v>0</v>
      </c>
    </row>
    <row r="32" spans="1:13" s="372" customFormat="1" ht="16.5" customHeight="1">
      <c r="A32" s="704"/>
      <c r="B32" s="801" t="s">
        <v>428</v>
      </c>
      <c r="C32" s="980">
        <f>'3'!J32</f>
        <v>16466.599999999999</v>
      </c>
      <c r="D32" s="981">
        <f t="shared" ref="D32" si="5">ROUND(C32,1)-ROUND(C31,1)</f>
        <v>-152.70000000000073</v>
      </c>
      <c r="E32" s="1859">
        <f>ROUND('4'!C32,1)-ROUND('4'!C31,1)</f>
        <v>-277.5</v>
      </c>
      <c r="F32" s="1859">
        <f>ROUND('4'!D32,1)-ROUND('4'!D31,1)</f>
        <v>-26.900000000000546</v>
      </c>
      <c r="G32" s="981">
        <f>ROUND('4'!E32,1)-ROUND('4'!E31,1)</f>
        <v>-304.40000000000009</v>
      </c>
      <c r="H32" s="1859">
        <f>ROUND('4'!F32,1)-ROUND('4'!F31,1)</f>
        <v>161.29999999999927</v>
      </c>
      <c r="I32" s="1859">
        <f>ROUND('4'!G32,1)-ROUND('4'!G31,1)</f>
        <v>7.5</v>
      </c>
      <c r="J32" s="1859">
        <f>ROUND('4'!H32,1)-ROUND('4'!H31,1)</f>
        <v>-17.099999999999454</v>
      </c>
      <c r="K32" s="981">
        <f>ROUND('4'!I32,1)-ROUND('4'!I31,1)</f>
        <v>151.70000000000073</v>
      </c>
      <c r="L32" s="2167">
        <f t="shared" ref="L32" si="6">ROUND(G32,1)-ROUND(F32,1)-ROUND(E32,1)</f>
        <v>0</v>
      </c>
      <c r="M32" s="2167">
        <f t="shared" ref="M32" si="7">ROUND(K32,1)-ROUND(J32,1)-ROUND(H32,1)-ROUND(I32,1)</f>
        <v>-2.8421709430404007E-14</v>
      </c>
    </row>
    <row r="33" spans="1:13" s="372" customFormat="1" ht="16.5" customHeight="1">
      <c r="A33" s="704"/>
      <c r="B33" s="801" t="s">
        <v>429</v>
      </c>
      <c r="C33" s="980">
        <f>'3'!J33</f>
        <v>16191.8</v>
      </c>
      <c r="D33" s="981">
        <f t="shared" ref="D33" si="8">ROUND(C33,1)-ROUND(C32,1)</f>
        <v>-274.79999999999927</v>
      </c>
      <c r="E33" s="1859">
        <f>ROUND('4'!C33,1)-ROUND('4'!C32,1)</f>
        <v>172.70000000000005</v>
      </c>
      <c r="F33" s="1859">
        <f>ROUND('4'!D33,1)-ROUND('4'!D32,1)</f>
        <v>-69.199999999999818</v>
      </c>
      <c r="G33" s="981">
        <f>ROUND('4'!E33,1)-ROUND('4'!E32,1)</f>
        <v>103.5</v>
      </c>
      <c r="H33" s="1859">
        <f>ROUND('4'!F33,1)-ROUND('4'!F32,1)</f>
        <v>-355.60000000000036</v>
      </c>
      <c r="I33" s="1859">
        <f>ROUND('4'!G33,1)-ROUND('4'!G32,1)</f>
        <v>-55.600000000000364</v>
      </c>
      <c r="J33" s="1859">
        <f>ROUND('4'!H33,1)-ROUND('4'!H32,1)</f>
        <v>32.899999999999636</v>
      </c>
      <c r="K33" s="981">
        <f>ROUND('4'!I33,1)-ROUND('4'!I32,1)</f>
        <v>-378.29999999999927</v>
      </c>
      <c r="L33" s="2167">
        <f t="shared" ref="L33" si="9">ROUND(G33,1)-ROUND(F33,1)-ROUND(E33,1)</f>
        <v>0</v>
      </c>
      <c r="M33" s="2167">
        <f t="shared" ref="M33" si="10">ROUND(K33,1)-ROUND(J33,1)-ROUND(H33,1)-ROUND(I33,1)</f>
        <v>0</v>
      </c>
    </row>
    <row r="34" spans="1:13" s="372" customFormat="1" ht="16.5" customHeight="1">
      <c r="A34" s="704"/>
      <c r="B34" s="801" t="s">
        <v>430</v>
      </c>
      <c r="C34" s="980">
        <f>'3'!J34</f>
        <v>16340</v>
      </c>
      <c r="D34" s="981">
        <f t="shared" ref="D34" si="11">ROUND(C34,1)-ROUND(C33,1)</f>
        <v>148.20000000000073</v>
      </c>
      <c r="E34" s="1859">
        <f>ROUND('4'!C34,1)-ROUND('4'!C33,1)</f>
        <v>-270.70000000000005</v>
      </c>
      <c r="F34" s="1859">
        <f>ROUND('4'!D34,1)-ROUND('4'!D33,1)</f>
        <v>200.5</v>
      </c>
      <c r="G34" s="981">
        <f>ROUND('4'!E34,1)-ROUND('4'!E33,1)</f>
        <v>-70.200000000000273</v>
      </c>
      <c r="H34" s="1859">
        <f>ROUND('4'!F34,1)-ROUND('4'!F33,1)</f>
        <v>486.70000000000073</v>
      </c>
      <c r="I34" s="1859">
        <f>ROUND('4'!G34,1)-ROUND('4'!G33,1)</f>
        <v>-68.300000000001091</v>
      </c>
      <c r="J34" s="1859">
        <f>ROUND('4'!H34,1)-ROUND('4'!H33,1)</f>
        <v>-200</v>
      </c>
      <c r="K34" s="981">
        <f>ROUND('4'!I34,1)-ROUND('4'!I33,1)</f>
        <v>218.39999999999782</v>
      </c>
      <c r="L34" s="2167">
        <f t="shared" ref="L34" si="12">ROUND(G34,1)-ROUND(F34,1)-ROUND(E34,1)</f>
        <v>0</v>
      </c>
      <c r="M34" s="2167">
        <f t="shared" ref="M34" si="13">ROUND(K34,1)-ROUND(J34,1)-ROUND(H34,1)-ROUND(I34,1)</f>
        <v>0</v>
      </c>
    </row>
    <row r="35" spans="1:13" s="372" customFormat="1" ht="16.5" customHeight="1">
      <c r="A35" s="704"/>
      <c r="B35" s="801" t="s">
        <v>431</v>
      </c>
      <c r="C35" s="980">
        <f>'3'!J35</f>
        <v>16237.1</v>
      </c>
      <c r="D35" s="981">
        <f t="shared" ref="D35" si="14">ROUND(C35,1)-ROUND(C34,1)</f>
        <v>-102.89999999999964</v>
      </c>
      <c r="E35" s="1859">
        <f>ROUND('4'!C35,1)-ROUND('4'!C34,1)</f>
        <v>-113.59999999999991</v>
      </c>
      <c r="F35" s="1859">
        <f>ROUND('4'!D35,1)-ROUND('4'!D34,1)</f>
        <v>-62.899999999999636</v>
      </c>
      <c r="G35" s="981">
        <f>ROUND('4'!E35,1)-ROUND('4'!E34,1)</f>
        <v>-176.5</v>
      </c>
      <c r="H35" s="1859">
        <f>ROUND('4'!F35,1)-ROUND('4'!F34,1)</f>
        <v>139.29999999999927</v>
      </c>
      <c r="I35" s="1859">
        <f>ROUND('4'!G35,1)-ROUND('4'!G34,1)</f>
        <v>-31.399999999999636</v>
      </c>
      <c r="J35" s="1859">
        <f>ROUND('4'!H35,1)-ROUND('4'!H34,1)</f>
        <v>-34.300000000000182</v>
      </c>
      <c r="K35" s="981">
        <f>ROUND('4'!I35,1)-ROUND('4'!I34,1)</f>
        <v>73.600000000002183</v>
      </c>
      <c r="L35" s="2167">
        <f t="shared" ref="L35" si="15">ROUND(G35,1)-ROUND(F35,1)-ROUND(E35,1)</f>
        <v>0</v>
      </c>
      <c r="M35" s="2167">
        <f t="shared" ref="M35" si="16">ROUND(K35,1)-ROUND(J35,1)-ROUND(H35,1)-ROUND(I35,1)</f>
        <v>0</v>
      </c>
    </row>
    <row r="36" spans="1:13" s="372" customFormat="1" ht="16.5" customHeight="1">
      <c r="A36" s="704"/>
      <c r="B36" s="801" t="s">
        <v>420</v>
      </c>
      <c r="C36" s="980">
        <f>'3'!J36</f>
        <v>16017.199999999999</v>
      </c>
      <c r="D36" s="981">
        <f t="shared" ref="D36" si="17">ROUND(C36,1)-ROUND(C35,1)</f>
        <v>-219.89999999999964</v>
      </c>
      <c r="E36" s="1859">
        <f>ROUND('4'!C36,1)-ROUND('4'!C35,1)</f>
        <v>367.69999999999982</v>
      </c>
      <c r="F36" s="1859">
        <f>ROUND('4'!D36,1)-ROUND('4'!D35,1)</f>
        <v>-709</v>
      </c>
      <c r="G36" s="981">
        <f>ROUND('4'!E36,1)-ROUND('4'!E35,1)</f>
        <v>-341.30000000000018</v>
      </c>
      <c r="H36" s="1859">
        <f>ROUND('4'!F36,1)-ROUND('4'!F35,1)</f>
        <v>-529.09999999999854</v>
      </c>
      <c r="I36" s="1859">
        <f>ROUND('4'!G36,1)-ROUND('4'!G35,1)</f>
        <v>114.80000000000109</v>
      </c>
      <c r="J36" s="1859">
        <f>ROUND('4'!H36,1)-ROUND('4'!H35,1)</f>
        <v>535.69999999999982</v>
      </c>
      <c r="K36" s="981">
        <f>ROUND('4'!I36,1)-ROUND('4'!I35,1)</f>
        <v>121.39999999999782</v>
      </c>
      <c r="L36" s="2167">
        <f t="shared" ref="L36" si="18">ROUND(G36,1)-ROUND(F36,1)-ROUND(E36,1)</f>
        <v>0</v>
      </c>
      <c r="M36" s="2167">
        <f t="shared" ref="M36" si="19">ROUND(K36,1)-ROUND(J36,1)-ROUND(H36,1)-ROUND(I36,1)</f>
        <v>0</v>
      </c>
    </row>
    <row r="37" spans="1:13" s="372" customFormat="1" ht="16.5" customHeight="1">
      <c r="A37" s="704"/>
      <c r="B37" s="801" t="s">
        <v>421</v>
      </c>
      <c r="C37" s="980">
        <f>'3'!J37</f>
        <v>16219.3</v>
      </c>
      <c r="D37" s="981">
        <f t="shared" ref="D37" si="20">ROUND(C37,1)-ROUND(C36,1)</f>
        <v>202.09999999999854</v>
      </c>
      <c r="E37" s="1859">
        <f>ROUND('4'!C37,1)-ROUND('4'!C36,1)</f>
        <v>-224.39999999999986</v>
      </c>
      <c r="F37" s="1859">
        <f>ROUND('4'!D37,1)-ROUND('4'!D36,1)</f>
        <v>103.80000000000018</v>
      </c>
      <c r="G37" s="981">
        <f>ROUND('4'!E37,1)-ROUND('4'!E36,1)</f>
        <v>-120.59999999999945</v>
      </c>
      <c r="H37" s="1859">
        <f>ROUND('4'!F37,1)-ROUND('4'!F36,1)</f>
        <v>371.09999999999854</v>
      </c>
      <c r="I37" s="1859">
        <f>ROUND('4'!G37,1)-ROUND('4'!G36,1)</f>
        <v>-10.800000000001091</v>
      </c>
      <c r="J37" s="1859">
        <f>ROUND('4'!H37,1)-ROUND('4'!H36,1)</f>
        <v>-37.599999999999454</v>
      </c>
      <c r="K37" s="981">
        <f>ROUND('4'!I37,1)-ROUND('4'!I36,1)</f>
        <v>322.70000000000073</v>
      </c>
      <c r="L37" s="2167">
        <f t="shared" ref="L37" si="21">ROUND(G37,1)-ROUND(F37,1)-ROUND(E37,1)</f>
        <v>0</v>
      </c>
      <c r="M37" s="2167">
        <f t="shared" ref="M37" si="22">ROUND(K37,1)-ROUND(J37,1)-ROUND(H37,1)-ROUND(I37,1)</f>
        <v>0</v>
      </c>
    </row>
    <row r="38" spans="1:13" s="372" customFormat="1" ht="16.5" customHeight="1">
      <c r="A38" s="704"/>
      <c r="B38" s="801" t="s">
        <v>422</v>
      </c>
      <c r="C38" s="980">
        <f>'3'!J38</f>
        <v>16548.5</v>
      </c>
      <c r="D38" s="981">
        <f t="shared" ref="D38" si="23">ROUND(C38,1)-ROUND(C37,1)</f>
        <v>329.20000000000073</v>
      </c>
      <c r="E38" s="1859">
        <f>ROUND('4'!C38,1)-ROUND('4'!C37,1)</f>
        <v>308.20000000000005</v>
      </c>
      <c r="F38" s="1859">
        <f>ROUND('4'!D38,1)-ROUND('4'!D37,1)</f>
        <v>-150.60000000000036</v>
      </c>
      <c r="G38" s="981">
        <f>ROUND('4'!E38,1)-ROUND('4'!E37,1)</f>
        <v>157.59999999999945</v>
      </c>
      <c r="H38" s="1859">
        <f>ROUND('4'!F38,1)-ROUND('4'!F37,1)</f>
        <v>-40.399999999999636</v>
      </c>
      <c r="I38" s="1859">
        <f>ROUND('4'!G38,1)-ROUND('4'!G37,1)</f>
        <v>146.70000000000073</v>
      </c>
      <c r="J38" s="1859">
        <f>ROUND('4'!H38,1)-ROUND('4'!H37,1)</f>
        <v>65.300000000000182</v>
      </c>
      <c r="K38" s="981">
        <f>ROUND('4'!I38,1)-ROUND('4'!I37,1)</f>
        <v>171.59999999999854</v>
      </c>
      <c r="L38" s="2167">
        <f t="shared" ref="L38" si="24">ROUND(G38,1)-ROUND(F38,1)-ROUND(E38,1)</f>
        <v>0</v>
      </c>
      <c r="M38" s="2167">
        <f t="shared" ref="M38" si="25">ROUND(K38,1)-ROUND(J38,1)-ROUND(H38,1)-ROUND(I38,1)</f>
        <v>0</v>
      </c>
    </row>
    <row r="39" spans="1:13" s="372" customFormat="1" ht="21" customHeight="1">
      <c r="A39" s="704">
        <v>2026</v>
      </c>
      <c r="B39" s="801" t="s">
        <v>423</v>
      </c>
      <c r="C39" s="980">
        <f>'3'!J39</f>
        <v>16679.600000000002</v>
      </c>
      <c r="D39" s="981">
        <f t="shared" ref="D39" si="26">ROUND(C39,1)-ROUND(C38,1)</f>
        <v>131.09999999999854</v>
      </c>
      <c r="E39" s="1859">
        <f>ROUND('4'!C39,1)-ROUND('4'!C38,1)</f>
        <v>-316.30000000000018</v>
      </c>
      <c r="F39" s="1859">
        <f>ROUND('4'!D39,1)-ROUND('4'!D38,1)</f>
        <v>179.69999999999982</v>
      </c>
      <c r="G39" s="981">
        <f>ROUND('4'!E39,1)-ROUND('4'!E38,1)</f>
        <v>-136.59999999999945</v>
      </c>
      <c r="H39" s="1859">
        <f>ROUND('4'!F39,1)-ROUND('4'!F38,1)</f>
        <v>666.20000000000073</v>
      </c>
      <c r="I39" s="1859">
        <f>ROUND('4'!G39,1)-ROUND('4'!G38,1)</f>
        <v>-121.5</v>
      </c>
      <c r="J39" s="1859">
        <f>ROUND('4'!H39,1)-ROUND('4'!H38,1)</f>
        <v>-277</v>
      </c>
      <c r="K39" s="981">
        <f>ROUND('4'!I39,1)-ROUND('4'!I38,1)</f>
        <v>267.70000000000073</v>
      </c>
      <c r="L39" s="2167">
        <f t="shared" ref="L39" si="27">ROUND(G39,1)-ROUND(F39,1)-ROUND(E39,1)</f>
        <v>0</v>
      </c>
      <c r="M39" s="2167">
        <f t="shared" ref="M39" si="28">ROUND(K39,1)-ROUND(J39,1)-ROUND(H39,1)-ROUND(I39,1)</f>
        <v>0</v>
      </c>
    </row>
    <row r="40" spans="1:13" s="372" customFormat="1" ht="16.5" customHeight="1">
      <c r="A40" s="704"/>
      <c r="B40" s="801" t="s">
        <v>424</v>
      </c>
      <c r="C40" s="980">
        <f>'3'!J40</f>
        <v>17010.3</v>
      </c>
      <c r="D40" s="981">
        <f t="shared" ref="D40" si="29">ROUND(C40,1)-ROUND(C39,1)</f>
        <v>330.70000000000073</v>
      </c>
      <c r="E40" s="1859">
        <f>ROUND('4'!C40,1)-ROUND('4'!C39,1)</f>
        <v>711.90000000000009</v>
      </c>
      <c r="F40" s="1859">
        <f>ROUND('4'!D40,1)-ROUND('4'!D39,1)</f>
        <v>105.69999999999982</v>
      </c>
      <c r="G40" s="981">
        <f>ROUND('4'!E40,1)-ROUND('4'!E39,1)</f>
        <v>817.59999999999991</v>
      </c>
      <c r="H40" s="1859">
        <f>ROUND('4'!F40,1)-ROUND('4'!F39,1)</f>
        <v>-256.39999999999964</v>
      </c>
      <c r="I40" s="1859">
        <f>ROUND('4'!G40,1)-ROUND('4'!G39,1)</f>
        <v>9.2999999999992724</v>
      </c>
      <c r="J40" s="1859">
        <f>ROUND('4'!H40,1)-ROUND('4'!H39,1)</f>
        <v>-239.80000000000018</v>
      </c>
      <c r="K40" s="981">
        <f>ROUND('4'!I40,1)-ROUND('4'!I39,1)</f>
        <v>-486.89999999999782</v>
      </c>
      <c r="L40" s="2167">
        <f t="shared" ref="L40" si="30">ROUND(G40,1)-ROUND(F40,1)-ROUND(E40,1)</f>
        <v>0</v>
      </c>
      <c r="M40" s="2167">
        <f t="shared" ref="M40" si="31">ROUND(K40,1)-ROUND(J40,1)-ROUND(H40,1)-ROUND(I40,1)</f>
        <v>0</v>
      </c>
    </row>
    <row r="41" spans="1:13" s="372" customFormat="1" ht="16.5" customHeight="1">
      <c r="A41" s="704"/>
      <c r="B41" s="801" t="s">
        <v>425</v>
      </c>
      <c r="C41" s="980">
        <f>'3'!J41</f>
        <v>17338.900000000001</v>
      </c>
      <c r="D41" s="981">
        <f t="shared" ref="D41" si="32">ROUND(C41,1)-ROUND(C40,1)</f>
        <v>328.60000000000218</v>
      </c>
      <c r="E41" s="1859">
        <f>ROUND('4'!C41,1)-ROUND('4'!C40,1)</f>
        <v>136.09999999999991</v>
      </c>
      <c r="F41" s="1859">
        <f>ROUND('4'!D41,1)-ROUND('4'!D40,1)</f>
        <v>-918.79999999999927</v>
      </c>
      <c r="G41" s="981">
        <f>ROUND('4'!E41,1)-ROUND('4'!E40,1)</f>
        <v>-782.70000000000027</v>
      </c>
      <c r="H41" s="1859">
        <f>ROUND('4'!F41,1)-ROUND('4'!F40,1)</f>
        <v>235.19999999999891</v>
      </c>
      <c r="I41" s="1859">
        <f>ROUND('4'!G41,1)-ROUND('4'!G40,1)</f>
        <v>223.30000000000109</v>
      </c>
      <c r="J41" s="1859">
        <f>ROUND('4'!H41,1)-ROUND('4'!H40,1)</f>
        <v>652.80000000000018</v>
      </c>
      <c r="K41" s="981">
        <f>ROUND('4'!I41,1)-ROUND('4'!I40,1)</f>
        <v>1111.2999999999993</v>
      </c>
      <c r="L41" s="2167">
        <f t="shared" ref="L41" si="33">ROUND(G41,1)-ROUND(F41,1)-ROUND(E41,1)</f>
        <v>0</v>
      </c>
      <c r="M41" s="2167">
        <f t="shared" ref="M41" si="34">ROUND(K41,1)-ROUND(J41,1)-ROUND(H41,1)-ROUND(I41,1)</f>
        <v>0</v>
      </c>
    </row>
    <row r="42" spans="1:13" s="372" customFormat="1" ht="16.5" customHeight="1">
      <c r="A42" s="704"/>
      <c r="B42" s="801" t="s">
        <v>426</v>
      </c>
      <c r="C42" s="980">
        <f>'3'!J42</f>
        <v>18074.5</v>
      </c>
      <c r="D42" s="981">
        <f t="shared" ref="D42" si="35">ROUND(C42,1)-ROUND(C41,1)</f>
        <v>735.59999999999854</v>
      </c>
      <c r="E42" s="1859">
        <f>ROUND('4'!C42,1)-ROUND('4'!C41,1)</f>
        <v>-639.29999999999995</v>
      </c>
      <c r="F42" s="1859">
        <f>ROUND('4'!D42,1)-ROUND('4'!D41,1)</f>
        <v>933.69999999999982</v>
      </c>
      <c r="G42" s="981">
        <f>ROUND('4'!E42,1)-ROUND('4'!E41,1)</f>
        <v>294.40000000000009</v>
      </c>
      <c r="H42" s="1859">
        <f>ROUND('4'!F42,1)-ROUND('4'!F41,1)</f>
        <v>255.39999999999964</v>
      </c>
      <c r="I42" s="1859">
        <f>ROUND('4'!G42,1)-ROUND('4'!G41,1)</f>
        <v>208.79999999999927</v>
      </c>
      <c r="J42" s="1859">
        <f>ROUND('4'!H42,1)-ROUND('4'!H41,1)</f>
        <v>-23</v>
      </c>
      <c r="K42" s="981">
        <f>ROUND('4'!I42,1)-ROUND('4'!I41,1)</f>
        <v>441.20000000000073</v>
      </c>
      <c r="L42" s="2167">
        <f t="shared" ref="L42" si="36">ROUND(G42,1)-ROUND(F42,1)-ROUND(E42,1)</f>
        <v>0</v>
      </c>
      <c r="M42" s="2167">
        <f t="shared" ref="M42" si="37">ROUND(K42,1)-ROUND(J42,1)-ROUND(H42,1)-ROUND(I42,1)</f>
        <v>0</v>
      </c>
    </row>
    <row r="43" spans="1:13" s="372" customFormat="1" ht="16.5" customHeight="1">
      <c r="A43" s="704"/>
      <c r="B43" s="801" t="s">
        <v>1790</v>
      </c>
      <c r="C43" s="980">
        <f>'3'!J43</f>
        <v>17966.199999999997</v>
      </c>
      <c r="D43" s="981">
        <f t="shared" ref="D43" si="38">ROUND(C43,1)-ROUND(C42,1)</f>
        <v>-108.29999999999927</v>
      </c>
      <c r="E43" s="1859">
        <f>ROUND('4'!C43,1)-ROUND('4'!C42,1)</f>
        <v>-742.09999999999991</v>
      </c>
      <c r="F43" s="1859">
        <f>ROUND('4'!D43,1)-ROUND('4'!D42,1)</f>
        <v>275.69999999999982</v>
      </c>
      <c r="G43" s="981">
        <f>ROUND('4'!E43,1)-ROUND('4'!E42,1)</f>
        <v>-466.40000000000009</v>
      </c>
      <c r="H43" s="1859">
        <f>ROUND('4'!F43,1)-ROUND('4'!F42,1)</f>
        <v>409.10000000000036</v>
      </c>
      <c r="I43" s="1859">
        <f>ROUND('4'!G43,1)-ROUND('4'!G42,1)</f>
        <v>-17.600000000000364</v>
      </c>
      <c r="J43" s="1859">
        <f>ROUND('4'!H43,1)-ROUND('4'!H42,1)</f>
        <v>-33.400000000000546</v>
      </c>
      <c r="K43" s="981">
        <f>ROUND('4'!I43,1)-ROUND('4'!I42,1)</f>
        <v>358.09999999999854</v>
      </c>
      <c r="L43" s="2167">
        <f t="shared" ref="L43" si="39">ROUND(G43,1)-ROUND(F43,1)-ROUND(E43,1)</f>
        <v>0</v>
      </c>
      <c r="M43" s="2167">
        <f t="shared" ref="M43" si="40">ROUND(K43,1)-ROUND(J43,1)-ROUND(H43,1)-ROUND(I43,1)</f>
        <v>0</v>
      </c>
    </row>
    <row r="44" spans="1:13">
      <c r="A44" s="623"/>
      <c r="B44" s="623"/>
      <c r="C44" s="623"/>
      <c r="D44" s="623"/>
      <c r="E44" s="623"/>
      <c r="F44" s="623"/>
      <c r="G44" s="623"/>
      <c r="H44" s="623"/>
      <c r="I44" s="623"/>
      <c r="J44" s="623"/>
      <c r="K44" s="623"/>
    </row>
    <row r="45" spans="1:13">
      <c r="A45" s="27"/>
      <c r="B45" s="286"/>
      <c r="C45" s="1253"/>
      <c r="D45" s="1253"/>
      <c r="E45" s="1253"/>
      <c r="F45" s="1253"/>
      <c r="G45" s="1253"/>
      <c r="H45" s="1253"/>
      <c r="I45" s="1253"/>
      <c r="J45" s="1267"/>
      <c r="K45" s="1267"/>
    </row>
    <row r="46" spans="1:13" s="40" customFormat="1" ht="14">
      <c r="A46" s="473" t="s">
        <v>532</v>
      </c>
      <c r="B46" s="474"/>
      <c r="C46" s="474"/>
      <c r="D46" s="474"/>
      <c r="E46" s="474"/>
      <c r="F46" s="474"/>
      <c r="G46" s="474"/>
      <c r="H46" s="474"/>
      <c r="I46" s="474"/>
      <c r="J46" s="474"/>
      <c r="K46" s="474"/>
    </row>
    <row r="48" spans="1:13">
      <c r="E48" s="1253"/>
      <c r="F48" s="1253"/>
      <c r="G48" s="1253"/>
      <c r="H48" s="1253"/>
      <c r="I48" s="1253"/>
      <c r="J48" s="1253"/>
      <c r="K48" s="1253"/>
    </row>
    <row r="49" spans="2:11">
      <c r="E49" s="1253"/>
      <c r="F49" s="1253"/>
      <c r="G49" s="1253"/>
      <c r="H49" s="1253"/>
      <c r="I49" s="1253"/>
      <c r="J49" s="1253"/>
      <c r="K49" s="1253"/>
    </row>
    <row r="51" spans="2:11">
      <c r="B51" s="1253"/>
      <c r="C51" s="1253"/>
      <c r="E51" s="1253"/>
      <c r="F51" s="1253"/>
      <c r="G51" s="1253"/>
      <c r="H51" s="1253"/>
      <c r="I51" s="1253"/>
      <c r="J51" s="1253"/>
      <c r="K51" s="1253"/>
    </row>
  </sheetData>
  <phoneticPr fontId="0" type="noConversion"/>
  <printOptions horizontalCentered="1" verticalCentered="1"/>
  <pageMargins left="0" right="0" top="0" bottom="0" header="0.51181102362204722" footer="0.51181102362204722"/>
  <pageSetup paperSize="9" scale="7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rgb="FFFF0000"/>
  </sheetPr>
  <dimension ref="A1:N48"/>
  <sheetViews>
    <sheetView zoomScale="90" zoomScaleNormal="90" workbookViewId="0">
      <pane ySplit="12" topLeftCell="A38" activePane="bottomLeft" state="frozen"/>
      <selection activeCell="B43" sqref="B43"/>
      <selection pane="bottomLeft" activeCell="A43" sqref="A43"/>
    </sheetView>
  </sheetViews>
  <sheetFormatPr defaultColWidth="9.1796875" defaultRowHeight="15.5"/>
  <cols>
    <col min="1" max="2" width="9.7265625" style="152" customWidth="1"/>
    <col min="3" max="12" width="14.7265625" style="152" customWidth="1"/>
    <col min="13" max="16384" width="9.1796875" style="152"/>
  </cols>
  <sheetData>
    <row r="1" spans="1:14" s="1061" customFormat="1" ht="18">
      <c r="A1" s="1091" t="s">
        <v>533</v>
      </c>
      <c r="B1" s="1092"/>
      <c r="C1" s="1092"/>
      <c r="D1" s="1092"/>
      <c r="E1" s="1092"/>
      <c r="F1" s="1092"/>
      <c r="G1" s="1092"/>
      <c r="H1" s="1092"/>
      <c r="I1" s="1092"/>
      <c r="J1" s="1092"/>
      <c r="K1" s="1092"/>
      <c r="L1" s="1092"/>
    </row>
    <row r="2" spans="1:14" s="1061" customFormat="1" ht="18">
      <c r="A2" s="1036" t="s">
        <v>534</v>
      </c>
      <c r="B2" s="1092"/>
      <c r="C2" s="1092"/>
      <c r="D2" s="1092"/>
      <c r="E2" s="1092"/>
      <c r="F2" s="1092"/>
      <c r="G2" s="1092"/>
      <c r="H2" s="1092"/>
      <c r="I2" s="1092"/>
      <c r="J2" s="1092"/>
      <c r="K2" s="1092"/>
      <c r="L2" s="1092"/>
    </row>
    <row r="3" spans="1:14" s="1061" customFormat="1" ht="18">
      <c r="A3" s="1091" t="s">
        <v>349</v>
      </c>
      <c r="B3" s="1092"/>
      <c r="C3" s="1092"/>
      <c r="D3" s="1092"/>
      <c r="E3" s="1092"/>
      <c r="F3" s="1092"/>
      <c r="G3" s="1092"/>
      <c r="H3" s="1092"/>
      <c r="I3" s="1092"/>
      <c r="J3" s="1092"/>
      <c r="K3" s="1092"/>
      <c r="L3" s="1092"/>
    </row>
    <row r="4" spans="1:14" ht="18" hidden="1">
      <c r="A4" s="318"/>
      <c r="B4" s="686"/>
      <c r="C4" s="686"/>
      <c r="D4" s="686"/>
      <c r="E4" s="686"/>
      <c r="F4" s="686"/>
      <c r="G4" s="686"/>
      <c r="H4" s="686"/>
      <c r="I4" s="686"/>
      <c r="J4" s="686"/>
      <c r="K4" s="686"/>
      <c r="L4" s="686"/>
    </row>
    <row r="5" spans="1:14" ht="18" hidden="1">
      <c r="A5" s="318"/>
      <c r="B5" s="686"/>
      <c r="C5" s="686"/>
      <c r="D5" s="686"/>
      <c r="E5" s="686"/>
      <c r="F5" s="686"/>
      <c r="G5" s="686"/>
      <c r="H5" s="686"/>
      <c r="I5" s="686"/>
      <c r="J5" s="686"/>
      <c r="K5" s="686"/>
      <c r="L5" s="686"/>
    </row>
    <row r="6" spans="1:14" ht="18" hidden="1">
      <c r="A6" s="318"/>
      <c r="B6" s="686"/>
      <c r="C6" s="686"/>
      <c r="D6" s="686"/>
      <c r="E6" s="686"/>
      <c r="F6" s="686"/>
      <c r="G6" s="686"/>
      <c r="H6" s="686"/>
      <c r="I6" s="686"/>
      <c r="J6" s="686"/>
      <c r="K6" s="686"/>
      <c r="L6" s="686"/>
    </row>
    <row r="7" spans="1:14" ht="18" hidden="1">
      <c r="A7" s="318"/>
      <c r="B7" s="686"/>
      <c r="C7" s="686"/>
      <c r="D7" s="686"/>
      <c r="E7" s="686"/>
      <c r="F7" s="686"/>
      <c r="G7" s="686"/>
      <c r="H7" s="686"/>
      <c r="I7" s="686"/>
      <c r="J7" s="686"/>
      <c r="K7" s="686"/>
      <c r="L7" s="686"/>
    </row>
    <row r="8" spans="1:14" ht="18" hidden="1">
      <c r="A8" s="318"/>
      <c r="B8" s="686"/>
      <c r="C8" s="686"/>
      <c r="D8" s="686"/>
      <c r="E8" s="686"/>
      <c r="F8" s="686"/>
      <c r="G8" s="686"/>
      <c r="H8" s="686"/>
      <c r="I8" s="686"/>
      <c r="J8" s="686"/>
      <c r="K8" s="686"/>
      <c r="L8" s="686"/>
    </row>
    <row r="9" spans="1:14">
      <c r="A9" s="687" t="s">
        <v>535</v>
      </c>
      <c r="B9" s="688"/>
      <c r="C9" s="688"/>
      <c r="D9" s="688"/>
      <c r="E9" s="688"/>
      <c r="F9" s="688"/>
      <c r="G9" s="688"/>
      <c r="H9" s="688"/>
      <c r="I9" s="688"/>
      <c r="J9" s="688"/>
      <c r="K9" s="689"/>
      <c r="L9" s="690" t="s">
        <v>536</v>
      </c>
    </row>
    <row r="10" spans="1:14" s="169" customFormat="1" ht="21.25" customHeight="1">
      <c r="A10" s="168"/>
      <c r="B10" s="170"/>
      <c r="C10" s="691" t="s">
        <v>537</v>
      </c>
      <c r="D10" s="692"/>
      <c r="E10" s="693"/>
      <c r="F10" s="693"/>
      <c r="G10" s="694" t="s">
        <v>538</v>
      </c>
      <c r="H10" s="172" t="s">
        <v>539</v>
      </c>
      <c r="I10" s="692"/>
      <c r="J10" s="693"/>
      <c r="K10" s="693"/>
      <c r="L10" s="694" t="s">
        <v>540</v>
      </c>
    </row>
    <row r="11" spans="1:14" s="169" customFormat="1">
      <c r="A11" s="695" t="s">
        <v>387</v>
      </c>
      <c r="B11" s="696"/>
      <c r="C11" s="697" t="s">
        <v>541</v>
      </c>
      <c r="D11" s="698" t="s">
        <v>542</v>
      </c>
      <c r="E11" s="697" t="s">
        <v>543</v>
      </c>
      <c r="F11" s="698" t="s">
        <v>544</v>
      </c>
      <c r="G11" s="698" t="s">
        <v>545</v>
      </c>
      <c r="H11" s="697" t="s">
        <v>546</v>
      </c>
      <c r="I11" s="698" t="s">
        <v>547</v>
      </c>
      <c r="J11" s="698" t="s">
        <v>355</v>
      </c>
      <c r="K11" s="698" t="s">
        <v>548</v>
      </c>
      <c r="L11" s="699" t="s">
        <v>549</v>
      </c>
    </row>
    <row r="12" spans="1:14" s="703" customFormat="1" ht="31">
      <c r="A12" s="184" t="s">
        <v>395</v>
      </c>
      <c r="B12" s="700"/>
      <c r="C12" s="701" t="s">
        <v>550</v>
      </c>
      <c r="D12" s="702" t="s">
        <v>551</v>
      </c>
      <c r="E12" s="701" t="s">
        <v>552</v>
      </c>
      <c r="F12" s="702" t="s">
        <v>553</v>
      </c>
      <c r="G12" s="702" t="s">
        <v>554</v>
      </c>
      <c r="H12" s="701" t="s">
        <v>555</v>
      </c>
      <c r="I12" s="702" t="s">
        <v>556</v>
      </c>
      <c r="J12" s="702" t="s">
        <v>557</v>
      </c>
      <c r="K12" s="702" t="s">
        <v>356</v>
      </c>
      <c r="L12" s="702" t="s">
        <v>558</v>
      </c>
    </row>
    <row r="13" spans="1:14" s="372" customFormat="1" ht="20.25" customHeight="1">
      <c r="A13" s="704">
        <v>2016</v>
      </c>
      <c r="B13" s="705"/>
      <c r="C13" s="1645">
        <v>0.10059999999999999</v>
      </c>
      <c r="D13" s="1645">
        <v>1.2302</v>
      </c>
      <c r="E13" s="1645">
        <v>0.1024</v>
      </c>
      <c r="F13" s="1645">
        <v>0.98180000000000001</v>
      </c>
      <c r="G13" s="1645">
        <v>0.1033</v>
      </c>
      <c r="H13" s="1648">
        <v>0.376</v>
      </c>
      <c r="I13" s="1645">
        <v>0.46460000000000001</v>
      </c>
      <c r="J13" s="1645">
        <v>0.39560000000000001</v>
      </c>
      <c r="K13" s="2295">
        <v>3.2000000000000002E-3</v>
      </c>
      <c r="L13" s="1645">
        <v>0.36859999999999998</v>
      </c>
      <c r="N13" s="2293"/>
    </row>
    <row r="14" spans="1:14" s="707" customFormat="1" ht="15" customHeight="1">
      <c r="A14" s="625">
        <v>2017</v>
      </c>
      <c r="B14" s="706"/>
      <c r="C14" s="1646">
        <v>0.10059999999999999</v>
      </c>
      <c r="D14" s="1646">
        <v>1.2470000000000001</v>
      </c>
      <c r="E14" s="1646">
        <v>0.1024</v>
      </c>
      <c r="F14" s="1646">
        <v>0.98180000000000001</v>
      </c>
      <c r="G14" s="1646">
        <v>0.1033</v>
      </c>
      <c r="H14" s="1649">
        <v>0.376</v>
      </c>
      <c r="I14" s="1646">
        <v>0.50839999999999996</v>
      </c>
      <c r="J14" s="1646">
        <v>0.45140000000000002</v>
      </c>
      <c r="K14" s="2296">
        <v>3.3E-3</v>
      </c>
      <c r="L14" s="1646">
        <v>0.38590000000000002</v>
      </c>
      <c r="N14" s="2293"/>
    </row>
    <row r="15" spans="1:14" s="889" customFormat="1" ht="15" customHeight="1">
      <c r="A15" s="884">
        <v>2018</v>
      </c>
      <c r="B15" s="885"/>
      <c r="C15" s="1647">
        <v>0.10059999999999999</v>
      </c>
      <c r="D15" s="1647">
        <v>1.2386999999999999</v>
      </c>
      <c r="E15" s="1647">
        <v>0.1024</v>
      </c>
      <c r="F15" s="1647">
        <v>0.98180000000000001</v>
      </c>
      <c r="G15" s="1647">
        <v>0.1033</v>
      </c>
      <c r="H15" s="1650">
        <v>0.376</v>
      </c>
      <c r="I15" s="1647">
        <v>0.47710000000000002</v>
      </c>
      <c r="J15" s="1647">
        <v>0.4304</v>
      </c>
      <c r="K15" s="2294">
        <v>3.3999999999999998E-3</v>
      </c>
      <c r="L15" s="1647">
        <v>0.38229999999999997</v>
      </c>
      <c r="M15" s="1804"/>
      <c r="N15" s="2293"/>
    </row>
    <row r="16" spans="1:14" s="889" customFormat="1" ht="15" customHeight="1">
      <c r="A16" s="884">
        <v>2019</v>
      </c>
      <c r="B16" s="885"/>
      <c r="C16" s="1647">
        <v>0.10059999999999999</v>
      </c>
      <c r="D16" s="1647">
        <v>1.2410000000000001</v>
      </c>
      <c r="E16" s="1647">
        <v>0.1024</v>
      </c>
      <c r="F16" s="1647">
        <v>0.98180000000000001</v>
      </c>
      <c r="G16" s="1647">
        <v>0.1033</v>
      </c>
      <c r="H16" s="1650">
        <v>0.376</v>
      </c>
      <c r="I16" s="1647">
        <v>0.49320000000000003</v>
      </c>
      <c r="J16" s="1647">
        <v>0.4214</v>
      </c>
      <c r="K16" s="2294">
        <v>3.5000000000000001E-3</v>
      </c>
      <c r="L16" s="1647">
        <v>0.38819999999999999</v>
      </c>
      <c r="M16" s="1804"/>
      <c r="N16" s="2293"/>
    </row>
    <row r="17" spans="1:14" s="889" customFormat="1" ht="15" customHeight="1">
      <c r="A17" s="884">
        <v>2020</v>
      </c>
      <c r="B17" s="885"/>
      <c r="C17" s="1647">
        <v>0.10059999999999999</v>
      </c>
      <c r="D17" s="1647">
        <v>1.2402</v>
      </c>
      <c r="E17" s="1647">
        <v>0.1024</v>
      </c>
      <c r="F17" s="1647">
        <v>0.98180000000000001</v>
      </c>
      <c r="G17" s="1647">
        <v>0.1033</v>
      </c>
      <c r="H17" s="1650">
        <v>0.376</v>
      </c>
      <c r="I17" s="1647">
        <v>0.51319999999999999</v>
      </c>
      <c r="J17" s="1647">
        <v>0.46289999999999998</v>
      </c>
      <c r="K17" s="2294">
        <v>3.5999999999999999E-3</v>
      </c>
      <c r="L17" s="1647">
        <v>0.4269</v>
      </c>
      <c r="M17" s="1804"/>
      <c r="N17" s="2293"/>
    </row>
    <row r="18" spans="1:14" s="889" customFormat="1" ht="14.25" customHeight="1">
      <c r="A18" s="884">
        <v>2021</v>
      </c>
      <c r="B18" s="885"/>
      <c r="C18" s="1647">
        <v>0.10059999999999999</v>
      </c>
      <c r="D18" s="1647">
        <v>1.2427999999999999</v>
      </c>
      <c r="E18" s="1647">
        <v>0.1024</v>
      </c>
      <c r="F18" s="1647">
        <v>0.98180000000000001</v>
      </c>
      <c r="G18" s="1647">
        <v>0.1033</v>
      </c>
      <c r="H18" s="1650">
        <v>0.376</v>
      </c>
      <c r="I18" s="1647">
        <v>0.50760000000000005</v>
      </c>
      <c r="J18" s="1647">
        <v>0.4269</v>
      </c>
      <c r="K18" s="2294">
        <v>3.3E-3</v>
      </c>
      <c r="L18" s="1647">
        <v>0.4113</v>
      </c>
      <c r="M18" s="1804"/>
      <c r="N18" s="2293"/>
    </row>
    <row r="19" spans="1:14" s="483" customFormat="1" ht="14.25" customHeight="1">
      <c r="A19" s="1782">
        <v>2022</v>
      </c>
      <c r="B19" s="1783"/>
      <c r="C19" s="2409">
        <v>0.10059999999999999</v>
      </c>
      <c r="D19" s="2409">
        <v>1.2278</v>
      </c>
      <c r="E19" s="2409">
        <v>0.1024</v>
      </c>
      <c r="F19" s="2409">
        <v>0.98180000000000001</v>
      </c>
      <c r="G19" s="2409">
        <v>0.1033</v>
      </c>
      <c r="H19" s="2410">
        <v>0.376</v>
      </c>
      <c r="I19" s="2409">
        <v>0.45279999999999998</v>
      </c>
      <c r="J19" s="2409">
        <v>0.39979999999999999</v>
      </c>
      <c r="K19" s="2409">
        <v>2.8E-3</v>
      </c>
      <c r="L19" s="2409">
        <v>0.40565299999999999</v>
      </c>
      <c r="M19" s="2057"/>
    </row>
    <row r="20" spans="1:14" s="483" customFormat="1" ht="14.25" customHeight="1">
      <c r="A20" s="1782">
        <v>2023</v>
      </c>
      <c r="B20" s="1783"/>
      <c r="C20" s="2409">
        <v>0.10059999999999999</v>
      </c>
      <c r="D20" s="2409">
        <v>1.2247600000000001</v>
      </c>
      <c r="E20" s="2409">
        <v>0.1024</v>
      </c>
      <c r="F20" s="2409">
        <v>0.98180000000000001</v>
      </c>
      <c r="G20" s="2409">
        <v>0.1033</v>
      </c>
      <c r="H20" s="2410">
        <v>0.376</v>
      </c>
      <c r="I20" s="2409">
        <v>0.47910000000000003</v>
      </c>
      <c r="J20" s="2409">
        <v>0.41660000000000003</v>
      </c>
      <c r="K20" s="2409">
        <v>2.6549999999999998E-3</v>
      </c>
      <c r="L20" s="2409">
        <v>0.44625500000000001</v>
      </c>
      <c r="M20" s="2057"/>
    </row>
    <row r="21" spans="1:14" s="483" customFormat="1" ht="14.25" customHeight="1">
      <c r="A21" s="1782">
        <v>2024</v>
      </c>
      <c r="B21" s="1783"/>
      <c r="C21" s="2409">
        <v>0.10059999999999999</v>
      </c>
      <c r="D21" s="2409">
        <v>1.220766</v>
      </c>
      <c r="E21" s="2409">
        <v>0.1024</v>
      </c>
      <c r="F21" s="2409">
        <v>0.98180000000000001</v>
      </c>
      <c r="G21" s="2409">
        <v>0.1033</v>
      </c>
      <c r="H21" s="2410">
        <v>0.376</v>
      </c>
      <c r="I21" s="2409">
        <v>0.47188799999999997</v>
      </c>
      <c r="J21" s="2409">
        <v>0.39125599999999999</v>
      </c>
      <c r="K21" s="2409">
        <v>2.3999999999999998E-3</v>
      </c>
      <c r="L21" s="2409">
        <v>0.41645700000000002</v>
      </c>
      <c r="M21" s="2057"/>
    </row>
    <row r="22" spans="1:14" s="483" customFormat="1" ht="14.25" customHeight="1">
      <c r="A22" s="2058">
        <v>2025</v>
      </c>
      <c r="B22" s="2200"/>
      <c r="C22" s="2284">
        <f t="shared" ref="C22:L22" si="0">C29</f>
        <v>0.10059999999999999</v>
      </c>
      <c r="D22" s="2284">
        <f t="shared" si="0"/>
        <v>1.222075</v>
      </c>
      <c r="E22" s="2284">
        <f t="shared" si="0"/>
        <v>0.1024</v>
      </c>
      <c r="F22" s="2284">
        <f t="shared" si="0"/>
        <v>0.98180000000000001</v>
      </c>
      <c r="G22" s="2284">
        <f t="shared" si="0"/>
        <v>0.1033</v>
      </c>
      <c r="H22" s="2285">
        <f t="shared" si="0"/>
        <v>0.376</v>
      </c>
      <c r="I22" s="2284">
        <f t="shared" si="0"/>
        <v>0.50637500000000002</v>
      </c>
      <c r="J22" s="2284">
        <f t="shared" si="0"/>
        <v>0.441801</v>
      </c>
      <c r="K22" s="2284">
        <f t="shared" si="0"/>
        <v>2.405E-3</v>
      </c>
      <c r="L22" s="2284">
        <f t="shared" si="0"/>
        <v>0.47499999999999998</v>
      </c>
      <c r="M22" s="2057"/>
    </row>
    <row r="23" spans="1:14" s="889" customFormat="1" ht="21" customHeight="1">
      <c r="A23" s="884">
        <v>2024</v>
      </c>
      <c r="B23" s="885" t="s">
        <v>243</v>
      </c>
      <c r="C23" s="1647">
        <v>0.10059999999999999</v>
      </c>
      <c r="D23" s="1647">
        <v>1.226159</v>
      </c>
      <c r="E23" s="1647">
        <v>0.1024</v>
      </c>
      <c r="F23" s="1647">
        <v>0.98180000000000001</v>
      </c>
      <c r="G23" s="1647">
        <v>0.1033</v>
      </c>
      <c r="H23" s="1650">
        <v>0.376</v>
      </c>
      <c r="I23" s="1647">
        <v>0.47555500000000001</v>
      </c>
      <c r="J23" s="1647">
        <v>0.40291500000000002</v>
      </c>
      <c r="K23" s="1647">
        <v>2.3379999999999998E-3</v>
      </c>
      <c r="L23" s="1647">
        <v>0.41844900000000002</v>
      </c>
      <c r="M23" s="1804"/>
    </row>
    <row r="24" spans="1:14" s="889" customFormat="1" ht="15" customHeight="1">
      <c r="A24" s="884"/>
      <c r="B24" s="885" t="s">
        <v>240</v>
      </c>
      <c r="C24" s="1647">
        <v>0.10059999999999999</v>
      </c>
      <c r="D24" s="1647">
        <v>1.2326490000000001</v>
      </c>
      <c r="E24" s="1647">
        <v>0.1024</v>
      </c>
      <c r="F24" s="1647">
        <v>0.98180000000000001</v>
      </c>
      <c r="G24" s="1647">
        <v>0.1033</v>
      </c>
      <c r="H24" s="1650">
        <v>0.376</v>
      </c>
      <c r="I24" s="1647">
        <v>0.503328</v>
      </c>
      <c r="J24" s="1647">
        <v>0.42008299999999998</v>
      </c>
      <c r="K24" s="1647">
        <v>2.6340000000000001E-3</v>
      </c>
      <c r="L24" s="1647">
        <v>0.44694400000000001</v>
      </c>
      <c r="M24" s="1804"/>
    </row>
    <row r="25" spans="1:14" s="889" customFormat="1" ht="15" customHeight="1">
      <c r="A25" s="884"/>
      <c r="B25" s="885" t="s">
        <v>241</v>
      </c>
      <c r="C25" s="1647">
        <v>0.10059999999999999</v>
      </c>
      <c r="D25" s="1647">
        <v>1.220766</v>
      </c>
      <c r="E25" s="1647">
        <v>0.1024</v>
      </c>
      <c r="F25" s="1647">
        <v>0.98180000000000001</v>
      </c>
      <c r="G25" s="1647">
        <v>0.1033</v>
      </c>
      <c r="H25" s="1650">
        <v>0.376</v>
      </c>
      <c r="I25" s="1647">
        <v>0.47188799999999997</v>
      </c>
      <c r="J25" s="1647">
        <v>0.39125599999999999</v>
      </c>
      <c r="K25" s="1647">
        <v>2.3999999999999998E-3</v>
      </c>
      <c r="L25" s="1647">
        <v>0.41645700000000002</v>
      </c>
      <c r="M25" s="1804"/>
    </row>
    <row r="26" spans="1:14" s="889" customFormat="1" ht="21" customHeight="1">
      <c r="A26" s="884">
        <v>2025</v>
      </c>
      <c r="B26" s="885" t="s">
        <v>242</v>
      </c>
      <c r="C26" s="1647">
        <v>0.10059999999999999</v>
      </c>
      <c r="D26" s="1647">
        <v>1.219519</v>
      </c>
      <c r="E26" s="1647">
        <v>0.1024</v>
      </c>
      <c r="F26" s="1647">
        <v>0.98180000000000001</v>
      </c>
      <c r="G26" s="1647">
        <v>0.1033</v>
      </c>
      <c r="H26" s="1650">
        <v>0.376</v>
      </c>
      <c r="I26" s="1647">
        <v>0.48476900000000001</v>
      </c>
      <c r="J26" s="1647">
        <v>0.40451300000000001</v>
      </c>
      <c r="K26" s="1647">
        <v>2.5000000000000001E-3</v>
      </c>
      <c r="L26" s="1647">
        <v>0.42569600000000002</v>
      </c>
      <c r="M26" s="1804"/>
    </row>
    <row r="27" spans="1:14" s="889" customFormat="1" ht="15" customHeight="1">
      <c r="A27" s="884"/>
      <c r="B27" s="885" t="s">
        <v>243</v>
      </c>
      <c r="C27" s="1647">
        <v>0.10059999999999999</v>
      </c>
      <c r="D27" s="1647">
        <v>1.2296670000000001</v>
      </c>
      <c r="E27" s="1647">
        <v>0.1024</v>
      </c>
      <c r="F27" s="1647">
        <v>0.98180000000000001</v>
      </c>
      <c r="G27" s="1647">
        <v>0.1033</v>
      </c>
      <c r="H27" s="1650">
        <v>0.376</v>
      </c>
      <c r="I27" s="1647">
        <v>0.51598299999999997</v>
      </c>
      <c r="J27" s="1647">
        <v>0.44108700000000001</v>
      </c>
      <c r="K27" s="1647">
        <v>2.6029999999999998E-3</v>
      </c>
      <c r="L27" s="1647">
        <v>0.471132</v>
      </c>
      <c r="M27" s="1804"/>
    </row>
    <row r="28" spans="1:14" s="889" customFormat="1" ht="15" customHeight="1">
      <c r="A28" s="884"/>
      <c r="B28" s="885" t="s">
        <v>240</v>
      </c>
      <c r="C28" s="1647">
        <f t="shared" ref="C28:L28" si="1">C35</f>
        <v>0.10059999999999999</v>
      </c>
      <c r="D28" s="1647">
        <f t="shared" si="1"/>
        <v>1.2309749999999999</v>
      </c>
      <c r="E28" s="1647">
        <f t="shared" si="1"/>
        <v>0.1024</v>
      </c>
      <c r="F28" s="1647">
        <f t="shared" si="1"/>
        <v>0.98180000000000001</v>
      </c>
      <c r="G28" s="1647">
        <f t="shared" si="1"/>
        <v>0.1033</v>
      </c>
      <c r="H28" s="1650">
        <f t="shared" si="1"/>
        <v>0.376</v>
      </c>
      <c r="I28" s="1647">
        <f t="shared" si="1"/>
        <v>0.50524599999999997</v>
      </c>
      <c r="J28" s="1647">
        <f t="shared" si="1"/>
        <v>0.441162</v>
      </c>
      <c r="K28" s="1647">
        <f t="shared" si="1"/>
        <v>2.5300000000000001E-3</v>
      </c>
      <c r="L28" s="1647">
        <f t="shared" si="1"/>
        <v>0.471605</v>
      </c>
      <c r="M28" s="1804"/>
    </row>
    <row r="29" spans="1:14" s="889" customFormat="1" ht="15" customHeight="1">
      <c r="A29" s="884"/>
      <c r="B29" s="885" t="s">
        <v>241</v>
      </c>
      <c r="C29" s="1647">
        <f t="shared" ref="C29:L29" si="2">C38</f>
        <v>0.10059999999999999</v>
      </c>
      <c r="D29" s="1647">
        <f t="shared" si="2"/>
        <v>1.222075</v>
      </c>
      <c r="E29" s="1647">
        <f t="shared" si="2"/>
        <v>0.1024</v>
      </c>
      <c r="F29" s="1647">
        <f t="shared" si="2"/>
        <v>0.98180000000000001</v>
      </c>
      <c r="G29" s="1647">
        <f t="shared" si="2"/>
        <v>0.1033</v>
      </c>
      <c r="H29" s="1650">
        <f t="shared" si="2"/>
        <v>0.376</v>
      </c>
      <c r="I29" s="1647">
        <f t="shared" si="2"/>
        <v>0.50637500000000002</v>
      </c>
      <c r="J29" s="1647">
        <f t="shared" si="2"/>
        <v>0.441801</v>
      </c>
      <c r="K29" s="1647">
        <f t="shared" si="2"/>
        <v>2.405E-3</v>
      </c>
      <c r="L29" s="1647">
        <f t="shared" si="2"/>
        <v>0.47499999999999998</v>
      </c>
      <c r="M29" s="1804"/>
    </row>
    <row r="30" spans="1:14" s="889" customFormat="1" ht="21" customHeight="1">
      <c r="A30" s="1681">
        <v>2026</v>
      </c>
      <c r="B30" s="1687" t="s">
        <v>242</v>
      </c>
      <c r="C30" s="1694">
        <f t="shared" ref="C30:L30" si="3">C41</f>
        <v>0.10059999999999999</v>
      </c>
      <c r="D30" s="1694">
        <f t="shared" si="3"/>
        <v>1.216993</v>
      </c>
      <c r="E30" s="1694">
        <f t="shared" si="3"/>
        <v>0.1024</v>
      </c>
      <c r="F30" s="1694">
        <f t="shared" si="3"/>
        <v>0.98180000000000001</v>
      </c>
      <c r="G30" s="1694">
        <f t="shared" si="3"/>
        <v>0.1033</v>
      </c>
      <c r="H30" s="1695">
        <f t="shared" si="3"/>
        <v>0.376</v>
      </c>
      <c r="I30" s="1694">
        <f t="shared" si="3"/>
        <v>0.49539299999999997</v>
      </c>
      <c r="J30" s="1694">
        <f t="shared" si="3"/>
        <v>0.43085699999999999</v>
      </c>
      <c r="K30" s="1694">
        <f t="shared" si="3"/>
        <v>2.3530000000000001E-3</v>
      </c>
      <c r="L30" s="1694">
        <f t="shared" si="3"/>
        <v>0.47013100000000002</v>
      </c>
      <c r="M30" s="1804"/>
    </row>
    <row r="31" spans="1:14" s="483" customFormat="1" ht="21" customHeight="1">
      <c r="A31" s="1782">
        <v>2025</v>
      </c>
      <c r="B31" s="1783" t="s">
        <v>427</v>
      </c>
      <c r="C31" s="2409">
        <v>0.10059999999999999</v>
      </c>
      <c r="D31" s="2409">
        <v>1.2252000000000001</v>
      </c>
      <c r="E31" s="2409">
        <v>0.1024</v>
      </c>
      <c r="F31" s="2409">
        <v>0.98180000000000001</v>
      </c>
      <c r="G31" s="2409">
        <v>0.1033</v>
      </c>
      <c r="H31" s="2410">
        <v>0.376</v>
      </c>
      <c r="I31" s="2409">
        <v>0.50481399999999998</v>
      </c>
      <c r="J31" s="2409">
        <v>0.42220800000000003</v>
      </c>
      <c r="K31" s="2464">
        <v>2.5769999999999999E-3</v>
      </c>
      <c r="L31" s="2409">
        <v>0.45126100000000002</v>
      </c>
      <c r="N31" s="2465"/>
    </row>
    <row r="32" spans="1:14" s="483" customFormat="1" ht="15" customHeight="1">
      <c r="A32" s="1782"/>
      <c r="B32" s="1783" t="s">
        <v>428</v>
      </c>
      <c r="C32" s="2409">
        <v>0.10059999999999999</v>
      </c>
      <c r="D32" s="2409">
        <v>1.2296670000000001</v>
      </c>
      <c r="E32" s="2409">
        <v>0.1024</v>
      </c>
      <c r="F32" s="2409">
        <v>0.98180000000000001</v>
      </c>
      <c r="G32" s="2409">
        <v>0.1033</v>
      </c>
      <c r="H32" s="2410">
        <v>0.376</v>
      </c>
      <c r="I32" s="2409">
        <v>0.51598299999999997</v>
      </c>
      <c r="J32" s="2409">
        <v>0.44108700000000001</v>
      </c>
      <c r="K32" s="2464">
        <v>2.6029999999999998E-3</v>
      </c>
      <c r="L32" s="2409">
        <v>0.471132</v>
      </c>
      <c r="N32" s="2465"/>
    </row>
    <row r="33" spans="1:14" s="483" customFormat="1" ht="15" customHeight="1">
      <c r="A33" s="1782"/>
      <c r="B33" s="1783" t="s">
        <v>429</v>
      </c>
      <c r="C33" s="2409">
        <v>0.10059999999999999</v>
      </c>
      <c r="D33" s="2409">
        <v>1.2310749999999999</v>
      </c>
      <c r="E33" s="2409">
        <v>0.1024</v>
      </c>
      <c r="F33" s="2409">
        <v>0.98180000000000001</v>
      </c>
      <c r="G33" s="2409">
        <v>0.1033</v>
      </c>
      <c r="H33" s="2410">
        <v>0.376</v>
      </c>
      <c r="I33" s="2409">
        <v>0.498533</v>
      </c>
      <c r="J33" s="2409">
        <v>0.42982300000000001</v>
      </c>
      <c r="K33" s="2464">
        <v>2.5200000000000001E-3</v>
      </c>
      <c r="L33" s="2409">
        <v>0.46244200000000002</v>
      </c>
      <c r="N33" s="2465"/>
    </row>
    <row r="34" spans="1:14" s="483" customFormat="1" ht="15" customHeight="1">
      <c r="A34" s="1782"/>
      <c r="B34" s="1783" t="s">
        <v>430</v>
      </c>
      <c r="C34" s="2409">
        <v>0.10059999999999999</v>
      </c>
      <c r="D34" s="2409">
        <v>1.230532</v>
      </c>
      <c r="E34" s="2409">
        <v>0.1024</v>
      </c>
      <c r="F34" s="2409">
        <v>0.98180000000000001</v>
      </c>
      <c r="G34" s="2409">
        <v>0.1033</v>
      </c>
      <c r="H34" s="2410">
        <v>0.376</v>
      </c>
      <c r="I34" s="2409">
        <v>0.50787899999999997</v>
      </c>
      <c r="J34" s="2409">
        <v>0.43948900000000002</v>
      </c>
      <c r="K34" s="2464">
        <v>2.5569999999999998E-3</v>
      </c>
      <c r="L34" s="2409">
        <v>0.469808</v>
      </c>
      <c r="N34" s="2465"/>
    </row>
    <row r="35" spans="1:14" s="483" customFormat="1" ht="15" customHeight="1">
      <c r="A35" s="1782"/>
      <c r="B35" s="1783" t="s">
        <v>431</v>
      </c>
      <c r="C35" s="2409">
        <v>0.10059999999999999</v>
      </c>
      <c r="D35" s="2409">
        <v>1.2309749999999999</v>
      </c>
      <c r="E35" s="2409">
        <v>0.1024</v>
      </c>
      <c r="F35" s="2409">
        <v>0.98180000000000001</v>
      </c>
      <c r="G35" s="2409">
        <v>0.1033</v>
      </c>
      <c r="H35" s="2410">
        <v>0.376</v>
      </c>
      <c r="I35" s="2409">
        <v>0.50524599999999997</v>
      </c>
      <c r="J35" s="2409">
        <v>0.441162</v>
      </c>
      <c r="K35" s="2464">
        <v>2.5300000000000001E-3</v>
      </c>
      <c r="L35" s="2409">
        <v>0.471605</v>
      </c>
      <c r="N35" s="2465"/>
    </row>
    <row r="36" spans="1:14" s="483" customFormat="1" ht="15" customHeight="1">
      <c r="A36" s="1782"/>
      <c r="B36" s="1783" t="s">
        <v>420</v>
      </c>
      <c r="C36" s="2409">
        <v>0.10059999999999999</v>
      </c>
      <c r="D36" s="2409">
        <v>1.226019</v>
      </c>
      <c r="E36" s="2409">
        <v>0.1024</v>
      </c>
      <c r="F36" s="2409">
        <v>0.98180000000000001</v>
      </c>
      <c r="G36" s="2409">
        <v>0.1033</v>
      </c>
      <c r="H36" s="2410">
        <v>0.376</v>
      </c>
      <c r="I36" s="2409">
        <v>0.49659599999999998</v>
      </c>
      <c r="J36" s="2409">
        <v>0.43674299999999999</v>
      </c>
      <c r="K36" s="2464">
        <v>2.464E-3</v>
      </c>
      <c r="L36" s="2409">
        <v>0.47030699999999998</v>
      </c>
      <c r="N36" s="2465"/>
    </row>
    <row r="37" spans="1:14" s="483" customFormat="1" ht="15" customHeight="1">
      <c r="A37" s="1782"/>
      <c r="B37" s="1783" t="s">
        <v>421</v>
      </c>
      <c r="C37" s="2409">
        <v>0.10059999999999999</v>
      </c>
      <c r="D37" s="2409">
        <v>1.224701</v>
      </c>
      <c r="E37" s="2409">
        <v>0.1024</v>
      </c>
      <c r="F37" s="2409">
        <v>0.98180000000000001</v>
      </c>
      <c r="G37" s="2409">
        <v>0.1033</v>
      </c>
      <c r="H37" s="2410">
        <v>0.376</v>
      </c>
      <c r="I37" s="2409">
        <v>0.49772499999999997</v>
      </c>
      <c r="J37" s="2409">
        <v>0.43617899999999998</v>
      </c>
      <c r="K37" s="2464">
        <v>2.408E-3</v>
      </c>
      <c r="L37" s="2409">
        <v>0.46779199999999999</v>
      </c>
      <c r="N37" s="2465"/>
    </row>
    <row r="38" spans="1:14" s="483" customFormat="1" ht="15" customHeight="1">
      <c r="A38" s="1782"/>
      <c r="B38" s="1783" t="s">
        <v>422</v>
      </c>
      <c r="C38" s="2409">
        <v>0.10059999999999999</v>
      </c>
      <c r="D38" s="2409">
        <v>1.222075</v>
      </c>
      <c r="E38" s="2409">
        <v>0.1024</v>
      </c>
      <c r="F38" s="2409">
        <v>0.98180000000000001</v>
      </c>
      <c r="G38" s="2409">
        <v>0.1033</v>
      </c>
      <c r="H38" s="2410">
        <v>0.376</v>
      </c>
      <c r="I38" s="2409">
        <v>0.50637500000000002</v>
      </c>
      <c r="J38" s="2409">
        <v>0.441801</v>
      </c>
      <c r="K38" s="2464">
        <v>2.405E-3</v>
      </c>
      <c r="L38" s="2409">
        <v>0.47499999999999998</v>
      </c>
      <c r="N38" s="2465"/>
    </row>
    <row r="39" spans="1:14" s="483" customFormat="1" ht="21" customHeight="1">
      <c r="A39" s="1782">
        <v>2026</v>
      </c>
      <c r="B39" s="1783" t="s">
        <v>423</v>
      </c>
      <c r="C39" s="2409">
        <v>0.10059999999999999</v>
      </c>
      <c r="D39" s="2409">
        <v>1.2260390000000001</v>
      </c>
      <c r="E39" s="2409">
        <v>0.1024</v>
      </c>
      <c r="F39" s="2409">
        <v>0.98180000000000001</v>
      </c>
      <c r="G39" s="2409">
        <v>0.1033</v>
      </c>
      <c r="H39" s="2410">
        <v>0.376</v>
      </c>
      <c r="I39" s="2409">
        <v>0.51299399999999995</v>
      </c>
      <c r="J39" s="2409">
        <v>0.446108</v>
      </c>
      <c r="K39" s="2464">
        <v>2.4559999999999998E-3</v>
      </c>
      <c r="L39" s="2409">
        <v>0.48927500000000002</v>
      </c>
      <c r="N39" s="2465"/>
    </row>
    <row r="40" spans="1:14" s="483" customFormat="1" ht="15" customHeight="1">
      <c r="A40" s="1782"/>
      <c r="B40" s="1783" t="s">
        <v>424</v>
      </c>
      <c r="C40" s="2409">
        <v>0.10059999999999999</v>
      </c>
      <c r="D40" s="2409">
        <v>1.2252000000000001</v>
      </c>
      <c r="E40" s="2409">
        <v>0.1024</v>
      </c>
      <c r="F40" s="2409">
        <v>0.98180000000000001</v>
      </c>
      <c r="G40" s="2409">
        <v>0.1033</v>
      </c>
      <c r="H40" s="2410">
        <v>0.376</v>
      </c>
      <c r="I40" s="2409">
        <v>0.51005999999999996</v>
      </c>
      <c r="J40" s="2409">
        <v>0.44447199999999998</v>
      </c>
      <c r="K40" s="2464">
        <v>2.4109999999999999E-3</v>
      </c>
      <c r="L40" s="2409">
        <v>0.48718299999999998</v>
      </c>
      <c r="N40" s="2465"/>
    </row>
    <row r="41" spans="1:14" s="483" customFormat="1" ht="15" customHeight="1">
      <c r="A41" s="1782"/>
      <c r="B41" s="1783" t="s">
        <v>425</v>
      </c>
      <c r="C41" s="2409">
        <v>0.10059999999999999</v>
      </c>
      <c r="D41" s="2409">
        <v>1.216993</v>
      </c>
      <c r="E41" s="2409">
        <v>0.1024</v>
      </c>
      <c r="F41" s="2409">
        <v>0.98180000000000001</v>
      </c>
      <c r="G41" s="2409">
        <v>0.1033</v>
      </c>
      <c r="H41" s="2410">
        <v>0.376</v>
      </c>
      <c r="I41" s="2409">
        <v>0.49539299999999997</v>
      </c>
      <c r="J41" s="2409">
        <v>0.43085699999999999</v>
      </c>
      <c r="K41" s="2464">
        <v>2.3530000000000001E-3</v>
      </c>
      <c r="L41" s="2409">
        <v>0.47013100000000002</v>
      </c>
      <c r="N41" s="2465"/>
    </row>
    <row r="42" spans="1:14" s="483" customFormat="1" ht="15" customHeight="1">
      <c r="A42" s="1782"/>
      <c r="B42" s="1783" t="s">
        <v>426</v>
      </c>
      <c r="C42" s="2409">
        <v>0.10059999999999999</v>
      </c>
      <c r="D42" s="2409">
        <v>1.221479</v>
      </c>
      <c r="E42" s="2409">
        <v>0.1024</v>
      </c>
      <c r="F42" s="2409">
        <v>0.98180000000000001</v>
      </c>
      <c r="G42" s="2409">
        <v>0.1033</v>
      </c>
      <c r="H42" s="2410">
        <v>0.376</v>
      </c>
      <c r="I42" s="2409">
        <v>0.50735200000000003</v>
      </c>
      <c r="J42" s="2409">
        <v>0.43950699999999998</v>
      </c>
      <c r="K42" s="2464">
        <v>2.3479999999999998E-3</v>
      </c>
      <c r="L42" s="2409">
        <v>0.475721</v>
      </c>
      <c r="N42" s="2465"/>
    </row>
    <row r="43" spans="1:14" s="483" customFormat="1" ht="15" customHeight="1">
      <c r="A43" s="1782"/>
      <c r="B43" s="1783" t="s">
        <v>1790</v>
      </c>
      <c r="C43" s="2409">
        <v>0.10059999999999999</v>
      </c>
      <c r="D43" s="2409">
        <v>1.215263</v>
      </c>
      <c r="E43" s="2409">
        <v>0.1024</v>
      </c>
      <c r="F43" s="2409">
        <v>0.98180000000000001</v>
      </c>
      <c r="G43" s="2409">
        <v>0.1033</v>
      </c>
      <c r="H43" s="2410">
        <v>0.376</v>
      </c>
      <c r="I43" s="2409">
        <v>0.50607400000000002</v>
      </c>
      <c r="J43" s="2409">
        <v>0.43766500000000003</v>
      </c>
      <c r="K43" s="2464">
        <v>2.362E-3</v>
      </c>
      <c r="L43" s="2409">
        <v>0.478993</v>
      </c>
      <c r="N43" s="2465"/>
    </row>
    <row r="44" spans="1:14" s="153" customFormat="1" ht="20.25" customHeight="1">
      <c r="A44" s="322" t="s">
        <v>559</v>
      </c>
      <c r="B44" s="322"/>
      <c r="C44" s="322"/>
      <c r="D44" s="322"/>
      <c r="E44" s="322"/>
      <c r="F44" s="322"/>
      <c r="G44" s="322"/>
      <c r="H44" s="322"/>
      <c r="I44" s="322"/>
      <c r="J44" s="322"/>
      <c r="K44" s="322"/>
      <c r="L44" s="708" t="s">
        <v>560</v>
      </c>
    </row>
    <row r="45" spans="1:14" s="153" customFormat="1" ht="13.5" customHeight="1">
      <c r="A45" s="153" t="s">
        <v>561</v>
      </c>
      <c r="L45" s="711" t="s">
        <v>562</v>
      </c>
    </row>
    <row r="46" spans="1:14" ht="13.75" customHeight="1">
      <c r="A46" s="153"/>
      <c r="G46" s="153"/>
      <c r="H46" s="709"/>
      <c r="I46" s="710"/>
      <c r="J46" s="18"/>
      <c r="K46" s="18"/>
      <c r="L46" s="711"/>
    </row>
    <row r="47" spans="1:14">
      <c r="G47" s="712"/>
      <c r="H47" s="712"/>
      <c r="I47" s="713"/>
      <c r="J47" s="18"/>
      <c r="K47" s="18"/>
      <c r="L47" s="18"/>
    </row>
    <row r="48" spans="1:14">
      <c r="A48" s="477" t="s">
        <v>563</v>
      </c>
      <c r="B48" s="686"/>
      <c r="C48" s="686"/>
      <c r="D48" s="686"/>
      <c r="E48" s="686"/>
      <c r="F48" s="686"/>
      <c r="G48" s="686"/>
      <c r="H48" s="686"/>
      <c r="I48" s="686"/>
      <c r="J48" s="686"/>
      <c r="K48" s="686"/>
      <c r="L48" s="686"/>
    </row>
  </sheetData>
  <printOptions horizontalCentered="1" verticalCentered="1"/>
  <pageMargins left="0" right="0" top="0" bottom="0" header="0.3" footer="0.3"/>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8948c4c-baff-4c87-bcda-fd249856c6f2" xsi:nil="true"/>
    <lcf76f155ced4ddcb4097134ff3c332f xmlns="314111f1-01ad-4005-a8e1-a063935e656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5B9C3D99DA21D41B3C642446109626A" ma:contentTypeVersion="17" ma:contentTypeDescription="Create a new document." ma:contentTypeScope="" ma:versionID="0bb6d297aeadc99d6708f535642b0a69">
  <xsd:schema xmlns:xsd="http://www.w3.org/2001/XMLSchema" xmlns:xs="http://www.w3.org/2001/XMLSchema" xmlns:p="http://schemas.microsoft.com/office/2006/metadata/properties" xmlns:ns2="314111f1-01ad-4005-a8e1-a063935e6564" xmlns:ns3="88948c4c-baff-4c87-bcda-fd249856c6f2" targetNamespace="http://schemas.microsoft.com/office/2006/metadata/properties" ma:root="true" ma:fieldsID="599aa6156ea74ce5d74569db58844490" ns2:_="" ns3:_="">
    <xsd:import namespace="314111f1-01ad-4005-a8e1-a063935e6564"/>
    <xsd:import namespace="88948c4c-baff-4c87-bcda-fd249856c6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111f1-01ad-4005-a8e1-a063935e6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4d7ca05-1820-458c-a9c3-05adc9bdec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948c4c-baff-4c87-bcda-fd249856c6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1701a4b-1cfe-47e5-af84-11f3bbd4ac66}" ma:internalName="TaxCatchAll" ma:showField="CatchAllData" ma:web="88948c4c-baff-4c87-bcda-fd249856c6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B75459-E953-4BCB-B021-696A83176465}">
  <ds:schemaRefs>
    <ds:schemaRef ds:uri="http://schemas.microsoft.com/sharepoint/v3/contenttype/forms"/>
  </ds:schemaRefs>
</ds:datastoreItem>
</file>

<file path=customXml/itemProps2.xml><?xml version="1.0" encoding="utf-8"?>
<ds:datastoreItem xmlns:ds="http://schemas.openxmlformats.org/officeDocument/2006/customXml" ds:itemID="{6F8088CB-B113-4F73-93F2-33087DAFBE04}">
  <ds:schemaRefs>
    <ds:schemaRef ds:uri="http://schemas.microsoft.com/office/2006/documentManagement/types"/>
    <ds:schemaRef ds:uri="http://schemas.microsoft.com/office/2006/metadata/properties"/>
    <ds:schemaRef ds:uri="88948c4c-baff-4c87-bcda-fd249856c6f2"/>
    <ds:schemaRef ds:uri="http://www.w3.org/XML/1998/namespace"/>
    <ds:schemaRef ds:uri="http://purl.org/dc/terms/"/>
    <ds:schemaRef ds:uri="http://schemas.microsoft.com/office/infopath/2007/PartnerControls"/>
    <ds:schemaRef ds:uri="http://purl.org/dc/elements/1.1/"/>
    <ds:schemaRef ds:uri="http://purl.org/dc/dcmitype/"/>
    <ds:schemaRef ds:uri="http://schemas.openxmlformats.org/package/2006/metadata/core-properties"/>
    <ds:schemaRef ds:uri="314111f1-01ad-4005-a8e1-a063935e6564"/>
  </ds:schemaRefs>
</ds:datastoreItem>
</file>

<file path=customXml/itemProps3.xml><?xml version="1.0" encoding="utf-8"?>
<ds:datastoreItem xmlns:ds="http://schemas.openxmlformats.org/officeDocument/2006/customXml" ds:itemID="{2F5DF897-2EF7-4D7A-9C70-0EDED82D0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4111f1-01ad-4005-a8e1-a063935e6564"/>
    <ds:schemaRef ds:uri="88948c4c-baff-4c87-bcda-fd249856c6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48</vt:i4>
      </vt:variant>
    </vt:vector>
  </HeadingPairs>
  <TitlesOfParts>
    <vt:vector size="110" baseType="lpstr">
      <vt:lpstr>Index</vt:lpstr>
      <vt:lpstr>Metadata</vt:lpstr>
      <vt:lpstr>Indicators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'54'!Print_Area</vt:lpstr>
      <vt:lpstr>'56'!Print_Area</vt:lpstr>
      <vt:lpstr>'57'!Print_Area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Section</dc:creator>
  <cp:keywords/>
  <dc:description/>
  <cp:lastModifiedBy>Samah Al Arayedh</cp:lastModifiedBy>
  <cp:revision/>
  <cp:lastPrinted>2026-06-30T07:37:58Z</cp:lastPrinted>
  <dcterms:created xsi:type="dcterms:W3CDTF">2000-07-05T09:57:24Z</dcterms:created>
  <dcterms:modified xsi:type="dcterms:W3CDTF">2026-06-30T07:39:00Z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0x01010015B9C3D99DA21D41B3C642446109626A</vt:lpwstr>
  </property>
  <property fmtid="{D5CDD505-2E9C-101B-9397-08002B2CF9AE}" pid="3" name="MediaServiceImageTags">
    <vt:lpwstr/>
  </property>
</Properties>
</file>