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cbbbah.sharepoint.com/sites/StatisticalUnit/Shared Documents/General/Statistical Returns/MSB no links/"/>
    </mc:Choice>
  </mc:AlternateContent>
  <xr:revisionPtr revIDLastSave="40" documentId="8_{85B08340-7473-49E3-A034-DACE7EEB64CC}" xr6:coauthVersionLast="47" xr6:coauthVersionMax="47" xr10:uidLastSave="{546C012B-6EF4-4B3D-8892-DFEA0BF128B9}"/>
  <bookViews>
    <workbookView xWindow="-108" yWindow="-108" windowWidth="23256" windowHeight="12456" tabRatio="913" xr2:uid="{00000000-000D-0000-FFFF-FFFF00000000}"/>
  </bookViews>
  <sheets>
    <sheet name="Index" sheetId="3" r:id="rId1"/>
    <sheet name="Metadata" sheetId="118" r:id="rId2"/>
    <sheet name="Indicators" sheetId="63" r:id="rId3"/>
    <sheet name="1" sheetId="4" r:id="rId4"/>
    <sheet name="2" sheetId="5" r:id="rId5"/>
    <sheet name="3" sheetId="6" r:id="rId6"/>
    <sheet name="4" sheetId="7" r:id="rId7"/>
    <sheet name="5" sheetId="8" r:id="rId8"/>
    <sheet name="6" sheetId="79" r:id="rId9"/>
    <sheet name="7" sheetId="80" r:id="rId10"/>
    <sheet name="8" sheetId="81" r:id="rId11"/>
    <sheet name="9" sheetId="128" r:id="rId12"/>
    <sheet name="10" sheetId="129" r:id="rId13"/>
    <sheet name="11" sheetId="82" r:id="rId14"/>
    <sheet name="12" sheetId="83" r:id="rId15"/>
    <sheet name="13" sheetId="9" r:id="rId16"/>
    <sheet name="14" sheetId="10" r:id="rId17"/>
    <sheet name="15" sheetId="11" r:id="rId18"/>
    <sheet name="16" sheetId="12" r:id="rId19"/>
    <sheet name="17" sheetId="13" r:id="rId20"/>
    <sheet name="18" sheetId="14" r:id="rId21"/>
    <sheet name="19" sheetId="15" r:id="rId22"/>
    <sheet name="20" sheetId="102" r:id="rId23"/>
    <sheet name="21" sheetId="127" r:id="rId24"/>
    <sheet name="22" sheetId="98" r:id="rId25"/>
    <sheet name="23" sheetId="65" r:id="rId26"/>
    <sheet name="24" sheetId="64" r:id="rId27"/>
    <sheet name="25" sheetId="61" r:id="rId28"/>
    <sheet name="26" sheetId="105" r:id="rId29"/>
    <sheet name="27" sheetId="106" r:id="rId30"/>
    <sheet name="28" sheetId="17" r:id="rId31"/>
    <sheet name="29" sheetId="18" r:id="rId32"/>
    <sheet name="30" sheetId="73" r:id="rId33"/>
    <sheet name="31" sheetId="72" r:id="rId34"/>
    <sheet name="32" sheetId="75" r:id="rId35"/>
    <sheet name="33" sheetId="74" r:id="rId36"/>
    <sheet name="34" sheetId="78" r:id="rId37"/>
    <sheet name="35" sheetId="77" r:id="rId38"/>
    <sheet name="36" sheetId="76" r:id="rId39"/>
    <sheet name="37" sheetId="111" r:id="rId40"/>
    <sheet name="38" sheetId="112" r:id="rId41"/>
    <sheet name="39" sheetId="113" r:id="rId42"/>
    <sheet name="40" sheetId="101" r:id="rId43"/>
    <sheet name="41" sheetId="97" r:id="rId44"/>
    <sheet name="42" sheetId="119" r:id="rId45"/>
    <sheet name="43" sheetId="107" r:id="rId46"/>
    <sheet name="44" sheetId="110" r:id="rId47"/>
    <sheet name="45" sheetId="114" r:id="rId48"/>
    <sheet name="46" sheetId="115" r:id="rId49"/>
    <sheet name="47" sheetId="116" r:id="rId50"/>
    <sheet name="48" sheetId="117" r:id="rId51"/>
    <sheet name="49" sheetId="122" r:id="rId52"/>
    <sheet name="50" sheetId="125" r:id="rId53"/>
    <sheet name="51" sheetId="124" r:id="rId54"/>
    <sheet name="52" sheetId="108" r:id="rId55"/>
    <sheet name="53" sheetId="109" r:id="rId56"/>
    <sheet name="54" sheetId="130" r:id="rId57"/>
    <sheet name="55" sheetId="90" r:id="rId58"/>
    <sheet name="56" sheetId="120" r:id="rId59"/>
    <sheet name="57" sheetId="121" r:id="rId60"/>
    <sheet name="58" sheetId="93" r:id="rId61"/>
    <sheet name="59" sheetId="94" r:id="rId62"/>
  </sheets>
  <definedNames>
    <definedName name="_TAB1" localSheetId="22">#REF!</definedName>
    <definedName name="_TAB1" localSheetId="23">'21'!#REF!</definedName>
    <definedName name="_TAB1" localSheetId="42">#REF!</definedName>
    <definedName name="_TAB1" localSheetId="44">#REF!</definedName>
    <definedName name="_TAB1" localSheetId="45">#REF!</definedName>
    <definedName name="_TAB1" localSheetId="46">#REF!</definedName>
    <definedName name="_TAB1" localSheetId="47">#REF!</definedName>
    <definedName name="_TAB1" localSheetId="48">#REF!</definedName>
    <definedName name="_TAB1" localSheetId="52">#REF!</definedName>
    <definedName name="_TAB1" localSheetId="54">#REF!</definedName>
    <definedName name="_TAB1" localSheetId="55">#REF!</definedName>
    <definedName name="_TAB1" localSheetId="56">#REF!</definedName>
    <definedName name="_TAB1" localSheetId="58">#REF!</definedName>
    <definedName name="_TAB1" localSheetId="59">#REF!</definedName>
    <definedName name="_TAB1">#REF!</definedName>
    <definedName name="_TAB12" localSheetId="22">#REF!</definedName>
    <definedName name="_TAB12" localSheetId="23">'21'!#REF!</definedName>
    <definedName name="_TAB12" localSheetId="42">#REF!</definedName>
    <definedName name="_TAB12" localSheetId="44">#REF!</definedName>
    <definedName name="_TAB12" localSheetId="45">#REF!</definedName>
    <definedName name="_TAB12" localSheetId="46">#REF!</definedName>
    <definedName name="_TAB12" localSheetId="47">#REF!</definedName>
    <definedName name="_TAB12" localSheetId="48">#REF!</definedName>
    <definedName name="_TAB12" localSheetId="52">#REF!</definedName>
    <definedName name="_TAB12" localSheetId="54">#REF!</definedName>
    <definedName name="_TAB12" localSheetId="55">#REF!</definedName>
    <definedName name="_TAB12" localSheetId="56">#REF!</definedName>
    <definedName name="_TAB12" localSheetId="58">#REF!</definedName>
    <definedName name="_TAB12" localSheetId="59">#REF!</definedName>
    <definedName name="_TAB12">#REF!</definedName>
    <definedName name="_TAB17" localSheetId="22">#REF!</definedName>
    <definedName name="_TAB17" localSheetId="23">'21'!#REF!</definedName>
    <definedName name="_TAB17" localSheetId="42">#REF!</definedName>
    <definedName name="_TAB17" localSheetId="44">#REF!</definedName>
    <definedName name="_TAB17" localSheetId="45">#REF!</definedName>
    <definedName name="_TAB17" localSheetId="46">#REF!</definedName>
    <definedName name="_TAB17" localSheetId="47">#REF!</definedName>
    <definedName name="_TAB17" localSheetId="48">#REF!</definedName>
    <definedName name="_TAB17" localSheetId="52">#REF!</definedName>
    <definedName name="_TAB17" localSheetId="54">#REF!</definedName>
    <definedName name="_TAB17" localSheetId="55">#REF!</definedName>
    <definedName name="_TAB17" localSheetId="56">#REF!</definedName>
    <definedName name="_TAB17" localSheetId="58">#REF!</definedName>
    <definedName name="_TAB17" localSheetId="59">#REF!</definedName>
    <definedName name="_TAB17">#REF!</definedName>
    <definedName name="_TAB20" localSheetId="22">#REF!</definedName>
    <definedName name="_TAB20" localSheetId="23">'21'!#REF!</definedName>
    <definedName name="_TAB20" localSheetId="45">#REF!</definedName>
    <definedName name="_TAB20" localSheetId="46">#REF!</definedName>
    <definedName name="_TAB20" localSheetId="47">#REF!</definedName>
    <definedName name="_TAB20" localSheetId="48">#REF!</definedName>
    <definedName name="_TAB20" localSheetId="52">#REF!</definedName>
    <definedName name="_TAB20" localSheetId="54">#REF!</definedName>
    <definedName name="_TAB20" localSheetId="55">#REF!</definedName>
    <definedName name="_TAB20" localSheetId="58">#REF!</definedName>
    <definedName name="_TAB20" localSheetId="59">#REF!</definedName>
    <definedName name="_TAB20">#REF!</definedName>
    <definedName name="_TAB4" localSheetId="22">#REF!</definedName>
    <definedName name="_TAB4" localSheetId="23">'21'!#REF!</definedName>
    <definedName name="_TAB4" localSheetId="45">#REF!</definedName>
    <definedName name="_TAB4" localSheetId="46">#REF!</definedName>
    <definedName name="_TAB4" localSheetId="47">#REF!</definedName>
    <definedName name="_TAB4" localSheetId="48">#REF!</definedName>
    <definedName name="_TAB4" localSheetId="52">#REF!</definedName>
    <definedName name="_TAB4" localSheetId="54">#REF!</definedName>
    <definedName name="_TAB4" localSheetId="55">#REF!</definedName>
    <definedName name="_TAB4" localSheetId="58">#REF!</definedName>
    <definedName name="_TAB4" localSheetId="59">#REF!</definedName>
    <definedName name="_TAB4">#REF!</definedName>
    <definedName name="_TAB7" localSheetId="22">#REF!</definedName>
    <definedName name="_TAB7" localSheetId="23">'21'!#REF!</definedName>
    <definedName name="_TAB7" localSheetId="45">#REF!</definedName>
    <definedName name="_TAB7" localSheetId="46">#REF!</definedName>
    <definedName name="_TAB7" localSheetId="47">#REF!</definedName>
    <definedName name="_TAB7" localSheetId="48">#REF!</definedName>
    <definedName name="_TAB7" localSheetId="52">#REF!</definedName>
    <definedName name="_TAB7" localSheetId="54">#REF!</definedName>
    <definedName name="_TAB7" localSheetId="55">#REF!</definedName>
    <definedName name="_TAB7" localSheetId="58">#REF!</definedName>
    <definedName name="_TAB7" localSheetId="59">#REF!</definedName>
    <definedName name="_TAB7">#REF!</definedName>
    <definedName name="new_tab" localSheetId="52">#REF!</definedName>
    <definedName name="new_tab" localSheetId="58">#REF!</definedName>
    <definedName name="new_tab" localSheetId="59">#REF!</definedName>
    <definedName name="new_tab">#REF!</definedName>
    <definedName name="_xlnm.Print_Area" localSheetId="3">'1'!$A$1:$O$46</definedName>
    <definedName name="_xlnm.Print_Area" localSheetId="14">'12'!$A$1:$Q$50</definedName>
    <definedName name="_xlnm.Print_Area" localSheetId="15">'13'!$A$1:$O$47</definedName>
    <definedName name="_xlnm.Print_Area" localSheetId="16">'14'!$A$1:$M$47</definedName>
    <definedName name="_xlnm.Print_Area" localSheetId="17">'15'!$A$1:$L$50</definedName>
    <definedName name="_xlnm.Print_Area" localSheetId="18">'16'!$A$6:$J$47</definedName>
    <definedName name="_xlnm.Print_Area" localSheetId="19">'17'!$A$1:$N$48</definedName>
    <definedName name="_xlnm.Print_Area" localSheetId="20">'18'!$A$1:$N$48</definedName>
    <definedName name="_xlnm.Print_Area" localSheetId="21">'19'!$A$1:$Q$47</definedName>
    <definedName name="_xlnm.Print_Area" localSheetId="4">'2'!$A$1:$L$47</definedName>
    <definedName name="_xlnm.Print_Area" localSheetId="22">'20'!$A$1:$L$49</definedName>
    <definedName name="_xlnm.Print_Area" localSheetId="23">'21'!$A$1:$O$37</definedName>
    <definedName name="_xlnm.Print_Area" localSheetId="25">'23'!$A$1:$Q$48</definedName>
    <definedName name="_xlnm.Print_Area" localSheetId="26">'24'!$A$1:$Q$48</definedName>
    <definedName name="_xlnm.Print_Area" localSheetId="27">'25'!$A$1:$K$48</definedName>
    <definedName name="_xlnm.Print_Area" localSheetId="28">'26'!$A$1:$P$50</definedName>
    <definedName name="_xlnm.Print_Area" localSheetId="29">'27'!$A$1:$P$50</definedName>
    <definedName name="_xlnm.Print_Area" localSheetId="30">'28'!$A$1:$O$47</definedName>
    <definedName name="_xlnm.Print_Area" localSheetId="31">'29'!$A$1:$O$47</definedName>
    <definedName name="_xlnm.Print_Area" localSheetId="5">'3'!$A$1:$K$48</definedName>
    <definedName name="_xlnm.Print_Area" localSheetId="32">'30'!$A$1:$Q$48</definedName>
    <definedName name="_xlnm.Print_Area" localSheetId="33">'31'!$A$1:$Q$47</definedName>
    <definedName name="_xlnm.Print_Area" localSheetId="34">'32'!$A$1:$P$49</definedName>
    <definedName name="_xlnm.Print_Area" localSheetId="35">'33'!$A$1:$P$49</definedName>
    <definedName name="_xlnm.Print_Area" localSheetId="36">'34'!$A$1:$Q$47</definedName>
    <definedName name="_xlnm.Print_Area" localSheetId="37">'35'!$A$1:$Q$47</definedName>
    <definedName name="_xlnm.Print_Area" localSheetId="38">'36'!$A$1:$R$43</definedName>
    <definedName name="_xlnm.Print_Area" localSheetId="39">'37'!$A$1:$J$50</definedName>
    <definedName name="_xlnm.Print_Area" localSheetId="40">'38'!$A$1:$R$50</definedName>
    <definedName name="_xlnm.Print_Area" localSheetId="41">'39'!$A$1:$R$50</definedName>
    <definedName name="_xlnm.Print_Area" localSheetId="6">'4'!$A$1:$J$47</definedName>
    <definedName name="_xlnm.Print_Area" localSheetId="42">'40'!$A$1:$U$48</definedName>
    <definedName name="_xlnm.Print_Area" localSheetId="43">'41'!$A$1:$O$50</definedName>
    <definedName name="_xlnm.Print_Area" localSheetId="44">'42'!$A$1:$N$51</definedName>
    <definedName name="_xlnm.Print_Area" localSheetId="45">'43'!$A$1:$L$46</definedName>
    <definedName name="_xlnm.Print_Area" localSheetId="46">'44'!$A$1:$M$47</definedName>
    <definedName name="_xlnm.Print_Area" localSheetId="47">'45'!$A$1:$O$37</definedName>
    <definedName name="_xlnm.Print_Area" localSheetId="48">'46'!$A$1:$O$37</definedName>
    <definedName name="_xlnm.Print_Area" localSheetId="49">'47'!$A$1:$O$37</definedName>
    <definedName name="_xlnm.Print_Area" localSheetId="50">'48'!$A$1:$O$37</definedName>
    <definedName name="_xlnm.Print_Area" localSheetId="51">'49'!$A$1:$N$46</definedName>
    <definedName name="_xlnm.Print_Area" localSheetId="7">'5'!$A$1:$K$47</definedName>
    <definedName name="_xlnm.Print_Area" localSheetId="52">'50'!$A$1:$N$46</definedName>
    <definedName name="_xlnm.Print_Area" localSheetId="53">'51'!$A$1:$P$28</definedName>
    <definedName name="_xlnm.Print_Area" localSheetId="54">'52'!$A$1:$R$54</definedName>
    <definedName name="_xlnm.Print_Area" localSheetId="56">'54'!$A$1:$H$46</definedName>
    <definedName name="_xlnm.Print_Area" localSheetId="58">'56'!$A$1:$N$49</definedName>
    <definedName name="_xlnm.Print_Area" localSheetId="59">'57'!$A$1:$J$46</definedName>
    <definedName name="TAB10B" localSheetId="22">#REF!</definedName>
    <definedName name="TAB10B" localSheetId="23">'21'!#REF!</definedName>
    <definedName name="TAB10B" localSheetId="44">#REF!</definedName>
    <definedName name="TAB10B" localSheetId="45">#REF!</definedName>
    <definedName name="TAB10B" localSheetId="46">#REF!</definedName>
    <definedName name="TAB10B" localSheetId="47">#REF!</definedName>
    <definedName name="TAB10B" localSheetId="48">#REF!</definedName>
    <definedName name="TAB10B" localSheetId="52">#REF!</definedName>
    <definedName name="TAB10B" localSheetId="54">#REF!</definedName>
    <definedName name="TAB10B" localSheetId="55">#REF!</definedName>
    <definedName name="TAB10B" localSheetId="56">#REF!</definedName>
    <definedName name="TAB10B" localSheetId="58">#REF!</definedName>
    <definedName name="TAB10B" localSheetId="59">#REF!</definedName>
    <definedName name="TAB10B">#REF!</definedName>
    <definedName name="TAB15A" localSheetId="22">#REF!</definedName>
    <definedName name="TAB15A" localSheetId="23">'21'!#REF!</definedName>
    <definedName name="TAB15A" localSheetId="44">#REF!</definedName>
    <definedName name="TAB15A" localSheetId="45">#REF!</definedName>
    <definedName name="TAB15A" localSheetId="46">#REF!</definedName>
    <definedName name="TAB15A" localSheetId="47">#REF!</definedName>
    <definedName name="TAB15A" localSheetId="48">#REF!</definedName>
    <definedName name="TAB15A" localSheetId="52">#REF!</definedName>
    <definedName name="TAB15A" localSheetId="54">#REF!</definedName>
    <definedName name="TAB15A" localSheetId="55">#REF!</definedName>
    <definedName name="TAB15A" localSheetId="56">#REF!</definedName>
    <definedName name="TAB15A" localSheetId="58">#REF!</definedName>
    <definedName name="TAB15A" localSheetId="59">#REF!</definedName>
    <definedName name="TAB15A">#REF!</definedName>
    <definedName name="TAB15F" localSheetId="22">#REF!</definedName>
    <definedName name="TAB15F" localSheetId="23">'21'!#REF!</definedName>
    <definedName name="TAB15F" localSheetId="45">#REF!</definedName>
    <definedName name="TAB15F" localSheetId="46">#REF!</definedName>
    <definedName name="TAB15F" localSheetId="47">#REF!</definedName>
    <definedName name="TAB15F" localSheetId="48">#REF!</definedName>
    <definedName name="TAB15F" localSheetId="52">#REF!</definedName>
    <definedName name="TAB15F" localSheetId="54">#REF!</definedName>
    <definedName name="TAB15F" localSheetId="55">#REF!</definedName>
    <definedName name="TAB15F" localSheetId="56">#REF!</definedName>
    <definedName name="TAB15F" localSheetId="58">#REF!</definedName>
    <definedName name="TAB15F" localSheetId="59">#REF!</definedName>
    <definedName name="TAB15F">#REF!</definedName>
    <definedName name="TAB9B" localSheetId="22">#REF!</definedName>
    <definedName name="TAB9B" localSheetId="23">'21'!#REF!</definedName>
    <definedName name="TAB9B" localSheetId="45">#REF!</definedName>
    <definedName name="TAB9B" localSheetId="46">#REF!</definedName>
    <definedName name="TAB9B" localSheetId="47">#REF!</definedName>
    <definedName name="TAB9B" localSheetId="48">#REF!</definedName>
    <definedName name="TAB9B" localSheetId="52">#REF!</definedName>
    <definedName name="TAB9B" localSheetId="54">#REF!</definedName>
    <definedName name="TAB9B" localSheetId="55">#REF!</definedName>
    <definedName name="TAB9B" localSheetId="58">#REF!</definedName>
    <definedName name="TAB9B" localSheetId="59">#REF!</definedName>
    <definedName name="TAB9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63" l="1"/>
  <c r="D43" i="94"/>
  <c r="C43" i="94"/>
  <c r="E43" i="94" s="1"/>
  <c r="E42" i="94"/>
  <c r="E41" i="94"/>
  <c r="E40" i="94"/>
  <c r="T31" i="76" l="1"/>
  <c r="U31" i="76"/>
  <c r="V31" i="76"/>
  <c r="W31" i="76"/>
  <c r="X31" i="76"/>
  <c r="T32" i="76"/>
  <c r="U32" i="76"/>
  <c r="V32" i="76"/>
  <c r="W32" i="76"/>
  <c r="X32" i="76"/>
  <c r="X19" i="76"/>
  <c r="X33" i="76" l="1"/>
  <c r="W33" i="76"/>
  <c r="V33" i="76"/>
  <c r="U33" i="76"/>
  <c r="T33" i="76"/>
  <c r="X30" i="76"/>
  <c r="W30" i="76"/>
  <c r="V30" i="76"/>
  <c r="U30" i="76"/>
  <c r="T30" i="76"/>
  <c r="X29" i="76"/>
  <c r="W29" i="76"/>
  <c r="V29" i="76"/>
  <c r="U29" i="76"/>
  <c r="T29" i="76"/>
  <c r="X28" i="76"/>
  <c r="W28" i="76"/>
  <c r="V28" i="76"/>
  <c r="U28" i="76"/>
  <c r="T28" i="76"/>
  <c r="X27" i="76"/>
  <c r="W27" i="76"/>
  <c r="V27" i="76"/>
  <c r="U27" i="76"/>
  <c r="T27" i="76"/>
  <c r="X26" i="76"/>
  <c r="W26" i="76"/>
  <c r="V26" i="76"/>
  <c r="U26" i="76"/>
  <c r="T26" i="76"/>
  <c r="X25" i="76"/>
  <c r="W25" i="76"/>
  <c r="V25" i="76"/>
  <c r="U25" i="76"/>
  <c r="T25" i="76"/>
  <c r="X24" i="76"/>
  <c r="W24" i="76"/>
  <c r="V24" i="76"/>
  <c r="U24" i="76"/>
  <c r="T24" i="76"/>
  <c r="X23" i="76"/>
  <c r="W23" i="76"/>
  <c r="V23" i="76"/>
  <c r="U23" i="76"/>
  <c r="T23" i="76"/>
  <c r="X22" i="76"/>
  <c r="W22" i="76"/>
  <c r="V22" i="76"/>
  <c r="U22" i="76"/>
  <c r="T22" i="76"/>
  <c r="X21" i="76"/>
  <c r="W21" i="76"/>
  <c r="V21" i="76"/>
  <c r="U21" i="76"/>
  <c r="T21" i="76"/>
  <c r="X20" i="76"/>
  <c r="W20" i="76"/>
  <c r="V20" i="76"/>
  <c r="U20" i="76"/>
  <c r="T20" i="76"/>
  <c r="W19" i="76"/>
  <c r="V19" i="76"/>
  <c r="U19" i="76"/>
  <c r="T19" i="76"/>
  <c r="X18" i="76"/>
  <c r="W18" i="76"/>
  <c r="V18" i="76"/>
  <c r="U18" i="76"/>
  <c r="T18" i="76"/>
  <c r="X17" i="76"/>
  <c r="W17" i="76"/>
  <c r="V17" i="76"/>
  <c r="U17" i="76"/>
  <c r="T17" i="76"/>
  <c r="X16" i="76"/>
  <c r="W16" i="76"/>
  <c r="V16" i="76"/>
  <c r="U16" i="76"/>
  <c r="T16" i="76"/>
  <c r="F43" i="9"/>
  <c r="K43" i="5"/>
  <c r="L43" i="5" s="1"/>
  <c r="C43" i="6" s="1"/>
  <c r="K43" i="9"/>
  <c r="D43" i="6"/>
  <c r="H43" i="4"/>
  <c r="J43" i="5"/>
  <c r="H43" i="5"/>
  <c r="K43" i="6"/>
  <c r="C43" i="7"/>
  <c r="E43" i="8" s="1"/>
  <c r="O43" i="83"/>
  <c r="L43" i="83"/>
  <c r="H43" i="83"/>
  <c r="E43" i="83"/>
  <c r="H43" i="107"/>
  <c r="F43" i="107"/>
  <c r="G43" i="130"/>
  <c r="D43" i="130"/>
  <c r="H43" i="130" s="1"/>
  <c r="N43" i="120"/>
  <c r="N22" i="124"/>
  <c r="N21" i="124"/>
  <c r="N20" i="124"/>
  <c r="N19" i="124"/>
  <c r="N18" i="124"/>
  <c r="N17" i="124"/>
  <c r="N16" i="124"/>
  <c r="N15" i="124"/>
  <c r="N14" i="124"/>
  <c r="N13" i="124"/>
  <c r="N12" i="124"/>
  <c r="N11" i="124"/>
  <c r="N10" i="124"/>
  <c r="N9" i="124"/>
  <c r="O22" i="124"/>
  <c r="O21" i="124"/>
  <c r="O20" i="124"/>
  <c r="O19" i="124"/>
  <c r="O18" i="124"/>
  <c r="O17" i="124"/>
  <c r="O16" i="124"/>
  <c r="O15" i="124"/>
  <c r="O14" i="124"/>
  <c r="O13" i="124"/>
  <c r="O12" i="124"/>
  <c r="O11" i="124"/>
  <c r="O10" i="124"/>
  <c r="O9" i="124"/>
  <c r="G43" i="6" l="1"/>
  <c r="E43" i="9"/>
  <c r="K43" i="61"/>
  <c r="I43" i="78"/>
  <c r="L43" i="9"/>
  <c r="Q43" i="65"/>
  <c r="J43" i="9"/>
  <c r="G43" i="9"/>
  <c r="Q43" i="78"/>
  <c r="O43" i="9"/>
  <c r="I43" i="73"/>
  <c r="J43" i="12"/>
  <c r="D43" i="7" s="1"/>
  <c r="E43" i="7" s="1"/>
  <c r="I43" i="65"/>
  <c r="F43" i="6"/>
  <c r="P43" i="83"/>
  <c r="I43" i="83"/>
  <c r="M43" i="122"/>
  <c r="N43" i="9"/>
  <c r="H43" i="9"/>
  <c r="M43" i="9"/>
  <c r="G43" i="7"/>
  <c r="H43" i="6"/>
  <c r="I43" i="9"/>
  <c r="Q43" i="73"/>
  <c r="M43" i="125"/>
  <c r="E43" i="6"/>
  <c r="C43" i="9"/>
  <c r="J43" i="61"/>
  <c r="D43" i="9"/>
  <c r="F43" i="7"/>
  <c r="H30" i="119"/>
  <c r="D30" i="119"/>
  <c r="Q43" i="83" l="1"/>
  <c r="I43" i="7"/>
  <c r="I43" i="6"/>
  <c r="Q9" i="109" l="1"/>
  <c r="J43" i="6"/>
  <c r="C43" i="8" l="1"/>
  <c r="J43" i="7"/>
  <c r="Q14" i="109"/>
  <c r="Q46" i="108"/>
  <c r="Q43" i="108"/>
  <c r="Q40" i="108"/>
  <c r="Q37" i="108"/>
  <c r="Q34" i="108"/>
  <c r="Q30" i="108"/>
  <c r="Q16" i="108"/>
  <c r="Q13" i="108"/>
  <c r="Q10" i="108"/>
  <c r="Q8" i="109" l="1"/>
  <c r="Q39" i="108"/>
  <c r="Q36" i="108" s="1"/>
  <c r="Q9" i="108"/>
  <c r="Q27" i="108"/>
  <c r="L42" i="107"/>
  <c r="Q8" i="108" l="1"/>
  <c r="Q50" i="108" s="1"/>
  <c r="N47" i="97"/>
  <c r="G47" i="97"/>
  <c r="I47" i="97" s="1"/>
  <c r="F103" i="63" l="1"/>
  <c r="F105" i="63" s="1"/>
  <c r="F102" i="63"/>
  <c r="F100" i="63"/>
  <c r="F99" i="63"/>
  <c r="F98" i="63"/>
  <c r="F97" i="63"/>
  <c r="F95" i="63"/>
  <c r="F94" i="63"/>
  <c r="F51" i="63"/>
  <c r="F50" i="63"/>
  <c r="F25" i="63"/>
  <c r="F26" i="63" s="1"/>
  <c r="F35" i="93"/>
  <c r="F23" i="63"/>
  <c r="F24" i="63" s="1"/>
  <c r="N30" i="83" l="1"/>
  <c r="M30" i="83"/>
  <c r="G30" i="83"/>
  <c r="F30" i="83"/>
  <c r="D30" i="83"/>
  <c r="C30" i="83"/>
  <c r="N30" i="119"/>
  <c r="M30" i="119"/>
  <c r="L30" i="119"/>
  <c r="K30" i="119"/>
  <c r="J30" i="119"/>
  <c r="I30" i="119"/>
  <c r="G30" i="119"/>
  <c r="F30" i="119"/>
  <c r="E30" i="119"/>
  <c r="C30" i="119"/>
  <c r="L30" i="107"/>
  <c r="K30" i="107"/>
  <c r="J30" i="107"/>
  <c r="I30" i="107"/>
  <c r="G30" i="107"/>
  <c r="E30" i="107"/>
  <c r="D30" i="107"/>
  <c r="C30" i="107"/>
  <c r="F30" i="90"/>
  <c r="E30" i="90"/>
  <c r="D30" i="90"/>
  <c r="M30" i="120"/>
  <c r="L30" i="120"/>
  <c r="K30" i="120"/>
  <c r="J30" i="120"/>
  <c r="I30" i="120"/>
  <c r="H30" i="120"/>
  <c r="G30" i="120"/>
  <c r="F30" i="120"/>
  <c r="E30" i="120"/>
  <c r="D30" i="120"/>
  <c r="C30" i="120"/>
  <c r="L30" i="79"/>
  <c r="K30" i="79"/>
  <c r="J30" i="79"/>
  <c r="I30" i="79"/>
  <c r="H30" i="79"/>
  <c r="G30" i="79"/>
  <c r="F30" i="79"/>
  <c r="E30" i="79"/>
  <c r="D30" i="79"/>
  <c r="C30" i="79"/>
  <c r="Q30" i="80"/>
  <c r="I30" i="10"/>
  <c r="H30" i="13"/>
  <c r="E30" i="13"/>
  <c r="F30" i="14"/>
  <c r="M30" i="15"/>
  <c r="C30" i="102"/>
  <c r="P30" i="65"/>
  <c r="J30" i="64"/>
  <c r="E30" i="105"/>
  <c r="D30" i="106"/>
  <c r="N30" i="17"/>
  <c r="G30" i="17"/>
  <c r="C30" i="17"/>
  <c r="O30" i="75"/>
  <c r="N30" i="75"/>
  <c r="E30" i="75"/>
  <c r="C30" i="75"/>
  <c r="E30" i="74"/>
  <c r="M30" i="78"/>
  <c r="C30" i="77"/>
  <c r="F30" i="130"/>
  <c r="E30" i="130"/>
  <c r="C30" i="130"/>
  <c r="I30" i="90"/>
  <c r="H30" i="90"/>
  <c r="C30" i="90"/>
  <c r="J30" i="121"/>
  <c r="I30" i="121"/>
  <c r="H30" i="121"/>
  <c r="G30" i="121"/>
  <c r="F30" i="121"/>
  <c r="E30" i="121"/>
  <c r="D30" i="121"/>
  <c r="C30" i="121"/>
  <c r="O30" i="4"/>
  <c r="N30" i="4"/>
  <c r="M30" i="4"/>
  <c r="L30" i="4"/>
  <c r="K30" i="4"/>
  <c r="J30" i="4"/>
  <c r="G30" i="4"/>
  <c r="F30" i="4"/>
  <c r="E30" i="4"/>
  <c r="D30" i="4"/>
  <c r="C30" i="4"/>
  <c r="I30" i="5"/>
  <c r="G30" i="5"/>
  <c r="F30" i="5"/>
  <c r="E30" i="5"/>
  <c r="D30" i="5"/>
  <c r="C30" i="5"/>
  <c r="S30" i="80"/>
  <c r="P30" i="80"/>
  <c r="O30" i="80"/>
  <c r="N30" i="80"/>
  <c r="M30" i="80"/>
  <c r="L30" i="80"/>
  <c r="J30" i="80"/>
  <c r="I30" i="80"/>
  <c r="H30" i="80"/>
  <c r="G30" i="80"/>
  <c r="E30" i="80"/>
  <c r="D30" i="80"/>
  <c r="C30" i="80"/>
  <c r="S30" i="128"/>
  <c r="R30" i="128"/>
  <c r="Q30" i="128"/>
  <c r="P30" i="128"/>
  <c r="O30" i="128"/>
  <c r="N30" i="128"/>
  <c r="M30" i="128"/>
  <c r="L30" i="128"/>
  <c r="K30" i="128"/>
  <c r="J30" i="128"/>
  <c r="I30" i="128"/>
  <c r="H30" i="128"/>
  <c r="G30" i="128"/>
  <c r="F30" i="128"/>
  <c r="E30" i="128"/>
  <c r="D30" i="128"/>
  <c r="C30" i="128"/>
  <c r="M30" i="10"/>
  <c r="I42" i="9"/>
  <c r="K30" i="10"/>
  <c r="G42" i="9"/>
  <c r="H30" i="10"/>
  <c r="G30" i="10"/>
  <c r="F30" i="10"/>
  <c r="E30" i="10"/>
  <c r="K42" i="5"/>
  <c r="K30" i="5" s="1"/>
  <c r="L30" i="11"/>
  <c r="K30" i="11"/>
  <c r="J30" i="11"/>
  <c r="I30" i="11"/>
  <c r="H30" i="11"/>
  <c r="G30" i="11"/>
  <c r="F30" i="11"/>
  <c r="D30" i="11"/>
  <c r="C30" i="11"/>
  <c r="I30" i="12"/>
  <c r="H30" i="12"/>
  <c r="G30" i="12"/>
  <c r="F30" i="12"/>
  <c r="E30" i="12"/>
  <c r="D30" i="12"/>
  <c r="C30" i="12"/>
  <c r="N30" i="13"/>
  <c r="M30" i="13"/>
  <c r="L30" i="13"/>
  <c r="K30" i="13"/>
  <c r="J30" i="13"/>
  <c r="I30" i="13"/>
  <c r="G30" i="13"/>
  <c r="F30" i="13"/>
  <c r="D30" i="13"/>
  <c r="C30" i="13"/>
  <c r="N30" i="14"/>
  <c r="M30" i="14"/>
  <c r="L30" i="14"/>
  <c r="K30" i="14"/>
  <c r="J30" i="14"/>
  <c r="I30" i="14"/>
  <c r="H30" i="14"/>
  <c r="G30" i="14"/>
  <c r="E30" i="14"/>
  <c r="D30" i="14"/>
  <c r="C30" i="14"/>
  <c r="Q30" i="15"/>
  <c r="P30" i="15"/>
  <c r="N30" i="15"/>
  <c r="L30" i="15"/>
  <c r="J30" i="15"/>
  <c r="I30" i="15"/>
  <c r="H30" i="15"/>
  <c r="G30" i="15"/>
  <c r="F30" i="15"/>
  <c r="E30" i="15"/>
  <c r="D30" i="15"/>
  <c r="C30" i="15"/>
  <c r="K30" i="102"/>
  <c r="J30" i="102"/>
  <c r="I30" i="102"/>
  <c r="H30" i="102"/>
  <c r="G30" i="102"/>
  <c r="F30" i="102"/>
  <c r="E30" i="102"/>
  <c r="D30" i="102"/>
  <c r="O30" i="65"/>
  <c r="N30" i="65"/>
  <c r="M30" i="65"/>
  <c r="L30" i="65"/>
  <c r="K30" i="65"/>
  <c r="H30" i="65"/>
  <c r="G30" i="65"/>
  <c r="F30" i="65"/>
  <c r="E30" i="65"/>
  <c r="D30" i="65"/>
  <c r="C30" i="65"/>
  <c r="Q30" i="64"/>
  <c r="P30" i="64"/>
  <c r="O30" i="64"/>
  <c r="N30" i="64"/>
  <c r="M30" i="64"/>
  <c r="L30" i="64"/>
  <c r="K30" i="64"/>
  <c r="I30" i="64"/>
  <c r="H30" i="64"/>
  <c r="G30" i="64"/>
  <c r="F30" i="64"/>
  <c r="E30" i="64"/>
  <c r="D30" i="64"/>
  <c r="C30" i="64"/>
  <c r="I30" i="61"/>
  <c r="H30" i="61"/>
  <c r="G30" i="61"/>
  <c r="F30" i="61"/>
  <c r="E30" i="61"/>
  <c r="D30" i="61"/>
  <c r="C30" i="61"/>
  <c r="P30" i="105"/>
  <c r="O30" i="105"/>
  <c r="N30" i="105"/>
  <c r="M30" i="105"/>
  <c r="L30" i="105"/>
  <c r="K30" i="105"/>
  <c r="J30" i="105"/>
  <c r="I30" i="105"/>
  <c r="H30" i="105"/>
  <c r="G30" i="105"/>
  <c r="F30" i="105"/>
  <c r="D30" i="105"/>
  <c r="C30" i="105"/>
  <c r="P30" i="106"/>
  <c r="O30" i="106"/>
  <c r="N30" i="106"/>
  <c r="M30" i="106"/>
  <c r="L30" i="106"/>
  <c r="K30" i="106"/>
  <c r="J30" i="106"/>
  <c r="I30" i="106"/>
  <c r="H30" i="106"/>
  <c r="G30" i="106"/>
  <c r="F30" i="106"/>
  <c r="E30" i="106"/>
  <c r="C30" i="106"/>
  <c r="O30" i="17"/>
  <c r="M30" i="17"/>
  <c r="L30" i="17"/>
  <c r="K30" i="17"/>
  <c r="J30" i="17"/>
  <c r="I30" i="17"/>
  <c r="H30" i="17"/>
  <c r="F30" i="17"/>
  <c r="E30" i="17"/>
  <c r="O30" i="18"/>
  <c r="N30" i="18"/>
  <c r="L30" i="18"/>
  <c r="K30" i="18"/>
  <c r="J30" i="18"/>
  <c r="I30" i="18"/>
  <c r="H30" i="18"/>
  <c r="G30" i="18"/>
  <c r="F30" i="18"/>
  <c r="D30" i="18"/>
  <c r="C30" i="18"/>
  <c r="P30" i="73"/>
  <c r="O30" i="73"/>
  <c r="N30" i="73"/>
  <c r="M30" i="73"/>
  <c r="L30" i="73"/>
  <c r="K30" i="73"/>
  <c r="J30" i="73"/>
  <c r="H30" i="73"/>
  <c r="G30" i="73"/>
  <c r="F30" i="73"/>
  <c r="E30" i="73"/>
  <c r="D30" i="73"/>
  <c r="C30" i="73"/>
  <c r="Q30" i="72"/>
  <c r="P30" i="72"/>
  <c r="O30" i="72"/>
  <c r="N30" i="72"/>
  <c r="M30" i="72"/>
  <c r="L30" i="72"/>
  <c r="K30" i="72"/>
  <c r="J30" i="72"/>
  <c r="I30" i="72"/>
  <c r="H30" i="72"/>
  <c r="G30" i="72"/>
  <c r="F30" i="72"/>
  <c r="E30" i="72"/>
  <c r="D30" i="72"/>
  <c r="C30" i="72"/>
  <c r="P30" i="75"/>
  <c r="M30" i="75"/>
  <c r="L30" i="75"/>
  <c r="K30" i="75"/>
  <c r="J30" i="75"/>
  <c r="I30" i="75"/>
  <c r="H30" i="75"/>
  <c r="G30" i="75"/>
  <c r="F30" i="75"/>
  <c r="D30" i="75"/>
  <c r="P30" i="74"/>
  <c r="O30" i="74"/>
  <c r="N30" i="74"/>
  <c r="M30" i="74"/>
  <c r="L30" i="74"/>
  <c r="K30" i="74"/>
  <c r="J30" i="74"/>
  <c r="I30" i="74"/>
  <c r="H30" i="74"/>
  <c r="G30" i="74"/>
  <c r="F30" i="74"/>
  <c r="D30" i="74"/>
  <c r="C30" i="74"/>
  <c r="P30" i="78"/>
  <c r="O30" i="78"/>
  <c r="N30" i="78"/>
  <c r="L30" i="78"/>
  <c r="K30" i="78"/>
  <c r="J30" i="78"/>
  <c r="H30" i="78"/>
  <c r="G30" i="78"/>
  <c r="F30" i="78"/>
  <c r="E30" i="78"/>
  <c r="D30" i="78"/>
  <c r="C30" i="78"/>
  <c r="Q30" i="77"/>
  <c r="P30" i="77"/>
  <c r="O30" i="77"/>
  <c r="N30" i="77"/>
  <c r="M30" i="77"/>
  <c r="L30" i="77"/>
  <c r="K30" i="77"/>
  <c r="J30" i="77"/>
  <c r="I30" i="77"/>
  <c r="H30" i="77"/>
  <c r="G30" i="77"/>
  <c r="F30" i="77"/>
  <c r="E30" i="77"/>
  <c r="D30" i="77"/>
  <c r="M30" i="110"/>
  <c r="J42" i="5"/>
  <c r="J30" i="5" s="1"/>
  <c r="H42" i="5"/>
  <c r="H30" i="5" s="1"/>
  <c r="K42" i="6"/>
  <c r="K30" i="6" s="1"/>
  <c r="C42" i="7"/>
  <c r="C30" i="7" s="1"/>
  <c r="H42" i="107"/>
  <c r="F42" i="107"/>
  <c r="G42" i="130"/>
  <c r="G30" i="130" s="1"/>
  <c r="D42" i="130"/>
  <c r="N42" i="120"/>
  <c r="H42" i="4"/>
  <c r="J43" i="8" l="1"/>
  <c r="H42" i="130"/>
  <c r="H30" i="130" s="1"/>
  <c r="H30" i="107"/>
  <c r="F30" i="107"/>
  <c r="F9" i="63"/>
  <c r="C30" i="10"/>
  <c r="C42" i="9"/>
  <c r="C30" i="9" s="1"/>
  <c r="K42" i="9"/>
  <c r="G42" i="7"/>
  <c r="F42" i="7"/>
  <c r="L42" i="9"/>
  <c r="L30" i="9" s="1"/>
  <c r="D42" i="9"/>
  <c r="D30" i="9" s="1"/>
  <c r="I42" i="73"/>
  <c r="F30" i="80"/>
  <c r="F55" i="63"/>
  <c r="K30" i="80"/>
  <c r="F54" i="63"/>
  <c r="R30" i="80"/>
  <c r="F53" i="63"/>
  <c r="L30" i="10"/>
  <c r="F21" i="63"/>
  <c r="F22" i="63" s="1"/>
  <c r="J30" i="10"/>
  <c r="L30" i="102"/>
  <c r="C42" i="98" s="1"/>
  <c r="E42" i="98" s="1"/>
  <c r="F38" i="63"/>
  <c r="F39" i="63" s="1"/>
  <c r="M42" i="9"/>
  <c r="M30" i="9" s="1"/>
  <c r="K30" i="15"/>
  <c r="F36" i="63"/>
  <c r="F37" i="63" s="1"/>
  <c r="E30" i="11"/>
  <c r="I30" i="9"/>
  <c r="F19" i="63"/>
  <c r="E42" i="6"/>
  <c r="E30" i="6" s="1"/>
  <c r="M42" i="122"/>
  <c r="F42" i="9"/>
  <c r="F30" i="9" s="1"/>
  <c r="D42" i="6"/>
  <c r="D30" i="6" s="1"/>
  <c r="K42" i="61"/>
  <c r="K30" i="61" s="1"/>
  <c r="G42" i="6"/>
  <c r="G30" i="6" s="1"/>
  <c r="J42" i="12"/>
  <c r="O42" i="9"/>
  <c r="Q42" i="65"/>
  <c r="D30" i="10"/>
  <c r="O30" i="15"/>
  <c r="J30" i="65"/>
  <c r="M30" i="18"/>
  <c r="E30" i="18"/>
  <c r="D30" i="17"/>
  <c r="D30" i="130"/>
  <c r="H30" i="4"/>
  <c r="Q42" i="78"/>
  <c r="Q30" i="78" s="1"/>
  <c r="J42" i="61"/>
  <c r="J30" i="61" s="1"/>
  <c r="N42" i="9"/>
  <c r="N30" i="9" s="1"/>
  <c r="J42" i="9"/>
  <c r="J30" i="9" s="1"/>
  <c r="Q42" i="73"/>
  <c r="I30" i="73"/>
  <c r="I42" i="78"/>
  <c r="I30" i="78" s="1"/>
  <c r="F42" i="6"/>
  <c r="F30" i="6" s="1"/>
  <c r="M42" i="125"/>
  <c r="I42" i="65"/>
  <c r="E42" i="9"/>
  <c r="E30" i="9" s="1"/>
  <c r="H42" i="9"/>
  <c r="H30" i="9" s="1"/>
  <c r="L42" i="5"/>
  <c r="D41" i="6"/>
  <c r="H41" i="4"/>
  <c r="J41" i="5"/>
  <c r="H41" i="5"/>
  <c r="K41" i="6"/>
  <c r="C41" i="7"/>
  <c r="E42" i="8" s="1"/>
  <c r="H41" i="107"/>
  <c r="F41" i="107"/>
  <c r="G41" i="130"/>
  <c r="D41" i="130"/>
  <c r="N41" i="120"/>
  <c r="L46" i="101"/>
  <c r="G46" i="101"/>
  <c r="N40" i="120"/>
  <c r="F30" i="7" l="1"/>
  <c r="H43" i="8"/>
  <c r="G30" i="7"/>
  <c r="I43" i="8"/>
  <c r="N30" i="120"/>
  <c r="K41" i="5"/>
  <c r="L41" i="5" s="1"/>
  <c r="C41" i="6" s="1"/>
  <c r="H41" i="6" s="1"/>
  <c r="C41" i="9"/>
  <c r="I42" i="7"/>
  <c r="H30" i="7"/>
  <c r="D42" i="7"/>
  <c r="F35" i="63"/>
  <c r="G30" i="9"/>
  <c r="F27" i="63"/>
  <c r="F28" i="63" s="1"/>
  <c r="F20" i="63"/>
  <c r="F33" i="63"/>
  <c r="O30" i="9"/>
  <c r="F29" i="63"/>
  <c r="J30" i="12"/>
  <c r="Q30" i="73"/>
  <c r="Q30" i="65"/>
  <c r="K30" i="9"/>
  <c r="I30" i="65"/>
  <c r="C42" i="6"/>
  <c r="L30" i="5"/>
  <c r="O41" i="9"/>
  <c r="K41" i="9"/>
  <c r="H41" i="130"/>
  <c r="J42" i="8"/>
  <c r="D41" i="9"/>
  <c r="M41" i="9"/>
  <c r="Q41" i="78"/>
  <c r="Q41" i="65"/>
  <c r="L41" i="9"/>
  <c r="G41" i="6"/>
  <c r="I41" i="78"/>
  <c r="M41" i="122"/>
  <c r="F41" i="9"/>
  <c r="M41" i="125"/>
  <c r="G41" i="9"/>
  <c r="I41" i="73"/>
  <c r="F41" i="7"/>
  <c r="H42" i="8" s="1"/>
  <c r="I41" i="65"/>
  <c r="J41" i="9"/>
  <c r="K41" i="61"/>
  <c r="J41" i="12"/>
  <c r="D41" i="7" s="1"/>
  <c r="F41" i="6"/>
  <c r="Q41" i="73"/>
  <c r="G41" i="7"/>
  <c r="I42" i="8" s="1"/>
  <c r="H41" i="9"/>
  <c r="I41" i="9"/>
  <c r="N41" i="9"/>
  <c r="E41" i="6"/>
  <c r="J41" i="61"/>
  <c r="E41" i="9"/>
  <c r="H40" i="107"/>
  <c r="F40" i="107"/>
  <c r="I30" i="7" l="1"/>
  <c r="K43" i="8"/>
  <c r="D30" i="7"/>
  <c r="F43" i="8"/>
  <c r="E42" i="7"/>
  <c r="G43" i="8" s="1"/>
  <c r="F30" i="63"/>
  <c r="F31" i="63"/>
  <c r="H42" i="6"/>
  <c r="F11" i="63" s="1"/>
  <c r="C30" i="6"/>
  <c r="H30" i="6" s="1"/>
  <c r="E41" i="7"/>
  <c r="F42" i="8"/>
  <c r="I41" i="7"/>
  <c r="I41" i="6"/>
  <c r="K40" i="83"/>
  <c r="K30" i="83" s="1"/>
  <c r="J40" i="83"/>
  <c r="J30" i="83" s="1"/>
  <c r="G42" i="8" l="1"/>
  <c r="E30" i="7"/>
  <c r="I30" i="6"/>
  <c r="I42" i="6"/>
  <c r="F13" i="63" s="1"/>
  <c r="F15" i="63" s="1"/>
  <c r="K42" i="8"/>
  <c r="J41" i="6"/>
  <c r="I40" i="78"/>
  <c r="J42" i="6" l="1"/>
  <c r="F16" i="63" s="1"/>
  <c r="C41" i="8"/>
  <c r="J41" i="7"/>
  <c r="J40" i="5"/>
  <c r="J30" i="6" l="1"/>
  <c r="C42" i="8"/>
  <c r="J42" i="7"/>
  <c r="G40" i="130"/>
  <c r="D40" i="130"/>
  <c r="H30" i="125"/>
  <c r="I30" i="110"/>
  <c r="H40" i="9"/>
  <c r="F40" i="9"/>
  <c r="C40" i="9"/>
  <c r="K40" i="6"/>
  <c r="C40" i="7"/>
  <c r="E41" i="8" s="1"/>
  <c r="H40" i="4"/>
  <c r="C30" i="8" l="1"/>
  <c r="D43" i="8"/>
  <c r="J30" i="7"/>
  <c r="D42" i="8"/>
  <c r="G40" i="6"/>
  <c r="I40" i="65"/>
  <c r="Q40" i="65"/>
  <c r="I40" i="73"/>
  <c r="J41" i="8"/>
  <c r="Q40" i="73"/>
  <c r="F40" i="6"/>
  <c r="N40" i="9"/>
  <c r="M40" i="9"/>
  <c r="H39" i="4"/>
  <c r="H38" i="4"/>
  <c r="H37" i="4"/>
  <c r="H36" i="4"/>
  <c r="H28" i="4" s="1"/>
  <c r="H35" i="4"/>
  <c r="H34" i="4"/>
  <c r="H33" i="4"/>
  <c r="H32" i="4"/>
  <c r="H31" i="4"/>
  <c r="O29" i="4"/>
  <c r="N29" i="4"/>
  <c r="M29" i="4"/>
  <c r="L29" i="4"/>
  <c r="K29" i="4"/>
  <c r="J29" i="4"/>
  <c r="G29" i="4"/>
  <c r="F29" i="4"/>
  <c r="E29" i="4"/>
  <c r="D29" i="4"/>
  <c r="C29" i="4"/>
  <c r="O28" i="4"/>
  <c r="N28" i="4"/>
  <c r="M28" i="4"/>
  <c r="L28" i="4"/>
  <c r="K28" i="4"/>
  <c r="J28" i="4"/>
  <c r="G28" i="4"/>
  <c r="F28" i="4"/>
  <c r="E28" i="4"/>
  <c r="D28" i="4"/>
  <c r="C28" i="4"/>
  <c r="H25" i="4"/>
  <c r="H22" i="4"/>
  <c r="H29" i="4" l="1"/>
  <c r="L30" i="110" l="1"/>
  <c r="K30" i="110"/>
  <c r="J30" i="110"/>
  <c r="H30" i="110"/>
  <c r="G30" i="110"/>
  <c r="F30" i="110"/>
  <c r="E30" i="110"/>
  <c r="D30" i="110"/>
  <c r="C30" i="110"/>
  <c r="N30" i="122"/>
  <c r="L30" i="122"/>
  <c r="K30" i="122"/>
  <c r="J30" i="122"/>
  <c r="I30" i="122"/>
  <c r="H30" i="122"/>
  <c r="G30" i="122"/>
  <c r="F30" i="122"/>
  <c r="E30" i="122"/>
  <c r="D30" i="122"/>
  <c r="C30" i="122"/>
  <c r="N30" i="125"/>
  <c r="L30" i="125"/>
  <c r="K30" i="125"/>
  <c r="J30" i="125"/>
  <c r="I30" i="125"/>
  <c r="G30" i="125"/>
  <c r="F30" i="125"/>
  <c r="E30" i="125"/>
  <c r="D30" i="125"/>
  <c r="C30" i="125"/>
  <c r="G40" i="7"/>
  <c r="I41" i="8" s="1"/>
  <c r="D40" i="9"/>
  <c r="K40" i="5"/>
  <c r="O40" i="9"/>
  <c r="L40" i="9"/>
  <c r="K40" i="9"/>
  <c r="E40" i="6"/>
  <c r="Q40" i="78"/>
  <c r="H40" i="5"/>
  <c r="M40" i="125" l="1"/>
  <c r="E40" i="9"/>
  <c r="F40" i="7"/>
  <c r="J40" i="61"/>
  <c r="J40" i="12"/>
  <c r="D40" i="7" s="1"/>
  <c r="H40" i="130"/>
  <c r="J40" i="9"/>
  <c r="K40" i="61"/>
  <c r="M40" i="122"/>
  <c r="M30" i="122" s="1"/>
  <c r="L40" i="5"/>
  <c r="C40" i="6" s="1"/>
  <c r="G40" i="9"/>
  <c r="D40" i="6"/>
  <c r="I40" i="9"/>
  <c r="M30" i="125" l="1"/>
  <c r="E40" i="7"/>
  <c r="G41" i="8" s="1"/>
  <c r="F41" i="8"/>
  <c r="I40" i="7"/>
  <c r="K41" i="8" s="1"/>
  <c r="H41" i="8"/>
  <c r="H40" i="6"/>
  <c r="D39" i="94"/>
  <c r="C39" i="94"/>
  <c r="E39" i="94" s="1"/>
  <c r="E78" i="63" s="1"/>
  <c r="E38" i="94"/>
  <c r="E37" i="94"/>
  <c r="E36" i="94"/>
  <c r="I40" i="6" l="1"/>
  <c r="J40" i="6" l="1"/>
  <c r="J40" i="7" l="1"/>
  <c r="C40" i="8"/>
  <c r="D41" i="8" s="1"/>
  <c r="I37" i="65"/>
  <c r="I37" i="78"/>
  <c r="Q37" i="65"/>
  <c r="Q37" i="78"/>
  <c r="I37" i="73"/>
  <c r="Q37" i="73"/>
  <c r="I29" i="120" l="1"/>
  <c r="E28" i="110" l="1"/>
  <c r="K39" i="83" l="1"/>
  <c r="L29" i="107" l="1"/>
  <c r="N29" i="119"/>
  <c r="L39" i="119"/>
  <c r="F39" i="119"/>
  <c r="I29" i="77" l="1"/>
  <c r="C29" i="78"/>
  <c r="N29" i="74"/>
  <c r="O29" i="74"/>
  <c r="E25" i="63"/>
  <c r="E26" i="63" s="1"/>
  <c r="J29" i="72"/>
  <c r="G29" i="73"/>
  <c r="C29" i="73"/>
  <c r="H29" i="18"/>
  <c r="M29" i="18"/>
  <c r="E29" i="18"/>
  <c r="N29" i="18"/>
  <c r="N29" i="17"/>
  <c r="G29" i="105"/>
  <c r="E103" i="63"/>
  <c r="F104" i="63" s="1"/>
  <c r="E102" i="63"/>
  <c r="E100" i="63"/>
  <c r="E99" i="63"/>
  <c r="E98" i="63"/>
  <c r="E97" i="63"/>
  <c r="E9" i="63"/>
  <c r="E95" i="63"/>
  <c r="E94" i="63"/>
  <c r="E51" i="63"/>
  <c r="E50" i="63"/>
  <c r="F34" i="93"/>
  <c r="H29" i="120"/>
  <c r="G29" i="110"/>
  <c r="F29" i="80"/>
  <c r="Q29" i="77"/>
  <c r="J29" i="77"/>
  <c r="M29" i="74"/>
  <c r="L29" i="74"/>
  <c r="M29" i="75"/>
  <c r="H29" i="105"/>
  <c r="C29" i="18"/>
  <c r="D29" i="18"/>
  <c r="F29" i="18"/>
  <c r="I29" i="18"/>
  <c r="J29" i="18"/>
  <c r="K29" i="18"/>
  <c r="L29" i="18"/>
  <c r="F29" i="64"/>
  <c r="C29" i="64"/>
  <c r="H29" i="65"/>
  <c r="K29" i="65"/>
  <c r="C29" i="65"/>
  <c r="J29" i="64"/>
  <c r="J29" i="65"/>
  <c r="L29" i="15"/>
  <c r="G29" i="102"/>
  <c r="K29" i="102"/>
  <c r="K29" i="15"/>
  <c r="N29" i="14"/>
  <c r="F29" i="14"/>
  <c r="K29" i="13"/>
  <c r="F29" i="13"/>
  <c r="C29" i="11"/>
  <c r="K29" i="11"/>
  <c r="E29" i="12"/>
  <c r="L29" i="10"/>
  <c r="K29" i="10"/>
  <c r="E29" i="11"/>
  <c r="H29" i="10"/>
  <c r="O29" i="65"/>
  <c r="J29" i="102"/>
  <c r="M29" i="14"/>
  <c r="J29" i="14"/>
  <c r="G29" i="14"/>
  <c r="E29" i="13"/>
  <c r="G29" i="13"/>
  <c r="H29" i="12"/>
  <c r="N29" i="83"/>
  <c r="M29" i="83"/>
  <c r="G29" i="83"/>
  <c r="F29" i="83"/>
  <c r="M29" i="119"/>
  <c r="L29" i="119"/>
  <c r="K29" i="119"/>
  <c r="J29" i="119"/>
  <c r="I29" i="119"/>
  <c r="H29" i="119"/>
  <c r="G29" i="119"/>
  <c r="F29" i="119"/>
  <c r="E29" i="119"/>
  <c r="D29" i="119"/>
  <c r="C29" i="119"/>
  <c r="K29" i="107"/>
  <c r="J29" i="107"/>
  <c r="I29" i="107"/>
  <c r="G29" i="107"/>
  <c r="E29" i="107"/>
  <c r="D29" i="107"/>
  <c r="C29" i="107"/>
  <c r="F29" i="90"/>
  <c r="E29" i="90"/>
  <c r="D29" i="90"/>
  <c r="M29" i="120"/>
  <c r="L29" i="120"/>
  <c r="K29" i="120"/>
  <c r="J29" i="120"/>
  <c r="G29" i="120"/>
  <c r="F29" i="120"/>
  <c r="E29" i="120"/>
  <c r="D29" i="120"/>
  <c r="C29" i="120"/>
  <c r="I29" i="5"/>
  <c r="G29" i="5"/>
  <c r="F29" i="5"/>
  <c r="E29" i="5"/>
  <c r="D29" i="5"/>
  <c r="C29" i="5"/>
  <c r="L29" i="79"/>
  <c r="K29" i="79"/>
  <c r="J29" i="79"/>
  <c r="I29" i="79"/>
  <c r="H29" i="79"/>
  <c r="G29" i="79"/>
  <c r="F29" i="79"/>
  <c r="E29" i="79"/>
  <c r="D29" i="79"/>
  <c r="C29" i="79"/>
  <c r="Q29" i="80"/>
  <c r="F29" i="130"/>
  <c r="E29" i="130"/>
  <c r="C29" i="130"/>
  <c r="I29" i="90"/>
  <c r="H29" i="90"/>
  <c r="C29" i="90"/>
  <c r="J29" i="121"/>
  <c r="I29" i="121"/>
  <c r="H29" i="121"/>
  <c r="G29" i="121"/>
  <c r="F29" i="121"/>
  <c r="E29" i="121"/>
  <c r="D29" i="121"/>
  <c r="C29" i="121"/>
  <c r="S29" i="80"/>
  <c r="R29" i="80"/>
  <c r="P29" i="80"/>
  <c r="O29" i="80"/>
  <c r="N29" i="80"/>
  <c r="M29" i="80"/>
  <c r="L29" i="80"/>
  <c r="K29" i="80"/>
  <c r="J29" i="80"/>
  <c r="I29" i="80"/>
  <c r="H29" i="80"/>
  <c r="G29" i="80"/>
  <c r="E29" i="80"/>
  <c r="D29" i="80"/>
  <c r="C29" i="80"/>
  <c r="S29" i="128"/>
  <c r="R29" i="128"/>
  <c r="Q29" i="128"/>
  <c r="P29" i="128"/>
  <c r="O29" i="128"/>
  <c r="N29" i="128"/>
  <c r="M29" i="128"/>
  <c r="L29" i="128"/>
  <c r="K29" i="128"/>
  <c r="J29" i="128"/>
  <c r="I29" i="128"/>
  <c r="H29" i="128"/>
  <c r="G29" i="128"/>
  <c r="F29" i="128"/>
  <c r="E29" i="128"/>
  <c r="D29" i="128"/>
  <c r="C29" i="128"/>
  <c r="M29" i="10"/>
  <c r="I29" i="10"/>
  <c r="F29" i="10"/>
  <c r="E29" i="10"/>
  <c r="D29" i="10"/>
  <c r="L29" i="11"/>
  <c r="J29" i="11"/>
  <c r="H29" i="11"/>
  <c r="G29" i="11"/>
  <c r="D29" i="11"/>
  <c r="I29" i="12"/>
  <c r="G29" i="12"/>
  <c r="F29" i="12"/>
  <c r="D29" i="12"/>
  <c r="C29" i="12"/>
  <c r="N29" i="13"/>
  <c r="L29" i="13"/>
  <c r="J29" i="13"/>
  <c r="I29" i="13"/>
  <c r="H29" i="13"/>
  <c r="D29" i="13"/>
  <c r="C29" i="13"/>
  <c r="L29" i="14"/>
  <c r="K29" i="14"/>
  <c r="I29" i="14"/>
  <c r="H29" i="14"/>
  <c r="E29" i="14"/>
  <c r="D29" i="14"/>
  <c r="C29" i="14"/>
  <c r="Q29" i="15"/>
  <c r="P29" i="15"/>
  <c r="O29" i="15"/>
  <c r="N29" i="15"/>
  <c r="M29" i="15"/>
  <c r="J29" i="15"/>
  <c r="I29" i="15"/>
  <c r="H29" i="15"/>
  <c r="G29" i="15"/>
  <c r="E29" i="15"/>
  <c r="D29" i="15"/>
  <c r="L29" i="102"/>
  <c r="C41" i="98" s="1"/>
  <c r="E41" i="98" s="1"/>
  <c r="I29" i="102"/>
  <c r="H29" i="102"/>
  <c r="F29" i="102"/>
  <c r="E29" i="102"/>
  <c r="D29" i="102"/>
  <c r="C29" i="102"/>
  <c r="P29" i="65"/>
  <c r="N29" i="65"/>
  <c r="M29" i="65"/>
  <c r="L29" i="65"/>
  <c r="G29" i="65"/>
  <c r="F29" i="65"/>
  <c r="E29" i="65"/>
  <c r="D29" i="65"/>
  <c r="Q29" i="64"/>
  <c r="P29" i="64"/>
  <c r="O29" i="64"/>
  <c r="N29" i="64"/>
  <c r="M29" i="64"/>
  <c r="L29" i="64"/>
  <c r="K29" i="64"/>
  <c r="I29" i="64"/>
  <c r="H29" i="64"/>
  <c r="G29" i="64"/>
  <c r="E29" i="64"/>
  <c r="D29" i="64"/>
  <c r="I29" i="61"/>
  <c r="H29" i="61"/>
  <c r="G29" i="61"/>
  <c r="F29" i="61"/>
  <c r="E29" i="61"/>
  <c r="D29" i="61"/>
  <c r="C29" i="61"/>
  <c r="P29" i="105"/>
  <c r="O29" i="105"/>
  <c r="N29" i="105"/>
  <c r="M29" i="105"/>
  <c r="L29" i="105"/>
  <c r="K29" i="105"/>
  <c r="J29" i="105"/>
  <c r="I29" i="105"/>
  <c r="F29" i="105"/>
  <c r="E29" i="105"/>
  <c r="D29" i="105"/>
  <c r="C29" i="105"/>
  <c r="P29" i="106"/>
  <c r="O29" i="106"/>
  <c r="N29" i="106"/>
  <c r="M29" i="106"/>
  <c r="L29" i="106"/>
  <c r="K29" i="106"/>
  <c r="J29" i="106"/>
  <c r="I29" i="106"/>
  <c r="H29" i="106"/>
  <c r="G29" i="106"/>
  <c r="F29" i="106"/>
  <c r="E29" i="106"/>
  <c r="D29" i="106"/>
  <c r="C29" i="106"/>
  <c r="O29" i="17"/>
  <c r="M29" i="17"/>
  <c r="L29" i="17"/>
  <c r="K29" i="17"/>
  <c r="J29" i="17"/>
  <c r="I29" i="17"/>
  <c r="H29" i="17"/>
  <c r="G29" i="17"/>
  <c r="C29" i="17"/>
  <c r="O29" i="18"/>
  <c r="P29" i="73"/>
  <c r="O29" i="73"/>
  <c r="N29" i="73"/>
  <c r="M29" i="73"/>
  <c r="L29" i="73"/>
  <c r="K29" i="73"/>
  <c r="J29" i="73"/>
  <c r="H29" i="73"/>
  <c r="F29" i="73"/>
  <c r="E29" i="73"/>
  <c r="D29" i="73"/>
  <c r="Q29" i="72"/>
  <c r="P29" i="72"/>
  <c r="O29" i="72"/>
  <c r="N29" i="72"/>
  <c r="M29" i="72"/>
  <c r="L29" i="72"/>
  <c r="K29" i="72"/>
  <c r="I29" i="72"/>
  <c r="H29" i="72"/>
  <c r="G29" i="72"/>
  <c r="F29" i="72"/>
  <c r="E29" i="72"/>
  <c r="D29" i="72"/>
  <c r="C29" i="72"/>
  <c r="P29" i="75"/>
  <c r="L29" i="75"/>
  <c r="K29" i="75"/>
  <c r="J29" i="75"/>
  <c r="I29" i="75"/>
  <c r="G29" i="75"/>
  <c r="F29" i="75"/>
  <c r="E29" i="75"/>
  <c r="D29" i="75"/>
  <c r="C29" i="75"/>
  <c r="P29" i="74"/>
  <c r="K29" i="74"/>
  <c r="J29" i="74"/>
  <c r="I29" i="74"/>
  <c r="H29" i="74"/>
  <c r="G29" i="74"/>
  <c r="F29" i="74"/>
  <c r="E29" i="74"/>
  <c r="D29" i="74"/>
  <c r="C29" i="74"/>
  <c r="P29" i="78"/>
  <c r="O29" i="78"/>
  <c r="N29" i="78"/>
  <c r="M29" i="78"/>
  <c r="L29" i="78"/>
  <c r="K29" i="78"/>
  <c r="H29" i="78"/>
  <c r="G29" i="78"/>
  <c r="F29" i="78"/>
  <c r="E29" i="78"/>
  <c r="D29" i="78"/>
  <c r="P29" i="77"/>
  <c r="O29" i="77"/>
  <c r="N29" i="77"/>
  <c r="M29" i="77"/>
  <c r="L29" i="77"/>
  <c r="K29" i="77"/>
  <c r="H29" i="77"/>
  <c r="G29" i="77"/>
  <c r="F29" i="77"/>
  <c r="E29" i="77"/>
  <c r="D29" i="77"/>
  <c r="C29" i="77"/>
  <c r="M29" i="110"/>
  <c r="E29" i="110"/>
  <c r="J39" i="5"/>
  <c r="H39" i="5"/>
  <c r="H29" i="5" s="1"/>
  <c r="K39" i="6"/>
  <c r="K29" i="6" s="1"/>
  <c r="C39" i="7"/>
  <c r="E40" i="8" s="1"/>
  <c r="H39" i="107"/>
  <c r="F39" i="107"/>
  <c r="G39" i="130"/>
  <c r="G29" i="130" s="1"/>
  <c r="D39" i="130"/>
  <c r="N39" i="120"/>
  <c r="N46" i="97"/>
  <c r="G46" i="97"/>
  <c r="I46" i="97" s="1"/>
  <c r="L45" i="101"/>
  <c r="M45" i="101" s="1"/>
  <c r="G45" i="101"/>
  <c r="H45" i="101" s="1"/>
  <c r="U45" i="101" s="1"/>
  <c r="S45" i="101"/>
  <c r="T45" i="101" s="1"/>
  <c r="D38" i="83"/>
  <c r="K37" i="83"/>
  <c r="K29" i="83" s="1"/>
  <c r="J37" i="83"/>
  <c r="J29" i="83" s="1"/>
  <c r="D37" i="83"/>
  <c r="C37" i="83"/>
  <c r="C29" i="83" s="1"/>
  <c r="O32" i="83"/>
  <c r="O33" i="83" s="1"/>
  <c r="O34" i="83" s="1"/>
  <c r="O35" i="83" s="1"/>
  <c r="O36" i="83" s="1"/>
  <c r="O37" i="83" s="1"/>
  <c r="O38" i="83" s="1"/>
  <c r="O39" i="83" s="1"/>
  <c r="H32" i="83"/>
  <c r="H33" i="83" s="1"/>
  <c r="H34" i="83" s="1"/>
  <c r="H35" i="83" s="1"/>
  <c r="H36" i="83" s="1"/>
  <c r="H37" i="83" s="1"/>
  <c r="H38" i="83" s="1"/>
  <c r="H39" i="83" s="1"/>
  <c r="N28" i="83"/>
  <c r="M28" i="83"/>
  <c r="K28" i="83"/>
  <c r="J28" i="83"/>
  <c r="G28" i="83"/>
  <c r="F28" i="83"/>
  <c r="D28" i="83"/>
  <c r="C28" i="83"/>
  <c r="J22" i="83" l="1"/>
  <c r="C22" i="83"/>
  <c r="D29" i="83"/>
  <c r="E23" i="63"/>
  <c r="E24" i="63" s="1"/>
  <c r="E83" i="63"/>
  <c r="H40" i="83"/>
  <c r="H41" i="83" s="1"/>
  <c r="H42" i="83" s="1"/>
  <c r="F83" i="63" s="1"/>
  <c r="E84" i="63"/>
  <c r="O40" i="83"/>
  <c r="O41" i="83" s="1"/>
  <c r="O42" i="83" s="1"/>
  <c r="F84" i="63" s="1"/>
  <c r="J29" i="5"/>
  <c r="M22" i="83"/>
  <c r="D29" i="17"/>
  <c r="D39" i="9"/>
  <c r="D29" i="9" s="1"/>
  <c r="G29" i="18"/>
  <c r="N39" i="9"/>
  <c r="N29" i="9" s="1"/>
  <c r="L39" i="9"/>
  <c r="L29" i="9" s="1"/>
  <c r="E29" i="17"/>
  <c r="E39" i="9"/>
  <c r="E29" i="9" s="1"/>
  <c r="O29" i="75"/>
  <c r="G29" i="10"/>
  <c r="J29" i="10"/>
  <c r="G39" i="9"/>
  <c r="E36" i="63"/>
  <c r="E37" i="63" s="1"/>
  <c r="E38" i="63"/>
  <c r="E39" i="63" s="1"/>
  <c r="E21" i="63"/>
  <c r="E22" i="63" s="1"/>
  <c r="E53" i="63"/>
  <c r="E54" i="63"/>
  <c r="E55" i="63"/>
  <c r="Q39" i="78"/>
  <c r="E105" i="63"/>
  <c r="C29" i="7"/>
  <c r="E30" i="8" s="1"/>
  <c r="H39" i="130"/>
  <c r="H29" i="130" s="1"/>
  <c r="D29" i="130"/>
  <c r="N29" i="75"/>
  <c r="I39" i="78"/>
  <c r="J29" i="78"/>
  <c r="H29" i="75"/>
  <c r="F29" i="11"/>
  <c r="F39" i="6"/>
  <c r="F29" i="6" s="1"/>
  <c r="I39" i="73"/>
  <c r="M39" i="122"/>
  <c r="M39" i="125"/>
  <c r="C39" i="9"/>
  <c r="C29" i="9" s="1"/>
  <c r="C29" i="10"/>
  <c r="E39" i="6"/>
  <c r="E29" i="6" s="1"/>
  <c r="F29" i="15"/>
  <c r="G39" i="6"/>
  <c r="G29" i="6" s="1"/>
  <c r="C29" i="15"/>
  <c r="F29" i="17"/>
  <c r="F39" i="9"/>
  <c r="F29" i="9" s="1"/>
  <c r="M29" i="13"/>
  <c r="I29" i="11"/>
  <c r="H39" i="9"/>
  <c r="H29" i="9" s="1"/>
  <c r="O39" i="9"/>
  <c r="J39" i="9"/>
  <c r="J29" i="9" s="1"/>
  <c r="K39" i="9"/>
  <c r="K29" i="9" s="1"/>
  <c r="M39" i="9"/>
  <c r="M29" i="9" s="1"/>
  <c r="I39" i="65"/>
  <c r="I29" i="65" s="1"/>
  <c r="J40" i="8"/>
  <c r="D39" i="6"/>
  <c r="D29" i="6" s="1"/>
  <c r="K39" i="61"/>
  <c r="K29" i="61" s="1"/>
  <c r="J39" i="61"/>
  <c r="J29" i="61" s="1"/>
  <c r="I39" i="9"/>
  <c r="F39" i="7"/>
  <c r="H40" i="8" s="1"/>
  <c r="G39" i="7"/>
  <c r="K39" i="5"/>
  <c r="J39" i="12"/>
  <c r="E35" i="63" s="1"/>
  <c r="Q39" i="65"/>
  <c r="Q39" i="73"/>
  <c r="H29" i="107"/>
  <c r="F29" i="107"/>
  <c r="K22" i="83"/>
  <c r="L22" i="83" s="1"/>
  <c r="N22" i="83"/>
  <c r="N38" i="9"/>
  <c r="D22" i="83"/>
  <c r="E22" i="83" s="1"/>
  <c r="F22" i="83"/>
  <c r="H28" i="83"/>
  <c r="H29" i="83" s="1"/>
  <c r="H30" i="83" s="1"/>
  <c r="G22" i="83"/>
  <c r="O28" i="83"/>
  <c r="O29" i="83" s="1"/>
  <c r="O30" i="83" s="1"/>
  <c r="O22" i="83" l="1"/>
  <c r="P22" i="83" s="1"/>
  <c r="G29" i="7"/>
  <c r="I30" i="8" s="1"/>
  <c r="I40" i="8"/>
  <c r="F29" i="7"/>
  <c r="H30" i="8" s="1"/>
  <c r="I39" i="7"/>
  <c r="I29" i="78"/>
  <c r="O29" i="9"/>
  <c r="E29" i="63"/>
  <c r="E31" i="63" s="1"/>
  <c r="G29" i="9"/>
  <c r="E27" i="63"/>
  <c r="E28" i="63" s="1"/>
  <c r="I29" i="9"/>
  <c r="E19" i="63"/>
  <c r="Q29" i="78"/>
  <c r="I29" i="73"/>
  <c r="L39" i="5"/>
  <c r="K29" i="5"/>
  <c r="Q29" i="73"/>
  <c r="H29" i="7"/>
  <c r="J30" i="8" s="1"/>
  <c r="D39" i="7"/>
  <c r="F40" i="8" s="1"/>
  <c r="J29" i="12"/>
  <c r="Q29" i="65"/>
  <c r="H22" i="83"/>
  <c r="I22" i="83" s="1"/>
  <c r="I29" i="7" l="1"/>
  <c r="K30" i="8" s="1"/>
  <c r="K40" i="8"/>
  <c r="E30" i="63"/>
  <c r="E33" i="63"/>
  <c r="E20" i="63"/>
  <c r="L29" i="5"/>
  <c r="C39" i="6"/>
  <c r="D29" i="7"/>
  <c r="F30" i="8" s="1"/>
  <c r="E39" i="7"/>
  <c r="G40" i="8" s="1"/>
  <c r="Q22" i="83"/>
  <c r="E29" i="7" l="1"/>
  <c r="G30" i="8" s="1"/>
  <c r="C29" i="6"/>
  <c r="H39" i="6"/>
  <c r="E11" i="63" s="1"/>
  <c r="F12" i="63" s="1"/>
  <c r="L28" i="83"/>
  <c r="E28" i="83"/>
  <c r="L32" i="83"/>
  <c r="I39" i="6" l="1"/>
  <c r="E13" i="63" s="1"/>
  <c r="P28" i="83"/>
  <c r="L29" i="83"/>
  <c r="I28" i="83"/>
  <c r="E29" i="83"/>
  <c r="L33" i="83"/>
  <c r="P32" i="83"/>
  <c r="E32" i="83"/>
  <c r="P29" i="83" l="1"/>
  <c r="L30" i="83"/>
  <c r="P30" i="83" s="1"/>
  <c r="I29" i="83"/>
  <c r="E30" i="83"/>
  <c r="I30" i="83" s="1"/>
  <c r="E15" i="63"/>
  <c r="F14" i="63"/>
  <c r="Q28" i="83"/>
  <c r="J39" i="6"/>
  <c r="E16" i="63" s="1"/>
  <c r="F17" i="63" s="1"/>
  <c r="Q29" i="83"/>
  <c r="E33" i="83"/>
  <c r="I32" i="83"/>
  <c r="Q32" i="83" s="1"/>
  <c r="P33" i="83"/>
  <c r="L34" i="83"/>
  <c r="Q30" i="83" l="1"/>
  <c r="C39" i="8"/>
  <c r="J39" i="7"/>
  <c r="J29" i="6"/>
  <c r="L35" i="83"/>
  <c r="P34" i="83"/>
  <c r="I33" i="83"/>
  <c r="Q33" i="83" s="1"/>
  <c r="E34" i="83"/>
  <c r="C29" i="8" l="1"/>
  <c r="D30" i="8" s="1"/>
  <c r="D40" i="8"/>
  <c r="J29" i="7"/>
  <c r="E35" i="83"/>
  <c r="I34" i="83"/>
  <c r="Q34" i="83" s="1"/>
  <c r="P35" i="83"/>
  <c r="L36" i="83"/>
  <c r="L37" i="83" l="1"/>
  <c r="P36" i="83"/>
  <c r="E36" i="83"/>
  <c r="I35" i="83"/>
  <c r="Q35" i="83" s="1"/>
  <c r="P37" i="83" l="1"/>
  <c r="L38" i="83"/>
  <c r="I36" i="83"/>
  <c r="Q36" i="83" s="1"/>
  <c r="E37" i="83"/>
  <c r="P38" i="83" l="1"/>
  <c r="L39" i="83"/>
  <c r="L40" i="83" s="1"/>
  <c r="E38" i="83"/>
  <c r="I37" i="83"/>
  <c r="Q37" i="83" s="1"/>
  <c r="P40" i="83" l="1"/>
  <c r="L41" i="83"/>
  <c r="I38" i="83"/>
  <c r="Q38" i="83" s="1"/>
  <c r="E39" i="83"/>
  <c r="E40" i="83" s="1"/>
  <c r="P39" i="83"/>
  <c r="E85" i="63"/>
  <c r="K6" i="124"/>
  <c r="O7" i="124" s="1"/>
  <c r="H6" i="124"/>
  <c r="N7" i="124" s="1"/>
  <c r="P41" i="83" l="1"/>
  <c r="L42" i="83"/>
  <c r="I40" i="83"/>
  <c r="Q40" i="83" s="1"/>
  <c r="E41" i="83"/>
  <c r="I39" i="83"/>
  <c r="Q39" i="83" s="1"/>
  <c r="E80" i="63" s="1"/>
  <c r="E81" i="63" s="1"/>
  <c r="E82" i="63"/>
  <c r="F38" i="9"/>
  <c r="P42" i="83" l="1"/>
  <c r="F85" i="63"/>
  <c r="I41" i="83"/>
  <c r="Q41" i="83" s="1"/>
  <c r="E42" i="83"/>
  <c r="G38" i="7"/>
  <c r="I39" i="8" s="1"/>
  <c r="M38" i="9"/>
  <c r="E38" i="6"/>
  <c r="D38" i="6"/>
  <c r="G38" i="9"/>
  <c r="L38" i="9"/>
  <c r="J38" i="5"/>
  <c r="H38" i="5"/>
  <c r="K38" i="6"/>
  <c r="C38" i="7"/>
  <c r="E39" i="8" s="1"/>
  <c r="H38" i="107"/>
  <c r="F38" i="107"/>
  <c r="G38" i="130"/>
  <c r="D38" i="130"/>
  <c r="N38" i="120"/>
  <c r="B49" i="108"/>
  <c r="B48" i="108"/>
  <c r="B47" i="108"/>
  <c r="F46" i="108"/>
  <c r="E46" i="108"/>
  <c r="D46" i="108"/>
  <c r="C46" i="108"/>
  <c r="B45" i="108"/>
  <c r="B44" i="108"/>
  <c r="F43" i="108"/>
  <c r="E43" i="108"/>
  <c r="D43" i="108"/>
  <c r="C43" i="108"/>
  <c r="B42" i="108"/>
  <c r="B41" i="108"/>
  <c r="F40" i="108"/>
  <c r="E40" i="108"/>
  <c r="D40" i="108"/>
  <c r="C40" i="108"/>
  <c r="P37" i="108"/>
  <c r="O37" i="108"/>
  <c r="G38" i="108"/>
  <c r="B38" i="108"/>
  <c r="N37" i="108"/>
  <c r="M37" i="108"/>
  <c r="K37" i="108"/>
  <c r="J37" i="108"/>
  <c r="I37" i="108"/>
  <c r="H37" i="108"/>
  <c r="F37" i="108"/>
  <c r="E37" i="108"/>
  <c r="D37" i="108"/>
  <c r="C37" i="108"/>
  <c r="B37" i="108"/>
  <c r="L35" i="108"/>
  <c r="G35" i="108"/>
  <c r="B35" i="108"/>
  <c r="O34" i="108"/>
  <c r="N34" i="108"/>
  <c r="M34" i="108"/>
  <c r="K34" i="108"/>
  <c r="J34" i="108"/>
  <c r="I34" i="108"/>
  <c r="H34" i="108"/>
  <c r="G34" i="108" s="1"/>
  <c r="F34" i="108"/>
  <c r="E34" i="108"/>
  <c r="D34" i="108"/>
  <c r="C34" i="108"/>
  <c r="B34" i="108" s="1"/>
  <c r="G33" i="108"/>
  <c r="B33" i="108"/>
  <c r="G32" i="108"/>
  <c r="B32" i="108"/>
  <c r="G31" i="108"/>
  <c r="B31" i="108"/>
  <c r="N30" i="108"/>
  <c r="M30" i="108"/>
  <c r="K30" i="108"/>
  <c r="J30" i="108"/>
  <c r="I30" i="108"/>
  <c r="H30" i="108"/>
  <c r="G30" i="108"/>
  <c r="F30" i="108"/>
  <c r="E30" i="108"/>
  <c r="D30" i="108"/>
  <c r="C30" i="108"/>
  <c r="B30" i="108" s="1"/>
  <c r="G29" i="108"/>
  <c r="B29" i="108"/>
  <c r="G28" i="108"/>
  <c r="B28" i="108"/>
  <c r="N27" i="108"/>
  <c r="M27" i="108"/>
  <c r="K27" i="108"/>
  <c r="J27" i="108"/>
  <c r="I27" i="108"/>
  <c r="H27" i="108"/>
  <c r="G27" i="108" s="1"/>
  <c r="F27" i="108"/>
  <c r="E27" i="108"/>
  <c r="D27" i="108"/>
  <c r="C27" i="108"/>
  <c r="B27" i="108" s="1"/>
  <c r="G26" i="108"/>
  <c r="B26" i="108"/>
  <c r="G25" i="108"/>
  <c r="B25" i="108"/>
  <c r="G24" i="108"/>
  <c r="B24" i="108"/>
  <c r="G23" i="108"/>
  <c r="B23" i="108"/>
  <c r="G22" i="108"/>
  <c r="B22" i="108"/>
  <c r="G21" i="108"/>
  <c r="B21" i="108"/>
  <c r="G20" i="108"/>
  <c r="B20" i="108"/>
  <c r="G19" i="108"/>
  <c r="B19" i="108"/>
  <c r="G18" i="108"/>
  <c r="B18" i="108"/>
  <c r="G17" i="108"/>
  <c r="B17" i="108"/>
  <c r="N16" i="108"/>
  <c r="M16" i="108"/>
  <c r="K16" i="108"/>
  <c r="J16" i="108"/>
  <c r="I16" i="108"/>
  <c r="H16" i="108"/>
  <c r="G16" i="108" s="1"/>
  <c r="F16" i="108"/>
  <c r="E16" i="108"/>
  <c r="D16" i="108"/>
  <c r="C16" i="108"/>
  <c r="B16" i="108" s="1"/>
  <c r="G15" i="108"/>
  <c r="B15" i="108"/>
  <c r="M13" i="108"/>
  <c r="G14" i="108"/>
  <c r="B14" i="108"/>
  <c r="N13" i="108"/>
  <c r="N9" i="108" s="1"/>
  <c r="K13" i="108"/>
  <c r="J13" i="108"/>
  <c r="I13" i="108"/>
  <c r="H13" i="108"/>
  <c r="F13" i="108"/>
  <c r="E13" i="108"/>
  <c r="D13" i="108"/>
  <c r="B13" i="108" s="1"/>
  <c r="C13" i="108"/>
  <c r="G12" i="108"/>
  <c r="B12" i="108"/>
  <c r="G11" i="108"/>
  <c r="B11" i="108"/>
  <c r="N10" i="108"/>
  <c r="M10" i="108"/>
  <c r="K10" i="108"/>
  <c r="K9" i="108" s="1"/>
  <c r="K8" i="108" s="1"/>
  <c r="J10" i="108"/>
  <c r="J9" i="108" s="1"/>
  <c r="I10" i="108"/>
  <c r="I9" i="108" s="1"/>
  <c r="I8" i="108" s="1"/>
  <c r="H10" i="108"/>
  <c r="F10" i="108"/>
  <c r="F9" i="108" s="1"/>
  <c r="E10" i="108"/>
  <c r="E9" i="108" s="1"/>
  <c r="E8" i="108" s="1"/>
  <c r="D10" i="108"/>
  <c r="D9" i="108" s="1"/>
  <c r="C10" i="108"/>
  <c r="C9" i="108" s="1"/>
  <c r="H9" i="108"/>
  <c r="L17" i="109"/>
  <c r="G17" i="109"/>
  <c r="B17" i="109"/>
  <c r="L16" i="109"/>
  <c r="G16" i="109"/>
  <c r="B16" i="109"/>
  <c r="L15" i="109"/>
  <c r="G15" i="109"/>
  <c r="B15" i="109"/>
  <c r="F14" i="109"/>
  <c r="E14" i="109"/>
  <c r="D14" i="109"/>
  <c r="C14" i="109"/>
  <c r="B14" i="109"/>
  <c r="L13" i="109"/>
  <c r="G13" i="109"/>
  <c r="B13" i="109"/>
  <c r="L12" i="109"/>
  <c r="G12" i="109"/>
  <c r="B12" i="109"/>
  <c r="L11" i="109"/>
  <c r="G11" i="109"/>
  <c r="B11" i="109"/>
  <c r="L10" i="109"/>
  <c r="G10" i="109"/>
  <c r="B10" i="109"/>
  <c r="F9" i="109"/>
  <c r="F8" i="109" s="1"/>
  <c r="B8" i="109" s="1"/>
  <c r="E9" i="109"/>
  <c r="E8" i="109" s="1"/>
  <c r="D9" i="109"/>
  <c r="D8" i="109" s="1"/>
  <c r="C9" i="109"/>
  <c r="C8" i="109" s="1"/>
  <c r="B9" i="109"/>
  <c r="N8" i="108" l="1"/>
  <c r="G10" i="108"/>
  <c r="J8" i="108"/>
  <c r="B10" i="108"/>
  <c r="G13" i="108"/>
  <c r="F8" i="108"/>
  <c r="I42" i="83"/>
  <c r="Q42" i="83" s="1"/>
  <c r="F80" i="63" s="1"/>
  <c r="F81" i="63" s="1"/>
  <c r="F82" i="63"/>
  <c r="D8" i="108"/>
  <c r="H8" i="108"/>
  <c r="G8" i="108" s="1"/>
  <c r="J39" i="8"/>
  <c r="J40" i="108"/>
  <c r="H46" i="108"/>
  <c r="G49" i="108"/>
  <c r="O16" i="108"/>
  <c r="P40" i="108"/>
  <c r="L24" i="108"/>
  <c r="O13" i="108"/>
  <c r="M40" i="108"/>
  <c r="K46" i="108"/>
  <c r="M46" i="108"/>
  <c r="Q38" i="65"/>
  <c r="H38" i="9"/>
  <c r="J38" i="9"/>
  <c r="K38" i="5"/>
  <c r="L38" i="5" s="1"/>
  <c r="C38" i="6" s="1"/>
  <c r="H38" i="6" s="1"/>
  <c r="C38" i="9"/>
  <c r="G38" i="6"/>
  <c r="L49" i="108"/>
  <c r="L15" i="108"/>
  <c r="Q38" i="78"/>
  <c r="M38" i="122"/>
  <c r="C39" i="108"/>
  <c r="C36" i="108" s="1"/>
  <c r="L20" i="108"/>
  <c r="D38" i="9"/>
  <c r="O43" i="108"/>
  <c r="J46" i="108"/>
  <c r="L48" i="108"/>
  <c r="H43" i="108"/>
  <c r="N43" i="108"/>
  <c r="N46" i="108"/>
  <c r="L19" i="108"/>
  <c r="P46" i="108"/>
  <c r="O30" i="108"/>
  <c r="L28" i="108"/>
  <c r="D39" i="108"/>
  <c r="D36" i="108" s="1"/>
  <c r="G48" i="108"/>
  <c r="I9" i="109"/>
  <c r="F39" i="108"/>
  <c r="F36" i="108" s="1"/>
  <c r="F50" i="108" s="1"/>
  <c r="P13" i="108"/>
  <c r="L18" i="108"/>
  <c r="O40" i="108"/>
  <c r="J43" i="108"/>
  <c r="I46" i="108"/>
  <c r="P27" i="108"/>
  <c r="P30" i="108"/>
  <c r="L33" i="108"/>
  <c r="B43" i="108"/>
  <c r="H14" i="109"/>
  <c r="L45" i="108"/>
  <c r="E38" i="9"/>
  <c r="I38" i="65"/>
  <c r="J38" i="12"/>
  <c r="D38" i="7" s="1"/>
  <c r="K40" i="108"/>
  <c r="I43" i="108"/>
  <c r="M9" i="109"/>
  <c r="L12" i="108"/>
  <c r="L22" i="108"/>
  <c r="L26" i="108"/>
  <c r="O27" i="108"/>
  <c r="L32" i="108"/>
  <c r="E39" i="108"/>
  <c r="E36" i="108" s="1"/>
  <c r="E50" i="108" s="1"/>
  <c r="L42" i="108"/>
  <c r="O9" i="109"/>
  <c r="M14" i="109"/>
  <c r="J9" i="109"/>
  <c r="H9" i="109"/>
  <c r="P34" i="108"/>
  <c r="L34" i="108" s="1"/>
  <c r="N14" i="109"/>
  <c r="O10" i="108"/>
  <c r="L17" i="108"/>
  <c r="L23" i="108"/>
  <c r="J14" i="109"/>
  <c r="L29" i="108"/>
  <c r="L38" i="108"/>
  <c r="L14" i="108"/>
  <c r="L31" i="108"/>
  <c r="B40" i="108"/>
  <c r="G47" i="108"/>
  <c r="N9" i="109"/>
  <c r="L11" i="108"/>
  <c r="L41" i="108"/>
  <c r="G42" i="108"/>
  <c r="P43" i="108"/>
  <c r="O14" i="109"/>
  <c r="K14" i="109"/>
  <c r="G14" i="109" s="1"/>
  <c r="I14" i="109"/>
  <c r="P10" i="108"/>
  <c r="L21" i="108"/>
  <c r="N40" i="108"/>
  <c r="G45" i="108"/>
  <c r="L47" i="108"/>
  <c r="K9" i="109"/>
  <c r="P16" i="108"/>
  <c r="G44" i="108"/>
  <c r="G41" i="108"/>
  <c r="L44" i="108"/>
  <c r="O46" i="108"/>
  <c r="L25" i="108"/>
  <c r="L37" i="108"/>
  <c r="I40" i="108"/>
  <c r="M43" i="108"/>
  <c r="B46" i="108"/>
  <c r="M38" i="125"/>
  <c r="H38" i="130"/>
  <c r="F38" i="6"/>
  <c r="O38" i="9"/>
  <c r="F38" i="7"/>
  <c r="H39" i="8" s="1"/>
  <c r="I38" i="78"/>
  <c r="J38" i="61"/>
  <c r="K38" i="61"/>
  <c r="I38" i="9"/>
  <c r="K38" i="9"/>
  <c r="M9" i="108"/>
  <c r="C8" i="108"/>
  <c r="B9" i="108"/>
  <c r="H40" i="108"/>
  <c r="K43" i="108"/>
  <c r="G9" i="108"/>
  <c r="G37" i="108"/>
  <c r="P14" i="109"/>
  <c r="L14" i="109" s="1"/>
  <c r="P9" i="109"/>
  <c r="N45" i="97"/>
  <c r="G45" i="97"/>
  <c r="I45" i="97" s="1"/>
  <c r="N44" i="97"/>
  <c r="G44" i="97"/>
  <c r="I44" i="97" s="1"/>
  <c r="N43" i="97"/>
  <c r="G43" i="97"/>
  <c r="I43" i="97" s="1"/>
  <c r="N42" i="97"/>
  <c r="G42" i="97"/>
  <c r="I42" i="97" s="1"/>
  <c r="N41" i="97"/>
  <c r="G41" i="97"/>
  <c r="I41" i="97" s="1"/>
  <c r="N40" i="97"/>
  <c r="G40" i="97"/>
  <c r="I40" i="97" s="1"/>
  <c r="N39" i="97"/>
  <c r="G39" i="97"/>
  <c r="I39" i="97" s="1"/>
  <c r="N38" i="97"/>
  <c r="G38" i="97"/>
  <c r="I38" i="97" s="1"/>
  <c r="N37" i="97"/>
  <c r="G37" i="97"/>
  <c r="I37" i="97" s="1"/>
  <c r="N36" i="97"/>
  <c r="G36" i="97"/>
  <c r="I36" i="97" s="1"/>
  <c r="N35" i="97"/>
  <c r="G35" i="97"/>
  <c r="I35" i="97" s="1"/>
  <c r="N34" i="97"/>
  <c r="G34" i="97"/>
  <c r="I34" i="97" s="1"/>
  <c r="N33" i="97"/>
  <c r="G33" i="97"/>
  <c r="I33" i="97" s="1"/>
  <c r="N32" i="97"/>
  <c r="G32" i="97"/>
  <c r="I32" i="97" s="1"/>
  <c r="N31" i="97"/>
  <c r="G31" i="97"/>
  <c r="I31" i="97" s="1"/>
  <c r="N30" i="97"/>
  <c r="G30" i="97"/>
  <c r="I30" i="97" s="1"/>
  <c r="N29" i="97"/>
  <c r="G29" i="97"/>
  <c r="I29" i="97" s="1"/>
  <c r="N28" i="97"/>
  <c r="G28" i="97"/>
  <c r="I28" i="97" s="1"/>
  <c r="N27" i="97"/>
  <c r="G27" i="97"/>
  <c r="I27" i="97" s="1"/>
  <c r="N26" i="97"/>
  <c r="G26" i="97"/>
  <c r="I26" i="97" s="1"/>
  <c r="N25" i="97"/>
  <c r="G25" i="97"/>
  <c r="I25" i="97" s="1"/>
  <c r="N24" i="97"/>
  <c r="G24" i="97"/>
  <c r="I24" i="97" s="1"/>
  <c r="N23" i="97"/>
  <c r="G23" i="97"/>
  <c r="I23" i="97" s="1"/>
  <c r="N22" i="97"/>
  <c r="G22" i="97"/>
  <c r="I22" i="97" s="1"/>
  <c r="N21" i="97"/>
  <c r="G21" i="97"/>
  <c r="I21" i="97" s="1"/>
  <c r="N20" i="97"/>
  <c r="G20" i="97"/>
  <c r="I20" i="97" s="1"/>
  <c r="N19" i="97"/>
  <c r="G19" i="97"/>
  <c r="I19" i="97" s="1"/>
  <c r="L18" i="97"/>
  <c r="N18" i="97" s="1"/>
  <c r="G18" i="97"/>
  <c r="I18" i="97" s="1"/>
  <c r="N17" i="97"/>
  <c r="G17" i="97"/>
  <c r="I17" i="97" s="1"/>
  <c r="N16" i="97"/>
  <c r="G16" i="97"/>
  <c r="I16" i="97" s="1"/>
  <c r="N15" i="97"/>
  <c r="G15" i="97"/>
  <c r="I15" i="97" s="1"/>
  <c r="N14" i="97"/>
  <c r="G14" i="97"/>
  <c r="I14" i="97" s="1"/>
  <c r="N13" i="97"/>
  <c r="G13" i="97"/>
  <c r="I13" i="97" s="1"/>
  <c r="N12" i="97"/>
  <c r="G12" i="97"/>
  <c r="I12" i="97" s="1"/>
  <c r="N11" i="97"/>
  <c r="G11" i="97"/>
  <c r="I11" i="97" s="1"/>
  <c r="L44" i="101"/>
  <c r="M44" i="101" s="1"/>
  <c r="G44" i="101"/>
  <c r="H44" i="101" s="1"/>
  <c r="U44" i="101" s="1"/>
  <c r="L43" i="101"/>
  <c r="M43" i="101" s="1"/>
  <c r="G43" i="101"/>
  <c r="H43" i="101" s="1"/>
  <c r="U43" i="101" s="1"/>
  <c r="L42" i="101"/>
  <c r="M42" i="101" s="1"/>
  <c r="G42" i="101"/>
  <c r="H42" i="101" s="1"/>
  <c r="U42" i="101" s="1"/>
  <c r="L41" i="101"/>
  <c r="M41" i="101" s="1"/>
  <c r="G41" i="101"/>
  <c r="H41" i="101" s="1"/>
  <c r="U41" i="101" s="1"/>
  <c r="L40" i="101"/>
  <c r="M40" i="101" s="1"/>
  <c r="G40" i="101"/>
  <c r="H40" i="101" s="1"/>
  <c r="L39" i="101"/>
  <c r="M39" i="101" s="1"/>
  <c r="G39" i="101"/>
  <c r="H39" i="101" s="1"/>
  <c r="L38" i="101"/>
  <c r="M38" i="101" s="1"/>
  <c r="G38" i="101"/>
  <c r="H38" i="101" s="1"/>
  <c r="L37" i="101"/>
  <c r="M37" i="101" s="1"/>
  <c r="G37" i="101"/>
  <c r="H37" i="101" s="1"/>
  <c r="L36" i="101"/>
  <c r="M36" i="101" s="1"/>
  <c r="G36" i="101"/>
  <c r="H36" i="101" s="1"/>
  <c r="U36" i="101" s="1"/>
  <c r="L35" i="101"/>
  <c r="M35" i="101" s="1"/>
  <c r="G35" i="101"/>
  <c r="H35" i="101" s="1"/>
  <c r="L34" i="101"/>
  <c r="M34" i="101" s="1"/>
  <c r="G34" i="101"/>
  <c r="H34" i="101" s="1"/>
  <c r="L33" i="101"/>
  <c r="M33" i="101" s="1"/>
  <c r="G33" i="101"/>
  <c r="H33" i="101" s="1"/>
  <c r="L32" i="101"/>
  <c r="M32" i="101" s="1"/>
  <c r="G32" i="101"/>
  <c r="H32" i="101" s="1"/>
  <c r="L30" i="101"/>
  <c r="M30" i="101" s="1"/>
  <c r="G30" i="101"/>
  <c r="H30" i="101" s="1"/>
  <c r="L29" i="101"/>
  <c r="M29" i="101" s="1"/>
  <c r="F29" i="101"/>
  <c r="G29" i="101" s="1"/>
  <c r="H29" i="101" s="1"/>
  <c r="L28" i="101"/>
  <c r="M28" i="101" s="1"/>
  <c r="G28" i="101"/>
  <c r="H28" i="101" s="1"/>
  <c r="U28" i="101" s="1"/>
  <c r="M27" i="101"/>
  <c r="H27" i="101"/>
  <c r="M26" i="101"/>
  <c r="H26" i="101"/>
  <c r="U26" i="101" s="1"/>
  <c r="L25" i="101"/>
  <c r="M25" i="101" s="1"/>
  <c r="H25" i="101"/>
  <c r="L20" i="101"/>
  <c r="M20" i="101" s="1"/>
  <c r="G20" i="101"/>
  <c r="H20" i="101" s="1"/>
  <c r="U20" i="101" s="1"/>
  <c r="L19" i="101"/>
  <c r="M19" i="101" s="1"/>
  <c r="G19" i="101"/>
  <c r="H19" i="101" s="1"/>
  <c r="U19" i="101" s="1"/>
  <c r="L18" i="101"/>
  <c r="M18" i="101" s="1"/>
  <c r="G18" i="101"/>
  <c r="H18" i="101" s="1"/>
  <c r="U18" i="101" s="1"/>
  <c r="M17" i="101"/>
  <c r="H17" i="101"/>
  <c r="M15" i="101"/>
  <c r="H15" i="101"/>
  <c r="U15" i="101" s="1"/>
  <c r="L14" i="101"/>
  <c r="M14" i="101" s="1"/>
  <c r="G14" i="101"/>
  <c r="H14" i="101" s="1"/>
  <c r="U14" i="101" s="1"/>
  <c r="U11" i="101"/>
  <c r="D50" i="108" l="1"/>
  <c r="L16" i="108"/>
  <c r="O9" i="108"/>
  <c r="O8" i="108" s="1"/>
  <c r="I8" i="109"/>
  <c r="L13" i="108"/>
  <c r="M39" i="108"/>
  <c r="M36" i="108" s="1"/>
  <c r="J39" i="108"/>
  <c r="J36" i="108" s="1"/>
  <c r="J50" i="108" s="1"/>
  <c r="G46" i="108"/>
  <c r="P9" i="108"/>
  <c r="E38" i="7"/>
  <c r="G39" i="8" s="1"/>
  <c r="F39" i="8"/>
  <c r="U37" i="101"/>
  <c r="U38" i="101"/>
  <c r="U40" i="101"/>
  <c r="U34" i="101"/>
  <c r="U32" i="101"/>
  <c r="U39" i="101"/>
  <c r="U25" i="101"/>
  <c r="U17" i="101"/>
  <c r="U33" i="101"/>
  <c r="U27" i="101"/>
  <c r="L27" i="108"/>
  <c r="O8" i="109"/>
  <c r="H8" i="109"/>
  <c r="P39" i="108"/>
  <c r="P36" i="108" s="1"/>
  <c r="G43" i="108"/>
  <c r="L46" i="108"/>
  <c r="B39" i="108"/>
  <c r="B36" i="108"/>
  <c r="L10" i="108"/>
  <c r="N39" i="108"/>
  <c r="N36" i="108" s="1"/>
  <c r="N50" i="108" s="1"/>
  <c r="L30" i="108"/>
  <c r="I39" i="108"/>
  <c r="I36" i="108" s="1"/>
  <c r="I50" i="108" s="1"/>
  <c r="N8" i="109"/>
  <c r="J8" i="109"/>
  <c r="M8" i="109"/>
  <c r="L40" i="108"/>
  <c r="O39" i="108"/>
  <c r="O36" i="108" s="1"/>
  <c r="K8" i="109"/>
  <c r="G8" i="109" s="1"/>
  <c r="G9" i="109"/>
  <c r="L43" i="108"/>
  <c r="I38" i="7"/>
  <c r="I38" i="6"/>
  <c r="B8" i="108"/>
  <c r="C50" i="108"/>
  <c r="B50" i="108" s="1"/>
  <c r="M8" i="108"/>
  <c r="H39" i="108"/>
  <c r="G40" i="108"/>
  <c r="K39" i="108"/>
  <c r="K36" i="108" s="1"/>
  <c r="K50" i="108" s="1"/>
  <c r="P8" i="109"/>
  <c r="L8" i="109" s="1"/>
  <c r="L9" i="109"/>
  <c r="U29" i="101"/>
  <c r="U30" i="101"/>
  <c r="U35" i="101"/>
  <c r="O50" i="108" l="1"/>
  <c r="P8" i="108"/>
  <c r="L9" i="108"/>
  <c r="K39" i="8"/>
  <c r="L39" i="108"/>
  <c r="L36" i="108"/>
  <c r="J38" i="6"/>
  <c r="M50" i="108"/>
  <c r="G39" i="108"/>
  <c r="H36" i="108"/>
  <c r="P50" i="108" l="1"/>
  <c r="L50" i="108" s="1"/>
  <c r="L8" i="108"/>
  <c r="J38" i="7"/>
  <c r="C38" i="8"/>
  <c r="D39" i="8" s="1"/>
  <c r="G36" i="108"/>
  <c r="H50" i="108"/>
  <c r="G50" i="108" s="1"/>
  <c r="L29" i="125" l="1"/>
  <c r="C29" i="125"/>
  <c r="K29" i="125"/>
  <c r="J29" i="125"/>
  <c r="G29" i="125"/>
  <c r="F29" i="125"/>
  <c r="E29" i="125"/>
  <c r="D29" i="125"/>
  <c r="I29" i="110"/>
  <c r="F37" i="9"/>
  <c r="D35" i="94"/>
  <c r="C35" i="94"/>
  <c r="E35" i="94" s="1"/>
  <c r="D78" i="63" s="1"/>
  <c r="E34" i="94"/>
  <c r="E33" i="94"/>
  <c r="E32" i="94"/>
  <c r="D31" i="94"/>
  <c r="C31" i="94"/>
  <c r="E30" i="94"/>
  <c r="E29" i="94"/>
  <c r="E28" i="94"/>
  <c r="D27" i="94"/>
  <c r="C27" i="94"/>
  <c r="E27" i="94" s="1"/>
  <c r="E26" i="94"/>
  <c r="E25" i="94"/>
  <c r="E24" i="94"/>
  <c r="D23" i="94"/>
  <c r="C23" i="94"/>
  <c r="E22" i="94"/>
  <c r="E21" i="94"/>
  <c r="E20" i="94"/>
  <c r="D19" i="94"/>
  <c r="C19" i="94"/>
  <c r="E19" i="94" s="1"/>
  <c r="E18" i="94"/>
  <c r="E17" i="94"/>
  <c r="E16" i="94"/>
  <c r="D15" i="94"/>
  <c r="C15" i="94"/>
  <c r="E14" i="94"/>
  <c r="E13" i="94"/>
  <c r="E12" i="94"/>
  <c r="D11" i="94"/>
  <c r="C11" i="94"/>
  <c r="E11" i="94" s="1"/>
  <c r="E10" i="94"/>
  <c r="E9" i="94"/>
  <c r="E8" i="94"/>
  <c r="E31" i="94" l="1"/>
  <c r="C78" i="63" s="1"/>
  <c r="E23" i="94"/>
  <c r="E15" i="94"/>
  <c r="N37" i="120"/>
  <c r="N29" i="120" s="1"/>
  <c r="R24" i="113" l="1"/>
  <c r="Q24" i="113"/>
  <c r="P24" i="113"/>
  <c r="O24" i="113"/>
  <c r="N24" i="113"/>
  <c r="M24" i="113"/>
  <c r="L24" i="113"/>
  <c r="K24" i="113"/>
  <c r="J24" i="113"/>
  <c r="I24" i="113"/>
  <c r="H24" i="113"/>
  <c r="G24" i="113"/>
  <c r="F24" i="113"/>
  <c r="E24" i="113"/>
  <c r="D24" i="113"/>
  <c r="C24" i="113"/>
  <c r="R24" i="112"/>
  <c r="Q24" i="112"/>
  <c r="P24" i="112"/>
  <c r="O24" i="112"/>
  <c r="N24" i="112"/>
  <c r="M24" i="112"/>
  <c r="L24" i="112"/>
  <c r="K24" i="112"/>
  <c r="J24" i="112"/>
  <c r="I24" i="112"/>
  <c r="H24" i="112"/>
  <c r="G24" i="112"/>
  <c r="F24" i="112"/>
  <c r="E24" i="112"/>
  <c r="D24" i="112"/>
  <c r="C24" i="112"/>
  <c r="J24" i="111"/>
  <c r="I24" i="111"/>
  <c r="H24" i="111"/>
  <c r="G24" i="111"/>
  <c r="F24" i="111"/>
  <c r="E24" i="111"/>
  <c r="D24" i="111"/>
  <c r="C24" i="111"/>
  <c r="C21" i="111"/>
  <c r="D21" i="111"/>
  <c r="E21" i="111"/>
  <c r="F21" i="111"/>
  <c r="G21" i="111"/>
  <c r="H21" i="111"/>
  <c r="I21" i="111"/>
  <c r="J21" i="111"/>
  <c r="C22" i="111"/>
  <c r="D22" i="111"/>
  <c r="E22" i="111"/>
  <c r="F22" i="111"/>
  <c r="G22" i="111"/>
  <c r="H22" i="111"/>
  <c r="I22" i="111"/>
  <c r="J22" i="111"/>
  <c r="C23" i="111"/>
  <c r="D23" i="111"/>
  <c r="E23" i="111"/>
  <c r="F23" i="111"/>
  <c r="G23" i="111"/>
  <c r="H23" i="111"/>
  <c r="I23" i="111"/>
  <c r="J23" i="111"/>
  <c r="L29" i="110" l="1"/>
  <c r="E37" i="9"/>
  <c r="C37" i="9"/>
  <c r="K29" i="110"/>
  <c r="J29" i="110"/>
  <c r="H29" i="110"/>
  <c r="F29" i="110"/>
  <c r="D29" i="110"/>
  <c r="C29" i="110"/>
  <c r="N29" i="122"/>
  <c r="L29" i="122"/>
  <c r="K29" i="122"/>
  <c r="J29" i="122"/>
  <c r="I29" i="122"/>
  <c r="H29" i="122"/>
  <c r="G29" i="122"/>
  <c r="F29" i="122"/>
  <c r="E29" i="122"/>
  <c r="D29" i="122"/>
  <c r="C29" i="122"/>
  <c r="I29" i="125"/>
  <c r="H29" i="125"/>
  <c r="J37" i="5"/>
  <c r="H37" i="5"/>
  <c r="K37" i="6"/>
  <c r="C37" i="7"/>
  <c r="H37" i="107"/>
  <c r="F37" i="107"/>
  <c r="G37" i="130"/>
  <c r="D37" i="130"/>
  <c r="N29" i="125" l="1"/>
  <c r="K37" i="5"/>
  <c r="M37" i="9"/>
  <c r="E37" i="6"/>
  <c r="D37" i="6"/>
  <c r="O37" i="9"/>
  <c r="E38" i="8"/>
  <c r="M37" i="125"/>
  <c r="M29" i="125" s="1"/>
  <c r="H37" i="9"/>
  <c r="G37" i="6"/>
  <c r="F37" i="7"/>
  <c r="L37" i="9"/>
  <c r="K37" i="9"/>
  <c r="F37" i="6"/>
  <c r="D37" i="9"/>
  <c r="G37" i="7"/>
  <c r="H37" i="130"/>
  <c r="M37" i="122"/>
  <c r="M29" i="122" s="1"/>
  <c r="N37" i="9"/>
  <c r="G37" i="9"/>
  <c r="I37" i="9"/>
  <c r="J37" i="9"/>
  <c r="J37" i="61"/>
  <c r="K37" i="61"/>
  <c r="J37" i="12"/>
  <c r="I37" i="7" l="1"/>
  <c r="L37" i="5"/>
  <c r="C37" i="6" s="1"/>
  <c r="H38" i="8"/>
  <c r="J38" i="8"/>
  <c r="I38" i="8"/>
  <c r="D37" i="7"/>
  <c r="E37" i="7" s="1"/>
  <c r="H29" i="6" l="1"/>
  <c r="H37" i="6"/>
  <c r="F38" i="8"/>
  <c r="G38" i="8"/>
  <c r="K38" i="8"/>
  <c r="I37" i="6" l="1"/>
  <c r="I29" i="6"/>
  <c r="J37" i="6" l="1"/>
  <c r="Y32" i="76"/>
  <c r="Y31" i="76"/>
  <c r="C37" i="8" l="1"/>
  <c r="J37" i="7"/>
  <c r="Y27" i="76"/>
  <c r="Y20" i="76"/>
  <c r="Y30" i="76"/>
  <c r="Y29" i="76"/>
  <c r="Y28" i="76"/>
  <c r="Y17" i="76"/>
  <c r="Y26" i="76"/>
  <c r="Y19" i="76"/>
  <c r="Y18" i="76"/>
  <c r="T15" i="76"/>
  <c r="U15" i="76"/>
  <c r="Y23" i="76"/>
  <c r="Y33" i="76"/>
  <c r="W15" i="76"/>
  <c r="Y22" i="76"/>
  <c r="X15" i="76"/>
  <c r="Y21" i="76"/>
  <c r="Y25" i="76"/>
  <c r="Y24" i="76"/>
  <c r="D38" i="8" l="1"/>
  <c r="K24" i="61"/>
  <c r="K23" i="61"/>
  <c r="K20" i="61"/>
  <c r="J20" i="61"/>
  <c r="J24" i="61"/>
  <c r="J23" i="61"/>
  <c r="Q36" i="78" l="1"/>
  <c r="I36" i="78"/>
  <c r="D19" i="93"/>
  <c r="E19" i="93"/>
  <c r="C19" i="93"/>
  <c r="J28" i="10" l="1"/>
  <c r="J22" i="10" s="1"/>
  <c r="I28" i="10"/>
  <c r="I22" i="10" s="1"/>
  <c r="D28" i="11"/>
  <c r="D22" i="11" s="1"/>
  <c r="H28" i="15"/>
  <c r="H22" i="15" s="1"/>
  <c r="G28" i="15"/>
  <c r="G22" i="15" s="1"/>
  <c r="J28" i="64"/>
  <c r="J22" i="64" s="1"/>
  <c r="I28" i="64"/>
  <c r="I22" i="64" s="1"/>
  <c r="F28" i="105"/>
  <c r="F22" i="105" s="1"/>
  <c r="N28" i="106"/>
  <c r="N22" i="106" s="1"/>
  <c r="L28" i="18"/>
  <c r="L22" i="18" s="1"/>
  <c r="L28" i="72"/>
  <c r="L22" i="72" s="1"/>
  <c r="D25" i="63"/>
  <c r="D26" i="63" s="1"/>
  <c r="N28" i="75"/>
  <c r="N22" i="75" s="1"/>
  <c r="L28" i="75"/>
  <c r="L22" i="75" s="1"/>
  <c r="E28" i="74"/>
  <c r="E22" i="74" s="1"/>
  <c r="M28" i="77"/>
  <c r="M22" i="77" s="1"/>
  <c r="H28" i="119"/>
  <c r="F33" i="93"/>
  <c r="F19" i="93"/>
  <c r="C28" i="80"/>
  <c r="C22" i="80" s="1"/>
  <c r="D103" i="63"/>
  <c r="D102" i="63"/>
  <c r="D100" i="63"/>
  <c r="D99" i="63"/>
  <c r="D98" i="63"/>
  <c r="D97" i="63"/>
  <c r="D95" i="63"/>
  <c r="D94" i="63"/>
  <c r="D51" i="63"/>
  <c r="D50" i="63"/>
  <c r="N28" i="119"/>
  <c r="M28" i="119"/>
  <c r="L28" i="119"/>
  <c r="K28" i="119"/>
  <c r="J28" i="119"/>
  <c r="I28" i="119"/>
  <c r="G28" i="119"/>
  <c r="F28" i="119"/>
  <c r="E28" i="119"/>
  <c r="D28" i="119"/>
  <c r="C28" i="119"/>
  <c r="L28" i="107"/>
  <c r="K28" i="107"/>
  <c r="J28" i="107"/>
  <c r="I28" i="107"/>
  <c r="G28" i="107"/>
  <c r="E28" i="107"/>
  <c r="D28" i="107"/>
  <c r="C28" i="107"/>
  <c r="F28" i="90"/>
  <c r="E28" i="90"/>
  <c r="D28" i="90"/>
  <c r="M28" i="120"/>
  <c r="L28" i="120"/>
  <c r="K28" i="120"/>
  <c r="J28" i="120"/>
  <c r="I28" i="120"/>
  <c r="G28" i="120"/>
  <c r="F28" i="120"/>
  <c r="E28" i="120"/>
  <c r="D28" i="120"/>
  <c r="C28" i="120"/>
  <c r="I28" i="5"/>
  <c r="I22" i="5" s="1"/>
  <c r="G28" i="5"/>
  <c r="G22" i="5" s="1"/>
  <c r="F28" i="5"/>
  <c r="F22" i="5" s="1"/>
  <c r="E28" i="5"/>
  <c r="E22" i="5" s="1"/>
  <c r="D28" i="5"/>
  <c r="D22" i="5" s="1"/>
  <c r="C28" i="5"/>
  <c r="C22" i="5" s="1"/>
  <c r="L28" i="79"/>
  <c r="L22" i="79" s="1"/>
  <c r="K28" i="79"/>
  <c r="K22" i="79" s="1"/>
  <c r="J28" i="79"/>
  <c r="J22" i="79" s="1"/>
  <c r="I28" i="79"/>
  <c r="I22" i="79" s="1"/>
  <c r="H28" i="79"/>
  <c r="H22" i="79" s="1"/>
  <c r="G28" i="79"/>
  <c r="G22" i="79" s="1"/>
  <c r="F28" i="79"/>
  <c r="F22" i="79" s="1"/>
  <c r="E28" i="79"/>
  <c r="E22" i="79" s="1"/>
  <c r="D28" i="79"/>
  <c r="D22" i="79" s="1"/>
  <c r="C28" i="79"/>
  <c r="C22" i="79" s="1"/>
  <c r="Q28" i="80"/>
  <c r="Q22" i="80" s="1"/>
  <c r="F28" i="130"/>
  <c r="F22" i="130" s="1"/>
  <c r="E28" i="130"/>
  <c r="E22" i="130" s="1"/>
  <c r="C28" i="130"/>
  <c r="C22" i="130" s="1"/>
  <c r="I28" i="90"/>
  <c r="I22" i="90" s="1"/>
  <c r="H28" i="90"/>
  <c r="H22" i="90" s="1"/>
  <c r="C28" i="90"/>
  <c r="C22" i="90" s="1"/>
  <c r="J28" i="121"/>
  <c r="J22" i="121" s="1"/>
  <c r="I28" i="121"/>
  <c r="I22" i="121" s="1"/>
  <c r="H28" i="121"/>
  <c r="H22" i="121" s="1"/>
  <c r="G28" i="121"/>
  <c r="G22" i="121" s="1"/>
  <c r="F28" i="121"/>
  <c r="F22" i="121" s="1"/>
  <c r="E28" i="121"/>
  <c r="E22" i="121" s="1"/>
  <c r="D28" i="121"/>
  <c r="D22" i="121" s="1"/>
  <c r="C28" i="121"/>
  <c r="C22" i="121" s="1"/>
  <c r="S28" i="80"/>
  <c r="S22" i="80" s="1"/>
  <c r="P28" i="80"/>
  <c r="P22" i="80" s="1"/>
  <c r="O28" i="80"/>
  <c r="O22" i="80" s="1"/>
  <c r="N28" i="80"/>
  <c r="N22" i="80" s="1"/>
  <c r="M28" i="80"/>
  <c r="M22" i="80" s="1"/>
  <c r="L28" i="80"/>
  <c r="L22" i="80" s="1"/>
  <c r="D54" i="63"/>
  <c r="J28" i="80"/>
  <c r="J22" i="80" s="1"/>
  <c r="I28" i="80"/>
  <c r="I22" i="80" s="1"/>
  <c r="H28" i="80"/>
  <c r="H22" i="80" s="1"/>
  <c r="G28" i="80"/>
  <c r="G22" i="80" s="1"/>
  <c r="E28" i="80"/>
  <c r="E22" i="80" s="1"/>
  <c r="D28" i="80"/>
  <c r="D22" i="80" s="1"/>
  <c r="S28" i="128"/>
  <c r="S22" i="128" s="1"/>
  <c r="R28" i="128"/>
  <c r="R22" i="128" s="1"/>
  <c r="Q28" i="128"/>
  <c r="Q22" i="128" s="1"/>
  <c r="P28" i="128"/>
  <c r="P22" i="128" s="1"/>
  <c r="O28" i="128"/>
  <c r="O22" i="128" s="1"/>
  <c r="N28" i="128"/>
  <c r="N22" i="128" s="1"/>
  <c r="M28" i="128"/>
  <c r="M22" i="128" s="1"/>
  <c r="L28" i="128"/>
  <c r="L22" i="128" s="1"/>
  <c r="K28" i="128"/>
  <c r="K22" i="128" s="1"/>
  <c r="J28" i="128"/>
  <c r="J22" i="128" s="1"/>
  <c r="I28" i="128"/>
  <c r="I22" i="128" s="1"/>
  <c r="H28" i="128"/>
  <c r="H22" i="128" s="1"/>
  <c r="G28" i="128"/>
  <c r="G22" i="128" s="1"/>
  <c r="F28" i="128"/>
  <c r="F22" i="128" s="1"/>
  <c r="E28" i="128"/>
  <c r="E22" i="128" s="1"/>
  <c r="D28" i="128"/>
  <c r="D22" i="128" s="1"/>
  <c r="C28" i="128"/>
  <c r="C22" i="128" s="1"/>
  <c r="M28" i="10"/>
  <c r="M22" i="10" s="1"/>
  <c r="L28" i="10"/>
  <c r="L22" i="10" s="1"/>
  <c r="K28" i="10"/>
  <c r="K22" i="10" s="1"/>
  <c r="H28" i="10"/>
  <c r="H22" i="10" s="1"/>
  <c r="G28" i="10"/>
  <c r="G22" i="10" s="1"/>
  <c r="E28" i="10"/>
  <c r="E22" i="10" s="1"/>
  <c r="L28" i="11"/>
  <c r="L22" i="11" s="1"/>
  <c r="K28" i="11"/>
  <c r="K22" i="11" s="1"/>
  <c r="J28" i="11"/>
  <c r="J22" i="11" s="1"/>
  <c r="I28" i="11"/>
  <c r="I22" i="11" s="1"/>
  <c r="H28" i="11"/>
  <c r="H22" i="11" s="1"/>
  <c r="G28" i="11"/>
  <c r="G22" i="11" s="1"/>
  <c r="F28" i="11"/>
  <c r="F22" i="11" s="1"/>
  <c r="E28" i="11"/>
  <c r="E22" i="11" s="1"/>
  <c r="C28" i="11"/>
  <c r="C22" i="11" s="1"/>
  <c r="I28" i="12"/>
  <c r="I22" i="12" s="1"/>
  <c r="H28" i="12"/>
  <c r="H22" i="12" s="1"/>
  <c r="G28" i="12"/>
  <c r="G22" i="12" s="1"/>
  <c r="F28" i="12"/>
  <c r="F22" i="12" s="1"/>
  <c r="E28" i="12"/>
  <c r="E22" i="12" s="1"/>
  <c r="D28" i="12"/>
  <c r="D22" i="12" s="1"/>
  <c r="C28" i="12"/>
  <c r="C22" i="12" s="1"/>
  <c r="N28" i="13"/>
  <c r="N22" i="13" s="1"/>
  <c r="M28" i="13"/>
  <c r="M22" i="13" s="1"/>
  <c r="L28" i="13"/>
  <c r="L22" i="13" s="1"/>
  <c r="K28" i="13"/>
  <c r="K22" i="13" s="1"/>
  <c r="J28" i="13"/>
  <c r="J22" i="13" s="1"/>
  <c r="I28" i="13"/>
  <c r="I22" i="13" s="1"/>
  <c r="H28" i="13"/>
  <c r="H22" i="13" s="1"/>
  <c r="G28" i="13"/>
  <c r="G22" i="13" s="1"/>
  <c r="F28" i="13"/>
  <c r="F22" i="13" s="1"/>
  <c r="E28" i="13"/>
  <c r="E22" i="13" s="1"/>
  <c r="D28" i="13"/>
  <c r="D22" i="13" s="1"/>
  <c r="C28" i="13"/>
  <c r="C22" i="13" s="1"/>
  <c r="N28" i="14"/>
  <c r="N22" i="14" s="1"/>
  <c r="M28" i="14"/>
  <c r="M22" i="14" s="1"/>
  <c r="L28" i="14"/>
  <c r="L22" i="14" s="1"/>
  <c r="K28" i="14"/>
  <c r="K22" i="14" s="1"/>
  <c r="J28" i="14"/>
  <c r="J22" i="14" s="1"/>
  <c r="I28" i="14"/>
  <c r="I22" i="14" s="1"/>
  <c r="H28" i="14"/>
  <c r="H22" i="14" s="1"/>
  <c r="G28" i="14"/>
  <c r="G22" i="14" s="1"/>
  <c r="F28" i="14"/>
  <c r="F22" i="14" s="1"/>
  <c r="E28" i="14"/>
  <c r="E22" i="14" s="1"/>
  <c r="D28" i="14"/>
  <c r="D22" i="14" s="1"/>
  <c r="C28" i="14"/>
  <c r="C22" i="14" s="1"/>
  <c r="P28" i="15"/>
  <c r="P22" i="15" s="1"/>
  <c r="O28" i="15"/>
  <c r="O22" i="15" s="1"/>
  <c r="N28" i="15"/>
  <c r="N22" i="15" s="1"/>
  <c r="M28" i="15"/>
  <c r="M22" i="15" s="1"/>
  <c r="L28" i="15"/>
  <c r="J28" i="15"/>
  <c r="J22" i="15" s="1"/>
  <c r="I28" i="15"/>
  <c r="I22" i="15" s="1"/>
  <c r="E28" i="15"/>
  <c r="E22" i="15" s="1"/>
  <c r="D28" i="15"/>
  <c r="D22" i="15" s="1"/>
  <c r="C28" i="15"/>
  <c r="C22" i="15" s="1"/>
  <c r="D38" i="63"/>
  <c r="D39" i="63" s="1"/>
  <c r="K28" i="102"/>
  <c r="K22" i="102" s="1"/>
  <c r="J28" i="102"/>
  <c r="J22" i="102" s="1"/>
  <c r="I28" i="102"/>
  <c r="I22" i="102" s="1"/>
  <c r="H28" i="102"/>
  <c r="H22" i="102" s="1"/>
  <c r="G28" i="102"/>
  <c r="G22" i="102" s="1"/>
  <c r="F28" i="102"/>
  <c r="F22" i="102" s="1"/>
  <c r="E28" i="102"/>
  <c r="E22" i="102" s="1"/>
  <c r="D28" i="102"/>
  <c r="D22" i="102" s="1"/>
  <c r="C28" i="102"/>
  <c r="C22" i="102" s="1"/>
  <c r="Q28" i="64"/>
  <c r="Q22" i="64" s="1"/>
  <c r="P28" i="64"/>
  <c r="P22" i="64" s="1"/>
  <c r="O28" i="64"/>
  <c r="O22" i="64" s="1"/>
  <c r="N28" i="64"/>
  <c r="N22" i="64" s="1"/>
  <c r="M28" i="64"/>
  <c r="M22" i="64" s="1"/>
  <c r="L28" i="64"/>
  <c r="L22" i="64" s="1"/>
  <c r="K28" i="64"/>
  <c r="K22" i="64" s="1"/>
  <c r="H28" i="64"/>
  <c r="H22" i="64" s="1"/>
  <c r="G28" i="64"/>
  <c r="G22" i="64" s="1"/>
  <c r="F28" i="64"/>
  <c r="F22" i="64" s="1"/>
  <c r="E28" i="64"/>
  <c r="E22" i="64" s="1"/>
  <c r="D28" i="64"/>
  <c r="D22" i="64" s="1"/>
  <c r="C28" i="64"/>
  <c r="C22" i="64" s="1"/>
  <c r="I28" i="61"/>
  <c r="I22" i="61" s="1"/>
  <c r="H28" i="61"/>
  <c r="H22" i="61" s="1"/>
  <c r="G28" i="61"/>
  <c r="G22" i="61" s="1"/>
  <c r="F28" i="61"/>
  <c r="F22" i="61" s="1"/>
  <c r="E28" i="61"/>
  <c r="E22" i="61" s="1"/>
  <c r="D28" i="61"/>
  <c r="D22" i="61" s="1"/>
  <c r="C28" i="61"/>
  <c r="C22" i="61" s="1"/>
  <c r="P28" i="105"/>
  <c r="P22" i="105" s="1"/>
  <c r="O28" i="105"/>
  <c r="O22" i="105" s="1"/>
  <c r="N28" i="105"/>
  <c r="N22" i="105" s="1"/>
  <c r="M28" i="105"/>
  <c r="M22" i="105" s="1"/>
  <c r="L28" i="105"/>
  <c r="L22" i="105" s="1"/>
  <c r="K28" i="105"/>
  <c r="K22" i="105" s="1"/>
  <c r="J28" i="105"/>
  <c r="J22" i="105" s="1"/>
  <c r="I28" i="105"/>
  <c r="I22" i="105" s="1"/>
  <c r="H28" i="105"/>
  <c r="H22" i="105" s="1"/>
  <c r="G28" i="105"/>
  <c r="G22" i="105" s="1"/>
  <c r="E28" i="105"/>
  <c r="E22" i="105" s="1"/>
  <c r="D28" i="105"/>
  <c r="D22" i="105" s="1"/>
  <c r="C28" i="105"/>
  <c r="C22" i="105" s="1"/>
  <c r="P28" i="106"/>
  <c r="P22" i="106" s="1"/>
  <c r="O28" i="106"/>
  <c r="O22" i="106" s="1"/>
  <c r="M28" i="106"/>
  <c r="M22" i="106" s="1"/>
  <c r="L28" i="106"/>
  <c r="L22" i="106" s="1"/>
  <c r="K28" i="106"/>
  <c r="K22" i="106" s="1"/>
  <c r="J28" i="106"/>
  <c r="J22" i="106" s="1"/>
  <c r="I28" i="106"/>
  <c r="I22" i="106" s="1"/>
  <c r="H28" i="106"/>
  <c r="H22" i="106" s="1"/>
  <c r="G28" i="106"/>
  <c r="G22" i="106" s="1"/>
  <c r="F28" i="106"/>
  <c r="F22" i="106" s="1"/>
  <c r="E28" i="106"/>
  <c r="E22" i="106" s="1"/>
  <c r="D28" i="106"/>
  <c r="D22" i="106" s="1"/>
  <c r="C28" i="106"/>
  <c r="C22" i="106" s="1"/>
  <c r="O28" i="17"/>
  <c r="O22" i="17" s="1"/>
  <c r="N28" i="17"/>
  <c r="N22" i="17" s="1"/>
  <c r="M28" i="17"/>
  <c r="M22" i="17" s="1"/>
  <c r="L28" i="17"/>
  <c r="L22" i="17" s="1"/>
  <c r="K28" i="17"/>
  <c r="K22" i="17" s="1"/>
  <c r="J28" i="17"/>
  <c r="J22" i="17" s="1"/>
  <c r="I28" i="17"/>
  <c r="I22" i="17" s="1"/>
  <c r="H28" i="17"/>
  <c r="H22" i="17" s="1"/>
  <c r="G28" i="17"/>
  <c r="G22" i="17" s="1"/>
  <c r="E28" i="17"/>
  <c r="E22" i="17" s="1"/>
  <c r="D28" i="17"/>
  <c r="D22" i="17" s="1"/>
  <c r="C28" i="17"/>
  <c r="C22" i="17" s="1"/>
  <c r="O28" i="18"/>
  <c r="O22" i="18" s="1"/>
  <c r="N28" i="18"/>
  <c r="N22" i="18" s="1"/>
  <c r="M28" i="18"/>
  <c r="M22" i="18" s="1"/>
  <c r="K28" i="18"/>
  <c r="K22" i="18" s="1"/>
  <c r="J28" i="18"/>
  <c r="J22" i="18" s="1"/>
  <c r="I28" i="18"/>
  <c r="I22" i="18" s="1"/>
  <c r="H28" i="18"/>
  <c r="H22" i="18" s="1"/>
  <c r="G28" i="18"/>
  <c r="G22" i="18" s="1"/>
  <c r="F28" i="18"/>
  <c r="F22" i="18" s="1"/>
  <c r="E28" i="18"/>
  <c r="E22" i="18" s="1"/>
  <c r="D28" i="18"/>
  <c r="D22" i="18" s="1"/>
  <c r="C28" i="18"/>
  <c r="C22" i="18" s="1"/>
  <c r="P28" i="73"/>
  <c r="P22" i="73" s="1"/>
  <c r="O28" i="73"/>
  <c r="O22" i="73" s="1"/>
  <c r="N28" i="73"/>
  <c r="N22" i="73" s="1"/>
  <c r="M28" i="73"/>
  <c r="M22" i="73" s="1"/>
  <c r="L28" i="73"/>
  <c r="L22" i="73" s="1"/>
  <c r="J28" i="73"/>
  <c r="J22" i="73" s="1"/>
  <c r="H28" i="73"/>
  <c r="H22" i="73" s="1"/>
  <c r="G28" i="73"/>
  <c r="G22" i="73" s="1"/>
  <c r="F28" i="73"/>
  <c r="F22" i="73" s="1"/>
  <c r="D28" i="73"/>
  <c r="D22" i="73" s="1"/>
  <c r="C28" i="73"/>
  <c r="C22" i="73" s="1"/>
  <c r="Q28" i="72"/>
  <c r="Q22" i="72" s="1"/>
  <c r="P28" i="72"/>
  <c r="P22" i="72" s="1"/>
  <c r="O28" i="72"/>
  <c r="O22" i="72" s="1"/>
  <c r="N28" i="72"/>
  <c r="N22" i="72" s="1"/>
  <c r="M28" i="72"/>
  <c r="M22" i="72" s="1"/>
  <c r="K28" i="72"/>
  <c r="K22" i="72" s="1"/>
  <c r="J28" i="72"/>
  <c r="J22" i="72" s="1"/>
  <c r="I28" i="72"/>
  <c r="I22" i="72" s="1"/>
  <c r="H28" i="72"/>
  <c r="H22" i="72" s="1"/>
  <c r="G28" i="72"/>
  <c r="G22" i="72" s="1"/>
  <c r="F28" i="72"/>
  <c r="F22" i="72" s="1"/>
  <c r="E28" i="72"/>
  <c r="E22" i="72" s="1"/>
  <c r="D28" i="72"/>
  <c r="D22" i="72" s="1"/>
  <c r="C28" i="72"/>
  <c r="C22" i="72" s="1"/>
  <c r="P28" i="75"/>
  <c r="P22" i="75" s="1"/>
  <c r="M28" i="75"/>
  <c r="M22" i="75" s="1"/>
  <c r="K28" i="75"/>
  <c r="K22" i="75" s="1"/>
  <c r="J28" i="75"/>
  <c r="J22" i="75" s="1"/>
  <c r="I28" i="75"/>
  <c r="I22" i="75" s="1"/>
  <c r="H28" i="75"/>
  <c r="H22" i="75" s="1"/>
  <c r="G28" i="75"/>
  <c r="G22" i="75" s="1"/>
  <c r="F28" i="75"/>
  <c r="F22" i="75" s="1"/>
  <c r="E28" i="75"/>
  <c r="E22" i="75" s="1"/>
  <c r="D28" i="75"/>
  <c r="D22" i="75" s="1"/>
  <c r="C28" i="75"/>
  <c r="C22" i="75" s="1"/>
  <c r="P28" i="74"/>
  <c r="P22" i="74" s="1"/>
  <c r="O28" i="74"/>
  <c r="O22" i="74" s="1"/>
  <c r="N28" i="74"/>
  <c r="N22" i="74" s="1"/>
  <c r="M28" i="74"/>
  <c r="M22" i="74" s="1"/>
  <c r="L28" i="74"/>
  <c r="L22" i="74" s="1"/>
  <c r="K28" i="74"/>
  <c r="K22" i="74" s="1"/>
  <c r="J28" i="74"/>
  <c r="J22" i="74" s="1"/>
  <c r="I28" i="74"/>
  <c r="I22" i="74" s="1"/>
  <c r="H28" i="74"/>
  <c r="H22" i="74" s="1"/>
  <c r="G28" i="74"/>
  <c r="G22" i="74" s="1"/>
  <c r="F28" i="74"/>
  <c r="F22" i="74" s="1"/>
  <c r="D28" i="74"/>
  <c r="D22" i="74" s="1"/>
  <c r="C28" i="74"/>
  <c r="C22" i="74" s="1"/>
  <c r="P28" i="78"/>
  <c r="P22" i="78" s="1"/>
  <c r="O28" i="78"/>
  <c r="O22" i="78" s="1"/>
  <c r="N28" i="78"/>
  <c r="N22" i="78" s="1"/>
  <c r="M28" i="78"/>
  <c r="M22" i="78" s="1"/>
  <c r="L28" i="78"/>
  <c r="L22" i="78" s="1"/>
  <c r="K28" i="78"/>
  <c r="K22" i="78" s="1"/>
  <c r="H28" i="78"/>
  <c r="H22" i="78" s="1"/>
  <c r="G28" i="78"/>
  <c r="G22" i="78" s="1"/>
  <c r="F28" i="78"/>
  <c r="F22" i="78" s="1"/>
  <c r="E28" i="78"/>
  <c r="E22" i="78" s="1"/>
  <c r="D28" i="78"/>
  <c r="D22" i="78" s="1"/>
  <c r="C28" i="78"/>
  <c r="C22" i="78" s="1"/>
  <c r="Q28" i="77"/>
  <c r="Q22" i="77" s="1"/>
  <c r="P28" i="77"/>
  <c r="P22" i="77" s="1"/>
  <c r="O28" i="77"/>
  <c r="O22" i="77" s="1"/>
  <c r="N28" i="77"/>
  <c r="N22" i="77" s="1"/>
  <c r="L28" i="77"/>
  <c r="L22" i="77" s="1"/>
  <c r="K28" i="77"/>
  <c r="K22" i="77" s="1"/>
  <c r="J28" i="77"/>
  <c r="J22" i="77" s="1"/>
  <c r="I28" i="77"/>
  <c r="I22" i="77" s="1"/>
  <c r="H28" i="77"/>
  <c r="H22" i="77" s="1"/>
  <c r="G28" i="77"/>
  <c r="G22" i="77" s="1"/>
  <c r="F28" i="77"/>
  <c r="F22" i="77" s="1"/>
  <c r="E28" i="77"/>
  <c r="E22" i="77" s="1"/>
  <c r="D28" i="77"/>
  <c r="D22" i="77" s="1"/>
  <c r="C28" i="77"/>
  <c r="C22" i="77" s="1"/>
  <c r="H28" i="110"/>
  <c r="P28" i="65"/>
  <c r="P22" i="65" s="1"/>
  <c r="O28" i="65"/>
  <c r="O22" i="65" s="1"/>
  <c r="N28" i="65"/>
  <c r="N22" i="65" s="1"/>
  <c r="M28" i="65"/>
  <c r="M22" i="65" s="1"/>
  <c r="L28" i="65"/>
  <c r="L22" i="65" s="1"/>
  <c r="K28" i="65"/>
  <c r="K22" i="65" s="1"/>
  <c r="J28" i="65"/>
  <c r="J22" i="65" s="1"/>
  <c r="H28" i="65"/>
  <c r="H22" i="65" s="1"/>
  <c r="G28" i="65"/>
  <c r="G22" i="65" s="1"/>
  <c r="F28" i="65"/>
  <c r="F22" i="65" s="1"/>
  <c r="E28" i="65"/>
  <c r="E22" i="65" s="1"/>
  <c r="D28" i="65"/>
  <c r="D22" i="65" s="1"/>
  <c r="C28" i="65"/>
  <c r="C22" i="65" s="1"/>
  <c r="J36" i="5"/>
  <c r="H36" i="5"/>
  <c r="H28" i="5" s="1"/>
  <c r="H22" i="5" s="1"/>
  <c r="K36" i="6"/>
  <c r="K28" i="6" s="1"/>
  <c r="K22" i="6" s="1"/>
  <c r="C36" i="7"/>
  <c r="H36" i="107"/>
  <c r="F36" i="107"/>
  <c r="G36" i="130"/>
  <c r="G28" i="130" s="1"/>
  <c r="G22" i="130" s="1"/>
  <c r="D36" i="130"/>
  <c r="D28" i="130" s="1"/>
  <c r="D22" i="130" s="1"/>
  <c r="N36" i="120"/>
  <c r="J28" i="5" l="1"/>
  <c r="M28" i="110"/>
  <c r="M22" i="110" s="1"/>
  <c r="N28" i="125"/>
  <c r="D105" i="63"/>
  <c r="E104" i="63"/>
  <c r="C28" i="7"/>
  <c r="E29" i="8" s="1"/>
  <c r="E37" i="8"/>
  <c r="J37" i="8"/>
  <c r="D36" i="63"/>
  <c r="D37" i="63" s="1"/>
  <c r="J36" i="61"/>
  <c r="J28" i="61" s="1"/>
  <c r="C28" i="10"/>
  <c r="C22" i="10" s="1"/>
  <c r="C36" i="9"/>
  <c r="C28" i="9" s="1"/>
  <c r="C22" i="9" s="1"/>
  <c r="D28" i="10"/>
  <c r="D22" i="10" s="1"/>
  <c r="F28" i="10"/>
  <c r="F22" i="10" s="1"/>
  <c r="D36" i="9"/>
  <c r="D28" i="9" s="1"/>
  <c r="D22" i="9" s="1"/>
  <c r="J28" i="78"/>
  <c r="J22" i="78" s="1"/>
  <c r="Q28" i="15"/>
  <c r="Q22" i="15" s="1"/>
  <c r="K36" i="61"/>
  <c r="K28" i="61" s="1"/>
  <c r="K28" i="73"/>
  <c r="K22" i="73" s="1"/>
  <c r="Q36" i="73"/>
  <c r="Q28" i="73" s="1"/>
  <c r="Q22" i="73" s="1"/>
  <c r="E28" i="73"/>
  <c r="E22" i="73" s="1"/>
  <c r="I36" i="73"/>
  <c r="D36" i="6"/>
  <c r="D28" i="6" s="1"/>
  <c r="D22" i="6" s="1"/>
  <c r="Q36" i="65"/>
  <c r="F36" i="9"/>
  <c r="F28" i="9" s="1"/>
  <c r="F22" i="9" s="1"/>
  <c r="K36" i="9"/>
  <c r="K28" i="9" s="1"/>
  <c r="K22" i="9" s="1"/>
  <c r="M36" i="9"/>
  <c r="M28" i="9" s="1"/>
  <c r="M22" i="9" s="1"/>
  <c r="K22" i="15"/>
  <c r="K28" i="15"/>
  <c r="D9" i="63"/>
  <c r="D21" i="63"/>
  <c r="D22" i="63" s="1"/>
  <c r="D23" i="63"/>
  <c r="D24" i="63" s="1"/>
  <c r="G36" i="7"/>
  <c r="O28" i="75"/>
  <c r="O22" i="75" s="1"/>
  <c r="L28" i="102"/>
  <c r="K28" i="80"/>
  <c r="K22" i="80" s="1"/>
  <c r="F28" i="17"/>
  <c r="F22" i="17" s="1"/>
  <c r="D53" i="63"/>
  <c r="R28" i="80"/>
  <c r="R22" i="80" s="1"/>
  <c r="D55" i="63"/>
  <c r="F28" i="80"/>
  <c r="F22" i="80" s="1"/>
  <c r="E36" i="6"/>
  <c r="E28" i="6" s="1"/>
  <c r="E22" i="6" s="1"/>
  <c r="F28" i="15"/>
  <c r="F22" i="15" s="1"/>
  <c r="L22" i="15" s="1"/>
  <c r="F28" i="107"/>
  <c r="H36" i="9"/>
  <c r="H28" i="9" s="1"/>
  <c r="H22" i="9" s="1"/>
  <c r="H28" i="107"/>
  <c r="I36" i="65"/>
  <c r="I28" i="65" s="1"/>
  <c r="I22" i="65" s="1"/>
  <c r="H36" i="130"/>
  <c r="H28" i="130" s="1"/>
  <c r="H22" i="130" s="1"/>
  <c r="N36" i="9"/>
  <c r="N28" i="9" s="1"/>
  <c r="N22" i="9" s="1"/>
  <c r="G36" i="6"/>
  <c r="G28" i="6" s="1"/>
  <c r="G22" i="6" s="1"/>
  <c r="F36" i="6"/>
  <c r="F28" i="6" s="1"/>
  <c r="F22" i="6" s="1"/>
  <c r="M36" i="122"/>
  <c r="M36" i="125"/>
  <c r="Q28" i="78"/>
  <c r="Q22" i="78" s="1"/>
  <c r="I28" i="78"/>
  <c r="I22" i="78" s="1"/>
  <c r="J36" i="9"/>
  <c r="J28" i="9" s="1"/>
  <c r="J22" i="9" s="1"/>
  <c r="O36" i="9"/>
  <c r="E36" i="9"/>
  <c r="E28" i="9" s="1"/>
  <c r="E22" i="9" s="1"/>
  <c r="L36" i="9"/>
  <c r="L28" i="9" s="1"/>
  <c r="L22" i="9" s="1"/>
  <c r="G36" i="9"/>
  <c r="I36" i="9"/>
  <c r="J36" i="12"/>
  <c r="K36" i="5"/>
  <c r="F36" i="7"/>
  <c r="J22" i="5" l="1"/>
  <c r="C22" i="7"/>
  <c r="H28" i="7"/>
  <c r="J29" i="8" s="1"/>
  <c r="L22" i="102"/>
  <c r="C40" i="98"/>
  <c r="E40" i="98" s="1"/>
  <c r="G28" i="7"/>
  <c r="I29" i="8" s="1"/>
  <c r="I37" i="8"/>
  <c r="F28" i="7"/>
  <c r="H29" i="8" s="1"/>
  <c r="H37" i="8"/>
  <c r="I36" i="7"/>
  <c r="J22" i="61"/>
  <c r="K22" i="61"/>
  <c r="D36" i="7"/>
  <c r="D35" i="63"/>
  <c r="J28" i="12"/>
  <c r="J22" i="12" s="1"/>
  <c r="D19" i="63"/>
  <c r="D20" i="63" s="1"/>
  <c r="I28" i="9"/>
  <c r="I22" i="9" s="1"/>
  <c r="L36" i="5"/>
  <c r="L28" i="5" s="1"/>
  <c r="L22" i="5" s="1"/>
  <c r="K28" i="5"/>
  <c r="K22" i="5" s="1"/>
  <c r="I28" i="73"/>
  <c r="I22" i="73" s="1"/>
  <c r="Q28" i="65"/>
  <c r="Q22" i="65" s="1"/>
  <c r="D29" i="63"/>
  <c r="D31" i="63" s="1"/>
  <c r="O28" i="9"/>
  <c r="O22" i="9" s="1"/>
  <c r="G28" i="9"/>
  <c r="G22" i="9" s="1"/>
  <c r="D27" i="63"/>
  <c r="D28" i="63" s="1"/>
  <c r="E28" i="125"/>
  <c r="D35" i="6"/>
  <c r="G35" i="7"/>
  <c r="I36" i="8" s="1"/>
  <c r="K35" i="5"/>
  <c r="E35" i="6"/>
  <c r="F35" i="9"/>
  <c r="G28" i="110"/>
  <c r="C28" i="125"/>
  <c r="J35" i="5"/>
  <c r="H35" i="5"/>
  <c r="K35" i="6"/>
  <c r="C35" i="7"/>
  <c r="E36" i="8" s="1"/>
  <c r="H35" i="107"/>
  <c r="F35" i="107"/>
  <c r="G35" i="130"/>
  <c r="D35" i="130"/>
  <c r="N35" i="120"/>
  <c r="H22" i="7" l="1"/>
  <c r="G22" i="7"/>
  <c r="F22" i="7"/>
  <c r="F35" i="7"/>
  <c r="H36" i="8" s="1"/>
  <c r="I28" i="7"/>
  <c r="K29" i="8" s="1"/>
  <c r="K37" i="8"/>
  <c r="D28" i="7"/>
  <c r="F29" i="8" s="1"/>
  <c r="F37" i="8"/>
  <c r="K35" i="61"/>
  <c r="J35" i="61"/>
  <c r="C36" i="6"/>
  <c r="C28" i="6" s="1"/>
  <c r="C22" i="6" s="1"/>
  <c r="H22" i="6" s="1"/>
  <c r="E36" i="7"/>
  <c r="D33" i="63"/>
  <c r="D30" i="63"/>
  <c r="Q35" i="78"/>
  <c r="J35" i="12"/>
  <c r="D35" i="7" s="1"/>
  <c r="F36" i="8" s="1"/>
  <c r="K35" i="9"/>
  <c r="M35" i="9"/>
  <c r="Q35" i="65"/>
  <c r="J35" i="9"/>
  <c r="O35" i="9"/>
  <c r="E35" i="9"/>
  <c r="N35" i="9"/>
  <c r="J36" i="8"/>
  <c r="M35" i="125"/>
  <c r="I35" i="65"/>
  <c r="H35" i="130"/>
  <c r="H35" i="9"/>
  <c r="I35" i="78"/>
  <c r="L35" i="9"/>
  <c r="C35" i="9"/>
  <c r="G35" i="6"/>
  <c r="F35" i="6"/>
  <c r="M35" i="122"/>
  <c r="I35" i="73"/>
  <c r="D35" i="9"/>
  <c r="G35" i="9"/>
  <c r="I35" i="9"/>
  <c r="Q35" i="73"/>
  <c r="L35" i="5"/>
  <c r="C35" i="6" s="1"/>
  <c r="H35" i="6" s="1"/>
  <c r="I22" i="7" l="1"/>
  <c r="D22" i="7"/>
  <c r="H36" i="6"/>
  <c r="D11" i="63" s="1"/>
  <c r="E12" i="63" s="1"/>
  <c r="E28" i="7"/>
  <c r="G29" i="8" s="1"/>
  <c r="G37" i="8"/>
  <c r="I22" i="6"/>
  <c r="E35" i="7"/>
  <c r="G36" i="8" s="1"/>
  <c r="I35" i="7"/>
  <c r="I35" i="6"/>
  <c r="E22" i="7" l="1"/>
  <c r="I36" i="6"/>
  <c r="D13" i="63" s="1"/>
  <c r="K36" i="8"/>
  <c r="J35" i="6"/>
  <c r="D15" i="63" l="1"/>
  <c r="E14" i="63"/>
  <c r="J36" i="6"/>
  <c r="D16" i="63" s="1"/>
  <c r="E17" i="63" s="1"/>
  <c r="C35" i="8"/>
  <c r="J35" i="7"/>
  <c r="J28" i="6" l="1"/>
  <c r="J22" i="6" s="1"/>
  <c r="C36" i="8"/>
  <c r="D36" i="8" s="1"/>
  <c r="J36" i="7"/>
  <c r="J28" i="7" l="1"/>
  <c r="J22" i="7" s="1"/>
  <c r="D37" i="8"/>
  <c r="C28" i="8"/>
  <c r="C22" i="8" l="1"/>
  <c r="D29" i="8"/>
  <c r="I28" i="125"/>
  <c r="G28" i="125"/>
  <c r="D34" i="6"/>
  <c r="L28" i="110"/>
  <c r="K28" i="110"/>
  <c r="J28" i="110"/>
  <c r="I28" i="110"/>
  <c r="F28" i="110"/>
  <c r="D28" i="110"/>
  <c r="C28" i="110"/>
  <c r="N28" i="122"/>
  <c r="L28" i="122"/>
  <c r="K28" i="122"/>
  <c r="J28" i="122"/>
  <c r="I28" i="122"/>
  <c r="H28" i="122"/>
  <c r="G28" i="122"/>
  <c r="F28" i="122"/>
  <c r="E28" i="122"/>
  <c r="D28" i="122"/>
  <c r="C28" i="122"/>
  <c r="L28" i="125"/>
  <c r="K28" i="125"/>
  <c r="J28" i="125"/>
  <c r="H28" i="125"/>
  <c r="F28" i="125"/>
  <c r="J34" i="5"/>
  <c r="H34" i="5"/>
  <c r="K34" i="6"/>
  <c r="C34" i="7"/>
  <c r="H34" i="107"/>
  <c r="F34" i="107"/>
  <c r="G34" i="130"/>
  <c r="D34" i="130"/>
  <c r="N34" i="120"/>
  <c r="D28" i="125" l="1"/>
  <c r="M34" i="125"/>
  <c r="K34" i="61"/>
  <c r="J34" i="61"/>
  <c r="N28" i="120"/>
  <c r="G34" i="6"/>
  <c r="E35" i="8"/>
  <c r="E34" i="6"/>
  <c r="G34" i="9"/>
  <c r="L34" i="9"/>
  <c r="G34" i="7"/>
  <c r="M34" i="9"/>
  <c r="M34" i="122"/>
  <c r="M28" i="122" s="1"/>
  <c r="O34" i="9"/>
  <c r="H34" i="130"/>
  <c r="E34" i="9"/>
  <c r="I34" i="78"/>
  <c r="F34" i="9"/>
  <c r="C34" i="9"/>
  <c r="J34" i="9"/>
  <c r="M28" i="125"/>
  <c r="I34" i="73"/>
  <c r="N34" i="9"/>
  <c r="I34" i="65"/>
  <c r="Q34" i="73"/>
  <c r="Q34" i="78"/>
  <c r="Q34" i="65"/>
  <c r="F34" i="6"/>
  <c r="K34" i="9"/>
  <c r="I34" i="9"/>
  <c r="K34" i="5"/>
  <c r="F34" i="7"/>
  <c r="D34" i="9"/>
  <c r="H34" i="9"/>
  <c r="J34" i="12"/>
  <c r="F32" i="93"/>
  <c r="I35" i="8" l="1"/>
  <c r="L34" i="5"/>
  <c r="J35" i="8"/>
  <c r="H35" i="8"/>
  <c r="D34" i="7"/>
  <c r="E34" i="7" s="1"/>
  <c r="I34" i="7"/>
  <c r="G35" i="8" l="1"/>
  <c r="C34" i="6"/>
  <c r="K35" i="8"/>
  <c r="F35" i="8"/>
  <c r="H34" i="6" l="1"/>
  <c r="H28" i="6"/>
  <c r="I34" i="6" l="1"/>
  <c r="I28" i="6"/>
  <c r="C103" i="63"/>
  <c r="C102" i="63"/>
  <c r="C100" i="63"/>
  <c r="C99" i="63"/>
  <c r="C98" i="63"/>
  <c r="C97" i="63"/>
  <c r="C25" i="63"/>
  <c r="C26" i="63" s="1"/>
  <c r="C95" i="63"/>
  <c r="C94" i="63"/>
  <c r="C51" i="63"/>
  <c r="C50" i="63"/>
  <c r="C54" i="63"/>
  <c r="C38" i="63"/>
  <c r="C39" i="63" s="1"/>
  <c r="J33" i="5"/>
  <c r="H33" i="5"/>
  <c r="K33" i="6"/>
  <c r="C33" i="7"/>
  <c r="E34" i="8" s="1"/>
  <c r="H33" i="107"/>
  <c r="F33" i="107"/>
  <c r="G33" i="130"/>
  <c r="D33" i="130"/>
  <c r="N33" i="120"/>
  <c r="J33" i="61" l="1"/>
  <c r="K33" i="61"/>
  <c r="C105" i="63"/>
  <c r="D104" i="63"/>
  <c r="J34" i="6"/>
  <c r="C33" i="9"/>
  <c r="E33" i="9"/>
  <c r="J33" i="9"/>
  <c r="C21" i="63"/>
  <c r="C22" i="63" s="1"/>
  <c r="F33" i="9"/>
  <c r="I33" i="65"/>
  <c r="Q33" i="73"/>
  <c r="O33" i="9"/>
  <c r="L33" i="9"/>
  <c r="D33" i="9"/>
  <c r="F33" i="6"/>
  <c r="K33" i="9"/>
  <c r="D33" i="6"/>
  <c r="E33" i="6"/>
  <c r="C39" i="98"/>
  <c r="E39" i="98" s="1"/>
  <c r="C23" i="63"/>
  <c r="C24" i="63" s="1"/>
  <c r="C9" i="63"/>
  <c r="C53" i="63"/>
  <c r="C55" i="63"/>
  <c r="G33" i="7"/>
  <c r="C36" i="63"/>
  <c r="C37" i="63" s="1"/>
  <c r="N33" i="9"/>
  <c r="E28" i="8"/>
  <c r="H33" i="130"/>
  <c r="M33" i="122"/>
  <c r="M33" i="125"/>
  <c r="Q33" i="78"/>
  <c r="I33" i="78"/>
  <c r="H33" i="9"/>
  <c r="I33" i="9"/>
  <c r="C19" i="63" s="1"/>
  <c r="C20" i="63" s="1"/>
  <c r="I33" i="73"/>
  <c r="M33" i="9"/>
  <c r="G33" i="6"/>
  <c r="J33" i="12"/>
  <c r="C35" i="63" s="1"/>
  <c r="G33" i="9"/>
  <c r="Q33" i="65"/>
  <c r="K33" i="5"/>
  <c r="F33" i="7"/>
  <c r="L32" i="107"/>
  <c r="C34" i="8" l="1"/>
  <c r="J34" i="7"/>
  <c r="C29" i="63"/>
  <c r="C31" i="63" s="1"/>
  <c r="J28" i="8"/>
  <c r="J34" i="8"/>
  <c r="I28" i="8"/>
  <c r="I34" i="8"/>
  <c r="H28" i="8"/>
  <c r="H34" i="8"/>
  <c r="L33" i="5"/>
  <c r="C33" i="6" s="1"/>
  <c r="C27" i="63"/>
  <c r="C28" i="63" s="1"/>
  <c r="C33" i="63"/>
  <c r="D33" i="7"/>
  <c r="E33" i="7" s="1"/>
  <c r="G34" i="8" s="1"/>
  <c r="I33" i="7"/>
  <c r="D35" i="8" l="1"/>
  <c r="C30" i="63"/>
  <c r="F28" i="8"/>
  <c r="F34" i="8"/>
  <c r="K28" i="8"/>
  <c r="K34" i="8"/>
  <c r="H33" i="6"/>
  <c r="C11" i="63" s="1"/>
  <c r="D12" i="63" s="1"/>
  <c r="G28" i="8"/>
  <c r="I33" i="6" l="1"/>
  <c r="C13" i="63" s="1"/>
  <c r="C15" i="63" s="1"/>
  <c r="D14" i="63" l="1"/>
  <c r="J33" i="6"/>
  <c r="C16" i="63" s="1"/>
  <c r="D17" i="63" s="1"/>
  <c r="J33" i="7" l="1"/>
  <c r="C33" i="8"/>
  <c r="G32" i="7"/>
  <c r="I33" i="8" s="1"/>
  <c r="E32" i="6"/>
  <c r="D32" i="6"/>
  <c r="J32" i="5"/>
  <c r="H32" i="5"/>
  <c r="K32" i="6"/>
  <c r="C32" i="7"/>
  <c r="E33" i="8" s="1"/>
  <c r="H32" i="107"/>
  <c r="F32" i="107"/>
  <c r="G32" i="130"/>
  <c r="D32" i="130"/>
  <c r="N32" i="120"/>
  <c r="K32" i="61" l="1"/>
  <c r="J32" i="61"/>
  <c r="D28" i="8"/>
  <c r="D34" i="8"/>
  <c r="L32" i="9"/>
  <c r="G32" i="9"/>
  <c r="Q32" i="78"/>
  <c r="H32" i="130"/>
  <c r="F32" i="9"/>
  <c r="M32" i="125"/>
  <c r="N32" i="9"/>
  <c r="J33" i="8"/>
  <c r="K32" i="9"/>
  <c r="F32" i="7"/>
  <c r="H33" i="8" s="1"/>
  <c r="M32" i="122"/>
  <c r="D32" i="9"/>
  <c r="O32" i="9"/>
  <c r="I32" i="73"/>
  <c r="I32" i="78"/>
  <c r="C32" i="9"/>
  <c r="Q32" i="73"/>
  <c r="G32" i="6"/>
  <c r="J32" i="9"/>
  <c r="Q32" i="65"/>
  <c r="F32" i="6"/>
  <c r="H32" i="9"/>
  <c r="M32" i="9"/>
  <c r="I32" i="65"/>
  <c r="E32" i="9"/>
  <c r="I32" i="9"/>
  <c r="J32" i="12"/>
  <c r="D32" i="7" s="1"/>
  <c r="F33" i="8" s="1"/>
  <c r="K32" i="5"/>
  <c r="L32" i="5" s="1"/>
  <c r="C32" i="6" s="1"/>
  <c r="H32" i="6" s="1"/>
  <c r="I32" i="7" l="1"/>
  <c r="E32" i="7"/>
  <c r="G33" i="8" s="1"/>
  <c r="I32" i="6"/>
  <c r="K33" i="8" l="1"/>
  <c r="J32" i="6"/>
  <c r="C32" i="8" l="1"/>
  <c r="D33" i="8" s="1"/>
  <c r="J32" i="7"/>
  <c r="O31" i="9" l="1"/>
  <c r="J31" i="5"/>
  <c r="H31" i="5"/>
  <c r="K31" i="6"/>
  <c r="C31" i="7"/>
  <c r="H31" i="107"/>
  <c r="F31" i="107"/>
  <c r="G31" i="130"/>
  <c r="D31" i="130"/>
  <c r="N31" i="120"/>
  <c r="K31" i="61" l="1"/>
  <c r="J31" i="61"/>
  <c r="E31" i="6"/>
  <c r="D31" i="6"/>
  <c r="K31" i="5"/>
  <c r="E32" i="8"/>
  <c r="F31" i="9"/>
  <c r="I31" i="9"/>
  <c r="H31" i="9"/>
  <c r="J31" i="9"/>
  <c r="H31" i="130"/>
  <c r="K31" i="9"/>
  <c r="G31" i="7"/>
  <c r="D31" i="9"/>
  <c r="J31" i="12"/>
  <c r="M31" i="9"/>
  <c r="F31" i="6"/>
  <c r="F31" i="7"/>
  <c r="E31" i="9"/>
  <c r="L31" i="9"/>
  <c r="I31" i="65"/>
  <c r="Q31" i="73"/>
  <c r="I31" i="78"/>
  <c r="M31" i="122"/>
  <c r="M31" i="125"/>
  <c r="Q31" i="78"/>
  <c r="G31" i="6"/>
  <c r="G31" i="9"/>
  <c r="I31" i="73"/>
  <c r="Q31" i="65"/>
  <c r="N31" i="9"/>
  <c r="C31" i="9"/>
  <c r="L31" i="5" l="1"/>
  <c r="C31" i="6" s="1"/>
  <c r="D31" i="7"/>
  <c r="H32" i="8"/>
  <c r="I32" i="8"/>
  <c r="J32" i="8"/>
  <c r="I31" i="7"/>
  <c r="F32" i="8" l="1"/>
  <c r="E31" i="7"/>
  <c r="H31" i="6"/>
  <c r="K32" i="8"/>
  <c r="G32" i="8" l="1"/>
  <c r="I31" i="6"/>
  <c r="J31" i="6" l="1"/>
  <c r="C104" i="63" l="1"/>
  <c r="J31" i="7"/>
  <c r="C31" i="8"/>
  <c r="D32" i="8" l="1"/>
  <c r="F31" i="93"/>
  <c r="C38" i="98" l="1"/>
  <c r="E38" i="98" s="1"/>
  <c r="C12" i="63" l="1"/>
  <c r="L22" i="125"/>
  <c r="K22" i="125"/>
  <c r="J22" i="125"/>
  <c r="I22" i="125"/>
  <c r="H22" i="125"/>
  <c r="G22" i="125"/>
  <c r="F22" i="125"/>
  <c r="E22" i="125"/>
  <c r="D22" i="125"/>
  <c r="C22" i="125"/>
  <c r="K19" i="6"/>
  <c r="C19" i="6"/>
  <c r="K18" i="6"/>
  <c r="C18" i="6"/>
  <c r="K17" i="6"/>
  <c r="C17" i="6"/>
  <c r="K16" i="6"/>
  <c r="C16" i="6"/>
  <c r="K15" i="6"/>
  <c r="C15" i="6"/>
  <c r="K14" i="6"/>
  <c r="C14" i="6"/>
  <c r="K13" i="6"/>
  <c r="C13" i="6"/>
  <c r="E16" i="6"/>
  <c r="E13" i="6"/>
  <c r="D13" i="6"/>
  <c r="E14" i="6"/>
  <c r="D14" i="6"/>
  <c r="E15" i="6"/>
  <c r="D15" i="6"/>
  <c r="D16" i="6"/>
  <c r="E17" i="6"/>
  <c r="D17" i="6"/>
  <c r="E18" i="6"/>
  <c r="D18" i="6"/>
  <c r="E19" i="6"/>
  <c r="D19" i="6"/>
  <c r="N22" i="125" l="1"/>
  <c r="J17" i="61"/>
  <c r="K17" i="61"/>
  <c r="J15" i="61"/>
  <c r="K15" i="61"/>
  <c r="J18" i="61"/>
  <c r="K18" i="61"/>
  <c r="K14" i="61"/>
  <c r="J14" i="61"/>
  <c r="J16" i="61"/>
  <c r="K16" i="61"/>
  <c r="J19" i="61"/>
  <c r="K19" i="61"/>
  <c r="K13" i="61"/>
  <c r="J13" i="61"/>
  <c r="H19" i="6"/>
  <c r="F15" i="6"/>
  <c r="G17" i="6"/>
  <c r="G14" i="6"/>
  <c r="G18" i="6"/>
  <c r="G15" i="6"/>
  <c r="G13" i="6"/>
  <c r="G16" i="6"/>
  <c r="H16" i="6"/>
  <c r="F14" i="6"/>
  <c r="F13" i="6"/>
  <c r="G19" i="6"/>
  <c r="F18" i="6"/>
  <c r="F17" i="6"/>
  <c r="F19" i="6"/>
  <c r="F16" i="6"/>
  <c r="H17" i="6"/>
  <c r="H18" i="6"/>
  <c r="H13" i="6"/>
  <c r="H15" i="6"/>
  <c r="H14" i="6"/>
  <c r="C14" i="63" l="1"/>
  <c r="I15" i="6"/>
  <c r="I19" i="6"/>
  <c r="C17" i="63"/>
  <c r="I18" i="6"/>
  <c r="I16" i="6"/>
  <c r="J16" i="6" s="1"/>
  <c r="I13" i="6"/>
  <c r="J13" i="6" s="1"/>
  <c r="I14" i="6"/>
  <c r="J14" i="6" s="1"/>
  <c r="I17" i="6"/>
  <c r="J15" i="6" l="1"/>
  <c r="J19" i="6"/>
  <c r="J18" i="6"/>
  <c r="J17" i="6"/>
  <c r="H22" i="110" l="1"/>
  <c r="L22" i="110"/>
  <c r="K22" i="110"/>
  <c r="J22" i="110"/>
  <c r="I22" i="110"/>
  <c r="G22" i="110"/>
  <c r="F22" i="110"/>
  <c r="E22" i="110"/>
  <c r="D22" i="110"/>
  <c r="C22" i="110"/>
  <c r="N22" i="122"/>
  <c r="L22" i="122"/>
  <c r="K22" i="122"/>
  <c r="J22" i="122"/>
  <c r="I22" i="122"/>
  <c r="H22" i="122"/>
  <c r="G22" i="122"/>
  <c r="F22" i="122"/>
  <c r="E22" i="122"/>
  <c r="D22" i="122"/>
  <c r="C22" i="122"/>
  <c r="M22" i="125" l="1"/>
  <c r="M22" i="122"/>
  <c r="F30" i="93" l="1"/>
  <c r="N22" i="119" l="1"/>
  <c r="M22" i="119"/>
  <c r="L22" i="119"/>
  <c r="K22" i="119"/>
  <c r="J22" i="119"/>
  <c r="I22" i="119"/>
  <c r="H22" i="119"/>
  <c r="G22" i="119"/>
  <c r="F22" i="119"/>
  <c r="E22" i="119"/>
  <c r="D22" i="119"/>
  <c r="C22" i="119"/>
  <c r="L22" i="107"/>
  <c r="K22" i="107"/>
  <c r="J22" i="107"/>
  <c r="I22" i="107"/>
  <c r="G22" i="107"/>
  <c r="E22" i="107"/>
  <c r="D22" i="107"/>
  <c r="C22" i="107"/>
  <c r="F22" i="90"/>
  <c r="E22" i="90"/>
  <c r="D22" i="90"/>
  <c r="M22" i="120"/>
  <c r="L22" i="120"/>
  <c r="K22" i="120"/>
  <c r="J22" i="120"/>
  <c r="I22" i="120"/>
  <c r="G22" i="120"/>
  <c r="F22" i="120"/>
  <c r="E22" i="120"/>
  <c r="D22" i="120"/>
  <c r="C22" i="120"/>
  <c r="R23" i="112"/>
  <c r="Q23" i="112"/>
  <c r="P23" i="112"/>
  <c r="O23" i="112"/>
  <c r="N23" i="112"/>
  <c r="M23" i="112"/>
  <c r="L23" i="112"/>
  <c r="K23" i="112"/>
  <c r="J23" i="112"/>
  <c r="I23" i="112"/>
  <c r="H23" i="112"/>
  <c r="G23" i="112"/>
  <c r="F23" i="112"/>
  <c r="E23" i="112"/>
  <c r="D23" i="112"/>
  <c r="C23" i="112"/>
  <c r="R23" i="113"/>
  <c r="Q23" i="113"/>
  <c r="P23" i="113"/>
  <c r="O23" i="113"/>
  <c r="N23" i="113"/>
  <c r="M23" i="113"/>
  <c r="L23" i="113"/>
  <c r="K23" i="113"/>
  <c r="J23" i="113"/>
  <c r="I23" i="113"/>
  <c r="H23" i="113"/>
  <c r="G23" i="113"/>
  <c r="F23" i="113"/>
  <c r="E23" i="113"/>
  <c r="D23" i="113"/>
  <c r="C23" i="113"/>
  <c r="N22" i="120" l="1"/>
  <c r="C37" i="98" l="1"/>
  <c r="E37" i="98" s="1"/>
  <c r="D18" i="93" l="1"/>
  <c r="E18" i="93"/>
  <c r="C18" i="93"/>
  <c r="F18" i="93" l="1"/>
  <c r="F29" i="93"/>
  <c r="C36" i="98" l="1"/>
  <c r="E36" i="98" s="1"/>
  <c r="E22" i="8" l="1"/>
  <c r="I22" i="8" l="1"/>
  <c r="H22" i="8"/>
  <c r="J22" i="8"/>
  <c r="F22" i="8" l="1"/>
  <c r="K22" i="8" l="1"/>
  <c r="G22" i="8" l="1"/>
  <c r="D22" i="8" l="1"/>
  <c r="F28" i="93" l="1"/>
  <c r="F27" i="93" l="1"/>
  <c r="G18" i="130"/>
  <c r="H18" i="130" s="1"/>
  <c r="G17" i="130"/>
  <c r="H17" i="130" s="1"/>
  <c r="G16" i="130"/>
  <c r="H16" i="130" s="1"/>
  <c r="G15" i="130"/>
  <c r="H15" i="130" s="1"/>
  <c r="G14" i="130"/>
  <c r="H14" i="130" s="1"/>
  <c r="G13" i="130"/>
  <c r="H13" i="130" s="1"/>
  <c r="F26" i="93"/>
  <c r="E32" i="98"/>
  <c r="R22" i="112"/>
  <c r="Q22" i="112"/>
  <c r="P22" i="112"/>
  <c r="O22" i="112"/>
  <c r="N22" i="112"/>
  <c r="M22" i="112"/>
  <c r="L22" i="112"/>
  <c r="K22" i="112"/>
  <c r="J22" i="112"/>
  <c r="I22" i="112"/>
  <c r="H22" i="112"/>
  <c r="G22" i="112"/>
  <c r="F22" i="112"/>
  <c r="E22" i="112"/>
  <c r="D22" i="112"/>
  <c r="C22" i="112"/>
  <c r="R22" i="113"/>
  <c r="Q22" i="113"/>
  <c r="P22" i="113"/>
  <c r="O22" i="113"/>
  <c r="N22" i="113"/>
  <c r="M22" i="113"/>
  <c r="L22" i="113"/>
  <c r="K22" i="113"/>
  <c r="J22" i="113"/>
  <c r="I22" i="113"/>
  <c r="H22" i="113"/>
  <c r="G22" i="113"/>
  <c r="F22" i="113"/>
  <c r="E22" i="113"/>
  <c r="D22" i="113"/>
  <c r="C22" i="113"/>
  <c r="F25" i="93"/>
  <c r="Q33" i="127"/>
  <c r="Q12" i="127"/>
  <c r="Q13" i="127"/>
  <c r="Q14" i="127"/>
  <c r="Q15" i="127"/>
  <c r="Q16" i="127"/>
  <c r="Q17" i="127"/>
  <c r="Q18" i="127"/>
  <c r="Q19" i="127"/>
  <c r="Q20" i="127"/>
  <c r="Q21" i="127"/>
  <c r="Q22" i="127"/>
  <c r="Q23" i="127"/>
  <c r="Q24" i="127"/>
  <c r="Q25" i="127"/>
  <c r="Q26" i="127"/>
  <c r="Q27" i="127"/>
  <c r="Q28" i="127"/>
  <c r="Q29" i="127"/>
  <c r="Q30" i="127"/>
  <c r="Q31" i="127"/>
  <c r="Q32" i="127"/>
  <c r="Q33" i="114"/>
  <c r="F24" i="93"/>
  <c r="Q32" i="114"/>
  <c r="Q31" i="114"/>
  <c r="Q30" i="114"/>
  <c r="Q29" i="114"/>
  <c r="Q28" i="114"/>
  <c r="Q27" i="114"/>
  <c r="Q26" i="114"/>
  <c r="Q25" i="114"/>
  <c r="Q24" i="114"/>
  <c r="Q23" i="114"/>
  <c r="Q22" i="114"/>
  <c r="Q21" i="114"/>
  <c r="Q20" i="114"/>
  <c r="Q19" i="114"/>
  <c r="Q18" i="114"/>
  <c r="Q17" i="114"/>
  <c r="Q16" i="114"/>
  <c r="Q15" i="114"/>
  <c r="Q14" i="114"/>
  <c r="Q13" i="114"/>
  <c r="E30" i="98"/>
  <c r="F23" i="93"/>
  <c r="E29" i="98"/>
  <c r="F22" i="93"/>
  <c r="R21" i="112"/>
  <c r="Q21" i="112"/>
  <c r="P21" i="112"/>
  <c r="O21" i="112"/>
  <c r="N21" i="112"/>
  <c r="M21" i="112"/>
  <c r="L21" i="112"/>
  <c r="K21" i="112"/>
  <c r="J21" i="112"/>
  <c r="I21" i="112"/>
  <c r="H21" i="112"/>
  <c r="G21" i="112"/>
  <c r="F21" i="112"/>
  <c r="E21" i="112"/>
  <c r="D21" i="112"/>
  <c r="C21" i="112"/>
  <c r="R21" i="113"/>
  <c r="Q21" i="113"/>
  <c r="P21" i="113"/>
  <c r="O21" i="113"/>
  <c r="N21" i="113"/>
  <c r="M21" i="113"/>
  <c r="L21" i="113"/>
  <c r="K21" i="113"/>
  <c r="J21" i="113"/>
  <c r="I21" i="113"/>
  <c r="H21" i="113"/>
  <c r="G21" i="113"/>
  <c r="F21" i="113"/>
  <c r="E21" i="113"/>
  <c r="D21" i="113"/>
  <c r="C21" i="113"/>
  <c r="F21" i="93"/>
  <c r="E27" i="98"/>
  <c r="F20" i="93"/>
  <c r="E23" i="98"/>
  <c r="E22" i="98"/>
  <c r="E21" i="98"/>
  <c r="E18" i="98"/>
  <c r="E17" i="98"/>
  <c r="E16" i="98"/>
  <c r="E15" i="98"/>
  <c r="E13" i="98"/>
  <c r="E12" i="98"/>
  <c r="E11" i="98"/>
  <c r="E10" i="98"/>
  <c r="E9" i="98"/>
  <c r="H13" i="107"/>
  <c r="F13" i="107"/>
  <c r="F11" i="93"/>
  <c r="C35" i="98" l="1"/>
  <c r="E35" i="98" s="1"/>
  <c r="E34" i="98"/>
  <c r="E31" i="98"/>
  <c r="E33" i="98"/>
  <c r="E28" i="98"/>
  <c r="C83" i="63" l="1"/>
  <c r="D83" i="63"/>
  <c r="C84" i="63"/>
  <c r="D84" i="63"/>
  <c r="C85" i="63" l="1"/>
  <c r="C82" i="63" l="1"/>
  <c r="C80" i="63"/>
  <c r="C81" i="63" s="1"/>
  <c r="D85" i="63" l="1"/>
  <c r="D80" i="63" l="1"/>
  <c r="D81" i="63" s="1"/>
  <c r="D82" i="63"/>
  <c r="Y16" i="76"/>
  <c r="V15" i="76"/>
</calcChain>
</file>

<file path=xl/sharedStrings.xml><?xml version="1.0" encoding="utf-8"?>
<sst xmlns="http://schemas.openxmlformats.org/spreadsheetml/2006/main" count="5361" uniqueCount="1790">
  <si>
    <t>Banking Statistics</t>
  </si>
  <si>
    <t>الإحصاءات المصرفية</t>
  </si>
  <si>
    <t>Money &amp; Banking</t>
  </si>
  <si>
    <t>النقود والمصارف</t>
  </si>
  <si>
    <t>Central Bank of Bahrain - Assets/Liabilities</t>
  </si>
  <si>
    <t>مصرف البحرين المركزي - الموجودات/المطلوبات</t>
  </si>
  <si>
    <t>Currency</t>
  </si>
  <si>
    <t>النقد</t>
  </si>
  <si>
    <t>Money Supply</t>
  </si>
  <si>
    <t>عرض النقد</t>
  </si>
  <si>
    <t>Monetary Survey</t>
  </si>
  <si>
    <t>المسح النقدي</t>
  </si>
  <si>
    <t>Factors Affecting Changes in Money Supply</t>
  </si>
  <si>
    <t>العوامل المؤثرة في عرض النقد</t>
  </si>
  <si>
    <t>BD Exchange Rates Against Selected Currencies</t>
  </si>
  <si>
    <t>أسعار صرف الدينار البحريني مقابل بعض العملات المختارة</t>
  </si>
  <si>
    <t>Conventional Retail Banks - BD Interest Rates on Deposits and Loans</t>
  </si>
  <si>
    <t>مصارف قطاع التجزئة التقليدية - أسعار الفائدة على الودائع والقروض بالدينار البحريني</t>
  </si>
  <si>
    <t>Conventional Retail Banks - BD Interest Rates on Personal &amp; Business Loans by Banks</t>
  </si>
  <si>
    <t>مصارف قطاع التجزئة التقليدية - أسعار الفائدة على القروض الشخصية وقروض قطاع الأعمال حسب المصارف</t>
  </si>
  <si>
    <t>Islamic Retail Banks - Rates of Profit on BD Deposits &amp; Loans</t>
  </si>
  <si>
    <t>مصارف قطاع التجزئة الإسلامية - معدلات الربح على الودائع والقروض بالدينار البحريني</t>
  </si>
  <si>
    <t>Islamic Retail Banks - Rates of Profit on Personal and Business Loans by Banks</t>
  </si>
  <si>
    <t>مصارف قطاع التجزئة الإسلامية - معدلات الربح على القروض الشخصية وقروض قطاع الأعمال حسب المصارف</t>
  </si>
  <si>
    <t>Government of Bahrain Treasury Bills</t>
  </si>
  <si>
    <t>أذونات الخزانة لحكومة البحرين</t>
  </si>
  <si>
    <t>Public Debt Instruments</t>
  </si>
  <si>
    <t>أدوات الدين العام</t>
  </si>
  <si>
    <t>Aggregated Balance Sheet of the Banking System: Retail Banks &amp; Wholesale Banks</t>
  </si>
  <si>
    <t>الميزانية الموحدة للجهاز المصرفي:  مصارف قطاع التجزئة ومصارف قطاع الجملة</t>
  </si>
  <si>
    <t>Retail Banks</t>
  </si>
  <si>
    <t>مصارف قطاع التجزئة</t>
  </si>
  <si>
    <t>Aggregated Balance Sheet - Assets</t>
  </si>
  <si>
    <t>الميزانية الموحدة - الموجودات</t>
  </si>
  <si>
    <t>Aggregated Balance Sheet - Liabilities</t>
  </si>
  <si>
    <t>الميزانية الموحدة - المطلوبات</t>
  </si>
  <si>
    <t>Foreign Assets and Liabilities</t>
  </si>
  <si>
    <t>الموجودات والمطلوبات الأجنبية</t>
  </si>
  <si>
    <t>Assets by Currency</t>
  </si>
  <si>
    <t>الموجودات حسب العملات</t>
  </si>
  <si>
    <t>Liabilities by Currency</t>
  </si>
  <si>
    <t>المطلوبات حسب العملات</t>
  </si>
  <si>
    <t>Deposit Liabilities to Non-Banks</t>
  </si>
  <si>
    <t>الودائع من غير المصارف</t>
  </si>
  <si>
    <t>Outstanding Loans and Advances to Non-Bank Residents by Economic Sector</t>
  </si>
  <si>
    <t>توزيع إجمالي القروض والتسهيلات حسب القطاعات الاقتصادية المقيمة (باستثناء المصارف)</t>
  </si>
  <si>
    <t>Distribution of Outstanding Loans and Advances to Business Sector by International Standard Industrial Classification of All Economic Activities</t>
  </si>
  <si>
    <t>توزيع إجمالي قروض وتسهيلات قطاع الأعمال حسب التصنيف الصناعي الدولي الموحد لجميع الأنشطة الاقتصادية</t>
  </si>
  <si>
    <t>Outstanding Loans and Advances to Non-Bank Residents-Banks and Financing Companies</t>
  </si>
  <si>
    <t>توزيع إجمالي القروض والتسهيلات لغير المصارف-المصارف وشركات التمويل</t>
  </si>
  <si>
    <t>Geographical Classification of Assets and Liabilities</t>
  </si>
  <si>
    <t>الموجودات والمطلوبات حسب التصنيف الجغرافي</t>
  </si>
  <si>
    <t>Classification of Assets and Liabilities by Major Currencies</t>
  </si>
  <si>
    <t>الموجودات والمطلوبات حسب أهم العملات</t>
  </si>
  <si>
    <t>Selected Banking Indicators</t>
  </si>
  <si>
    <t>مؤشرات مصرفية مختارة</t>
  </si>
  <si>
    <t>Conventional Retail Banks: Aggregated Balance Sheet of Islamic Windows - Assets</t>
  </si>
  <si>
    <t>مصارف قطاع التجزئة التقليدية: الميزانية الموحدة للنوافذ الإسلامية - الموجودات</t>
  </si>
  <si>
    <t>Conventional Retail Banks: Aggregated Balance Sheet of Islamic Windows - Liabilities</t>
  </si>
  <si>
    <t>مصارف قطاع التجزئة التقليدية: الميزانية الموحدة للنوافذ الإسلامية - المطلوبات</t>
  </si>
  <si>
    <t>Wholesale Banks</t>
  </si>
  <si>
    <t>مصارف قطاع الجملة</t>
  </si>
  <si>
    <t>Islamic Banks</t>
  </si>
  <si>
    <t>المصارف الإسلامية</t>
  </si>
  <si>
    <t>Classification of Restricted &amp; Unrestricted account for Islamic Banks (Consolidated)</t>
  </si>
  <si>
    <t>الحسابات المقيدة وغير المقيدة للمصارف الإسلامية (مجمعة)</t>
  </si>
  <si>
    <t>Financial Soundness Indicators</t>
  </si>
  <si>
    <t>مؤشرا ت السلامة المالية للقطاع المصرفي</t>
  </si>
  <si>
    <t>Financial Soundness Indicators - Entire Banking Sector</t>
  </si>
  <si>
    <t>Financial Soundness Indicators - Conventional Banks</t>
  </si>
  <si>
    <t>مؤشرا ت السلامة المالية للقطاع المصرفي - المصارف التقليدية</t>
  </si>
  <si>
    <t>Financial Soundness Indicators - Islamic Banks</t>
  </si>
  <si>
    <t>مؤشرا ت السلامة المالية للقطاع المصرفي - المصارف الإسلامية</t>
  </si>
  <si>
    <t>Investment Business Firms</t>
  </si>
  <si>
    <t>شركات أعمال استثمارية</t>
  </si>
  <si>
    <t>Money Changers: Aggregated Balance Sheet</t>
  </si>
  <si>
    <t>الميزانية الموحدة لمكاتب الصرافة</t>
  </si>
  <si>
    <t>Payment Systems</t>
  </si>
  <si>
    <t xml:space="preserve">أنظمة المدفوعات </t>
  </si>
  <si>
    <t>Bahrain Cheque Truncation System (BCTS) - Returned Cheques</t>
  </si>
  <si>
    <t>نظام البحرين لمقاصة الشيكات الإلكتروني - الشيكات المرتجعة</t>
  </si>
  <si>
    <t>Point of Sales Transactions</t>
  </si>
  <si>
    <t>عمليات نقاط البيع</t>
  </si>
  <si>
    <t>Points of Sales Transactions by Sectors - Credit Cards issued in Bahrain</t>
  </si>
  <si>
    <t>عمليات نقاط البيع حسب القطاعات - بطاقات الائتمان المصدرة في البحرين</t>
  </si>
  <si>
    <t>Points of Sales Transactions by Sectors - Credit Cards issued Outside Bahrain</t>
  </si>
  <si>
    <t>عمليات نقاط البيع حسب القطاعات - بطاقات الائتمان المصدرة خارج البحرين</t>
  </si>
  <si>
    <t>Points of Sales Transactions by Sectors - Debit Cards issued in Bahrain</t>
  </si>
  <si>
    <t>عمليات نقاط البيع حسب القطاعات - بطاقات الخصم المصدرة في البحرين</t>
  </si>
  <si>
    <t>Points of Sales Transactions by Sectors - Debit Cards issued Outside Bahrain</t>
  </si>
  <si>
    <t>عمليات نقاط البيع حسب القطاعات - بطاقات الخصم المصدرة خارج البحرين</t>
  </si>
  <si>
    <t>Number of Point of Sales Transactions by Card-Issuer Country</t>
  </si>
  <si>
    <t>عدد عمليات نقاط البيع حسب الدول المصدرة للبطاقة</t>
  </si>
  <si>
    <t>Value of Point of Sales Transactions by Card-Issuer Country</t>
  </si>
  <si>
    <t>قيمة عمليات نقاط البيع حسب الدول المصدرة للبطاقة</t>
  </si>
  <si>
    <t>Economic Statistics</t>
  </si>
  <si>
    <t>الإحصاءات الاقتصادية</t>
  </si>
  <si>
    <t>Number of Employees in the Financial Sector</t>
  </si>
  <si>
    <t>عدد العاملين في القطاع المالي</t>
  </si>
  <si>
    <t>Balance of Payments</t>
  </si>
  <si>
    <t>ميزان المدفوعات</t>
  </si>
  <si>
    <t>International Investment Position</t>
  </si>
  <si>
    <t>وضع الاستثمار الدولي</t>
  </si>
  <si>
    <t>International Official Reserves</t>
  </si>
  <si>
    <t>الاحتياطـيـات الرسمية الدوليـة</t>
  </si>
  <si>
    <t>Bahrain Bourse</t>
  </si>
  <si>
    <t>بورصة البحرين</t>
  </si>
  <si>
    <t>Market Indicators of Listed Companies</t>
  </si>
  <si>
    <t xml:space="preserve"> مؤشرات التداول للشركات المساهمة العامة</t>
  </si>
  <si>
    <t>Value of Shares Traded by Sector</t>
  </si>
  <si>
    <t xml:space="preserve"> قيمة الأسهم المتداولة حسب القطاعات</t>
  </si>
  <si>
    <t>Bahrain Index by Sector</t>
  </si>
  <si>
    <t xml:space="preserve"> مؤشر الأسعار حسب القطاعات</t>
  </si>
  <si>
    <t>Trading value of investors' participation and % of shares ownership in listed companies</t>
  </si>
  <si>
    <t>قيمة تعاملات المستثمرين في السوق ونسب التملك في أسهم الشركات المساهمة العامة المسجلة</t>
  </si>
  <si>
    <t>Mutual Funds</t>
  </si>
  <si>
    <t>صناديق الاستثمار</t>
  </si>
  <si>
    <t xml:space="preserve"> </t>
  </si>
  <si>
    <t>Statistical Bulletin Metadata</t>
  </si>
  <si>
    <t>I. Coverage Characteristics</t>
  </si>
  <si>
    <t>Purpose of the study</t>
  </si>
  <si>
    <t>To disseminate financial and monetary data for our statistical bulletin publication that is reliable and comparable based on international standards to policy makers and other data users.</t>
  </si>
  <si>
    <t>General description of data</t>
  </si>
  <si>
    <t>The statistical bulletin gathers financial, monetary statistics from the Central Bank of Bahrain and other entities that is systematically recorded and divided by sector.</t>
  </si>
  <si>
    <t>Classification System</t>
  </si>
  <si>
    <t xml:space="preserve">Based on international Standards set forth in The Special Data Dissemination Standard (SDDS) by the International Monetary Fund. </t>
  </si>
  <si>
    <t>Statistical Population</t>
  </si>
  <si>
    <t>The subject of the study of the statistical bulletin are CBB licensees. This includes all banks, retail and wholesale, conventional and Islamic. Also, other non-banking financial institutions are included.</t>
  </si>
  <si>
    <t>Data Users</t>
  </si>
  <si>
    <t>Public institutions and organizations such as: Ministry of Finance and National Economy (MOFNE), Ministry of Trade and Industry, Bahrain Economic Development Board (EDB), international organizations such as International Monetary Fund (IMF), The Arab Monetary Fund (AMF), Rating Agencies,  financial institutions, and other users.</t>
  </si>
  <si>
    <t xml:space="preserve">Reference Area </t>
  </si>
  <si>
    <t xml:space="preserve">Bahrain </t>
  </si>
  <si>
    <t>Residency</t>
  </si>
  <si>
    <t>• For many entries on the returns, it is necessary to classify customers or counter-parties as “residents” or “non-residents” of Bahrain.  Residents are entities that are physically located in Bahrain, whether or not associated with an institution that is located outside Bahrain, and irrespective of nationality of the underlying ownership.  Conversely, non-residents are entities located outside Bahrain, whether or not owned--wholly or in part--by entities inside Bahrain.  With regard to individuals, persons who are long-term residents, or have their “economic center of interest” in Bahrain are to be classified as residents, irrespective of nationality.
• Assets and Liabilities of the reporting bank are to be broken down by the “bank” or “non-bank” character of the counter-party, the country of its residence and currency. 
•In the BOP and IIP, only retail banks and locally incorporated wholesale banks licensed by the CBB are treated as residents.</t>
  </si>
  <si>
    <t>Sector Coverage</t>
  </si>
  <si>
    <t>General Government (includes Central Government and Social Insurance), Central Bank, banks, other sectors (other financial and nonfinancial corporations).</t>
  </si>
  <si>
    <t xml:space="preserve">Time Coverage </t>
  </si>
  <si>
    <t xml:space="preserve">Data are compiled by the Central Bank of Bahrain since 2001, and are available on monthly basis. </t>
  </si>
  <si>
    <t xml:space="preserve">Statistical Concepts and Definitions </t>
  </si>
  <si>
    <t>Monetary Statistics</t>
  </si>
  <si>
    <t>Concept</t>
  </si>
  <si>
    <t>Description</t>
  </si>
  <si>
    <t>Periodicity</t>
  </si>
  <si>
    <t>Tables</t>
  </si>
  <si>
    <t>Scale</t>
  </si>
  <si>
    <t xml:space="preserve">• Money supply is the total value of money in an economy. 
• This table shows M0,M1,M2,M3. M0 describes the monetary base of the economy (Currency in circulation + Bank deposits in the Central Bank of Bahrain). 
• M1 is a narrow measure of money supply that consists of the most liquid portions of money (Currency in Circulation + Demand deposits). 
• M2 is a broader measure of money supply than M1 (M1 + Time and Saving deposits).
• M3 is the broadest definition of money supply and it includes the least liquid portions of money (M2 + General Government Deposits).
</t>
  </si>
  <si>
    <t>Monthly</t>
  </si>
  <si>
    <t>BD</t>
  </si>
  <si>
    <t>Million</t>
  </si>
  <si>
    <t xml:space="preserve">• It displays the components of M3 in terms of net foreign assets and domestic assets. 
• Domestic Assets include Claims on General Government and Claims on Private Sector, in addition to other net assets.  
</t>
  </si>
  <si>
    <t>Interest Rates on Deposits and Loans</t>
  </si>
  <si>
    <t xml:space="preserve">Historical data on the average interest on Deposits and Loans with a sectoral breakdown is provided. The data is also provided by conventional retail banks. </t>
  </si>
  <si>
    <t>7-8</t>
  </si>
  <si>
    <t>NA</t>
  </si>
  <si>
    <t>% Per Annum</t>
  </si>
  <si>
    <t>Rates of Profit on BD Deposits &amp; Loans</t>
  </si>
  <si>
    <t xml:space="preserve">Historical data on the average rate of profit on Deposits and Loans with a sectoral breakdown is provided. The data is also provided by Islamic retail banks. </t>
  </si>
  <si>
    <t>9-10</t>
  </si>
  <si>
    <t xml:space="preserve">• Public Debt is measured in terms of treasury bills and securities. 
• Conventional instruments include development bonds and treasury bills with a maturity of 91 days, 182 days, 12 months. 
• Islamic instruments includes Islamic Leasing securities and Al Salam securities. Sukuk or Islamic securities can be issued in BD or USD, and an exchange rate of 0.376 is used when evaluating USD government securities in BD.  </t>
  </si>
  <si>
    <t>11-12</t>
  </si>
  <si>
    <t xml:space="preserve">Balance Sheet of The Central Bank of Bahrain </t>
  </si>
  <si>
    <t xml:space="preserve">• Assets are divided into foreign and domestic. Foreign Assets include Foreign Exchange Reserves and Gold. A fixed value of 2.5 is recorded for monetary gold.
• Domestic Assets are presented in terms of claims on government, claims on banks and others.
• Liabilities include Foreign Liabilities and Domestic Liabilities such as Currency in Circulation, Liabilities to Banks and Non-Banks, Central Government Deposits, Capital Reserves and others.
</t>
  </si>
  <si>
    <t>Aggregated Balance Sheet of the Banking System</t>
  </si>
  <si>
    <t xml:space="preserve">• The aggregate balance sheet covers all the banking system excluding the balance sheet of The Central Bank of Bahrain. 
• Balance sheets are also provided by sector; Retail, wholesale, and Islamic. Each sectoral balance sheet is divided into two tables of Assets and Liabilities. 
• Domestic Assets include Cash, Central Bank, Banks, Non Banks, and General Government. 
</t>
  </si>
  <si>
    <t>USD</t>
  </si>
  <si>
    <t>Aggregated Balance Sheet of Retail Banks</t>
  </si>
  <si>
    <t xml:space="preserve">• In the Retail Sector, Net Foreign Assets are calculated, as well as the deposit liabilities. 
• A table is also provided to segment loans provided to non-bank residents by industrial sector, personal sector, and general government, excluding securities. 
• A classification of the balance sheet is also provided by currency and geographical locations. </t>
  </si>
  <si>
    <t>14-27</t>
  </si>
  <si>
    <t>Aggregated Balance Sheet of Wholesale Banks</t>
  </si>
  <si>
    <t xml:space="preserve">• In the wholesale Sector, Assets and Liabilities are divided into two table, in addition to the currency and geographical classification tables. </t>
  </si>
  <si>
    <t>28-31</t>
  </si>
  <si>
    <t>Aggregated Balance Sheet of Islamic Banks</t>
  </si>
  <si>
    <t>• In the Islamic Sector, both retail and wholesale banks are included. 
• Separate tables are provided for Assets and Liabilities, along with currency and geographical classification.  
• Further classification by restricted and unrestricted investment accounts, resident and non-resident, is also provided.</t>
  </si>
  <si>
    <t>32-36</t>
  </si>
  <si>
    <t xml:space="preserve">• Investment Business Firms Assets are divided by the three categories.
• Assets include Balance Sheet Assets and Assets Under Management, resident and non-resident.
</t>
  </si>
  <si>
    <t>Quarterly</t>
  </si>
  <si>
    <t>40</t>
  </si>
  <si>
    <t>Aggregated Balance Sheet of Money Changers</t>
  </si>
  <si>
    <t xml:space="preserve">• Domestic Assets include Cash, Deposits from Banks, Due from others, and other assets.
• Domestic Liabilities include Loans from Banks, Due to Others, Reserves and Equity, and other liabilities.
</t>
  </si>
  <si>
    <t>41</t>
  </si>
  <si>
    <t>Thousand</t>
  </si>
  <si>
    <t xml:space="preserve">Four payment systems are available to conduct transactions: 
• Real Time Gross Settlement for customer and inter-bank transactions, which is divided by customer transactions and interbank transactions.
• Electronic Funds Transfer System (EFTS)
• ATM Withdrawal Transactions
• Electronic Bill Payment and Presentment (EBPP)
Bahrain Cheque Truncation System (BCTS); Returned Cheques are also provided by volume and value along with the reasons (Technical or Financial Reasons). </t>
  </si>
  <si>
    <t>42-43</t>
  </si>
  <si>
    <t>• In this section, the number of transaction and their values are displayed for both debit and credit cards issued inside and outside Bahrain.
• Classification of POS transactions is provided by sector.
• Volume and value of Point of Sales Transactions by Card-Issuer Country (Excluding Bahrain).</t>
  </si>
  <si>
    <t>44-50</t>
  </si>
  <si>
    <t>Economic And Capital Market Statistics</t>
  </si>
  <si>
    <t>Includes the total number of employees under the banking and financial sector classified by sub-sectors, Bahraini and non-Bahraini, and by gender.</t>
  </si>
  <si>
    <t>51</t>
  </si>
  <si>
    <t>Number of Individuals</t>
  </si>
  <si>
    <t>The International Investment Position (IIP) is covered in terms of Foreign Assets and Foreign Liabilities.</t>
  </si>
  <si>
    <t>53</t>
  </si>
  <si>
    <t>This table reports the official reserves of Bahrain, which includes monetary gold, Special Drawing Rights (SDRs), IMF reserve position, and foreign currencies.</t>
  </si>
  <si>
    <t>54</t>
  </si>
  <si>
    <t xml:space="preserve">Bahrain Bourse </t>
  </si>
  <si>
    <t xml:space="preserve">• This section covers the stock market regulated by Bahrain Bourse. 
• It provides the number of companies along with the volume and value of shares traded. It also classifies the value of shares traded according to sector. 
• In addition, it covers market indicators like the capitalization and the turnover rate. 
• It also provides the trading value of investors' participation and percentage of shares ownership in listed companies on quarterly basis. </t>
  </si>
  <si>
    <t>Monthly/
Quarterly</t>
  </si>
  <si>
    <t>55-58</t>
  </si>
  <si>
    <t xml:space="preserve">Mutual Funds </t>
  </si>
  <si>
    <t xml:space="preserve">Mutual funds are professionally managed investment funds that are segmented in terms of type of bank or type of investor, whether an individual investor or an institution. </t>
  </si>
  <si>
    <t>Financial Statistics</t>
  </si>
  <si>
    <t>Financial Soundness Indicators are calculated for the overall banking sector and the following banking segments: Conventional Retail and Conventional Wholesale, Islamic Retail and Islamic Wholesale. The Data covers the following core indicators:
• Capital Adequacy Ratio (CAR)
• Tier 1 Capital Adequacy Ratio (Tier 1 CAR)
• Non-Performing Loans Ratio (NPL)
• Specific Provisioning
• Return on Assets (ROA)
• Return on Equity (ROE)
• Liquidity Ratio (LR)
• Loan/deposit Ratio</t>
  </si>
  <si>
    <t>37-39</t>
  </si>
  <si>
    <t>%</t>
  </si>
  <si>
    <t>II. Periodicity and Access</t>
  </si>
  <si>
    <t xml:space="preserve">Frequency of data collection: Monthly </t>
  </si>
  <si>
    <t>Frequency of dissemination: Monthly</t>
  </si>
  <si>
    <t>Timeliness</t>
  </si>
  <si>
    <t xml:space="preserve">Average production time for each release of data: 21 days </t>
  </si>
  <si>
    <t>Time lag: 30 days</t>
  </si>
  <si>
    <t>Revisions</t>
  </si>
  <si>
    <t>Data is revised and updated on the official website whenever needed.</t>
  </si>
  <si>
    <t>Access by The Public</t>
  </si>
  <si>
    <t>The data is published simultaneously every end of a month and are available on the CBB website (https://www.cbb.gov.bh/publications) along with a press release (https://www.cbb.gov.bh/media-center). In addition, the CBB Media Team sends a press release prepared by the Statistics Unit to public newspapers. The level of detail of the statistics is adapted to the need of the intended audience and any further detailed or partial statistics can be made available upon an official written request.  All users must be given equal treatment and equal access to statistical information.</t>
  </si>
  <si>
    <t xml:space="preserve">III. Integrity </t>
  </si>
  <si>
    <t>Responsibility for collecting, processing, and disseminating statistics</t>
  </si>
  <si>
    <t>The Financial Stability Directorate has the ability to gather information based on the power of the Central Bank to collect information given in articles (111), (112), and (113) of the CBB Law. The Statistical Research Division in the Financial Stability Directorate (FSD) is responsible for collecting and compiling the monthly statistical returns to generate the financial and monetary statistics. Some data is collected from other internal directorates and external entities. However, other employees have no access to the data prior to publication. In case of any technical issues, technical support by the Information Technology Directorate is provided.</t>
  </si>
  <si>
    <t>Confidentiality of individual reporters' data</t>
  </si>
  <si>
    <t xml:space="preserve">According to the CBB, the data is published for statistical purposes on an aggregate level and personal and private information of any licensed institution or private body shall not be disclosed.  </t>
  </si>
  <si>
    <t>Impartiality of statistics</t>
  </si>
  <si>
    <t>The data reflected in the tables is obtained from related internal directorates within the CBB and other reliable and credible independent entities  and are checked in coordination for necessary amendments.</t>
  </si>
  <si>
    <t>Data Sources</t>
  </si>
  <si>
    <t>Central Bank of Bahrain (CBB), Ministry of Finance and National Economy (MOFNE), Bahrain Bourse, Information and e-Government Authority (IGA).</t>
  </si>
  <si>
    <t>Commenting on erroneous interpretation and misuse of statistics</t>
  </si>
  <si>
    <t xml:space="preserve">The CBB issues a press release that highlights important information in a way to avoid misinterpretation. However, in case of misinterpretation or misuse of data, the CBB responds on a case by case basis by addressing each incident with corrected data and interpretation. </t>
  </si>
  <si>
    <t>IV. Quality</t>
  </si>
  <si>
    <t xml:space="preserve">The data is explained in this metadata Section. All statistics in the same data set are consistent internally. Methodological Soundness is highly valued and the overall structure of data is internationally comparable. </t>
  </si>
  <si>
    <t>V. Additional Notes</t>
  </si>
  <si>
    <t>Last Updated: October 30th, 2025</t>
  </si>
  <si>
    <t>المؤشرات المصرفية والنقدية والمالية</t>
  </si>
  <si>
    <t>Banking, Financial and Monetary Indicators</t>
  </si>
  <si>
    <t>SECTORS</t>
  </si>
  <si>
    <t>القطاعات</t>
  </si>
  <si>
    <t>الفصل</t>
  </si>
  <si>
    <t>الثالث</t>
  </si>
  <si>
    <t>الرابع</t>
  </si>
  <si>
    <t>الأول</t>
  </si>
  <si>
    <t>الثاني</t>
  </si>
  <si>
    <t>Q3</t>
  </si>
  <si>
    <t>Q4</t>
  </si>
  <si>
    <t>Q1</t>
  </si>
  <si>
    <t>Q2</t>
  </si>
  <si>
    <t>Central Bank of Bahrain (B.D. Million)</t>
  </si>
  <si>
    <t>مصرف البحرين المركزي (مليون دينار)</t>
  </si>
  <si>
    <t>Total Assets/Liabilities</t>
  </si>
  <si>
    <t>إجمالي الموجودات / المطلوبات</t>
  </si>
  <si>
    <t>Money Supply (B.D. Million)</t>
  </si>
  <si>
    <t>عرض النقد (مليون دينار)</t>
  </si>
  <si>
    <t>M1</t>
  </si>
  <si>
    <t>ن1</t>
  </si>
  <si>
    <t>Growth Rate %</t>
  </si>
  <si>
    <t>M2</t>
  </si>
  <si>
    <t>ن2</t>
  </si>
  <si>
    <t>As % of GDP</t>
  </si>
  <si>
    <t>كنسبة من الناتج المحلي الإجمالي</t>
  </si>
  <si>
    <t>M3</t>
  </si>
  <si>
    <t>ن3</t>
  </si>
  <si>
    <t>Banking System</t>
  </si>
  <si>
    <t>الجهاز المصرفي</t>
  </si>
  <si>
    <t>Aggregated Balance Sheet of Banking System (USD Million)</t>
  </si>
  <si>
    <t>الميزانية الموحدة للجهاز المصرفي (مليون دولار)</t>
  </si>
  <si>
    <t>Aggregated Balance Sheet of Retail Banks (USD Million)</t>
  </si>
  <si>
    <t>الميزانية الموحدة لمصارف قطاع التجزئة (مليون دولار)</t>
  </si>
  <si>
    <t>Aggregated Balance Sheet of Wholesale Banks (USD Million)</t>
  </si>
  <si>
    <t>الميزانية الموحدة لمصارف قطاع الجملة (مليون دولار)</t>
  </si>
  <si>
    <t>Aggregated Balance Sheet of Islamic Banks (USD Million)</t>
  </si>
  <si>
    <t>الميزانية الموحدة للمصارف الإسلامية (مليون دولار)</t>
  </si>
  <si>
    <t>Total Domestic Assets of the Banking System (USD Million)</t>
  </si>
  <si>
    <t>إجمالي الموجودات المحلية للجهاز المصرفي (مليون دولار)</t>
  </si>
  <si>
    <t>Total Foreign Liabilities of the Banking System (USD Million)</t>
  </si>
  <si>
    <t>إجمالي المطلوبات الأجنبية للجهاز المصرفي (مليون دولار)</t>
  </si>
  <si>
    <t>As % of Total Liabilities</t>
  </si>
  <si>
    <t>كنسبة من مجموع مطلوبات الجهاز المصرفي</t>
  </si>
  <si>
    <t>Total Equity of the Banking System (USD Million)</t>
  </si>
  <si>
    <t>مجموع حقوق الملكية للجهاز المصرفي (مليون دولار)</t>
  </si>
  <si>
    <t>As % Total Liabilities</t>
  </si>
  <si>
    <t>كنسبة من إجمالي المطلوبات</t>
  </si>
  <si>
    <t>Retail Banks (FCB)</t>
  </si>
  <si>
    <t xml:space="preserve">Net Foreign Assets (B.D. Million) </t>
  </si>
  <si>
    <t>صافي الموجودات الأجنبية (مليون دينار)</t>
  </si>
  <si>
    <t>Total Local Deposits (B.D. Million) *</t>
  </si>
  <si>
    <t>مجموع الودائع المحلية (مليون دينار) *</t>
  </si>
  <si>
    <t xml:space="preserve">Total Outstanding Loans to Residents (B.D. Million) </t>
  </si>
  <si>
    <t>الرصيد القائم للقروض المقدمة للقطاعات المقيمة (مليون دينار)</t>
  </si>
  <si>
    <t>*  Includes BD &amp; FC deposits.</t>
  </si>
  <si>
    <t>*  تشمل الودائع بالدينار البحريني والعملات الأجنبية.</t>
  </si>
  <si>
    <t>Interest Rates</t>
  </si>
  <si>
    <t>أسعار الفائدة</t>
  </si>
  <si>
    <t>Average Interest Rate on Personal Loans</t>
  </si>
  <si>
    <t>متوسط نسبة الفائدة على القروض الشخصية</t>
  </si>
  <si>
    <t>Average Interest Rate on Business Loans (Excludes Overdraft Approvals)</t>
  </si>
  <si>
    <t>متوسط نسبة الفائدة على قروض قطاع الأعمال (لا يشمل السحب على المكشوف)</t>
  </si>
  <si>
    <t>Average Interest Rate on Deposits (6-12 Months)</t>
  </si>
  <si>
    <t>متوسط نسبة الفائدة على الودائع (6-12 شهر)</t>
  </si>
  <si>
    <t>Money Market Rate/Inter- Bank Rate % *</t>
  </si>
  <si>
    <t>Average Interest Rate - 3 Months</t>
  </si>
  <si>
    <t>متوسط أسعار الفائدة - ثلاثة شهور</t>
  </si>
  <si>
    <t>Average Interest Rate - 6 Months</t>
  </si>
  <si>
    <t>متوسط أسعار الفائدة - ستة شهور</t>
  </si>
  <si>
    <t>Repos</t>
  </si>
  <si>
    <t>متوسط أسعار الفائدة لعقود إعادة الشراء</t>
  </si>
  <si>
    <t>Yield on Short-Term Treasury Bills %</t>
  </si>
  <si>
    <t>Average Interest Rate - 12 Months</t>
  </si>
  <si>
    <t>متوسط أسعار الفائدة - أثنى عشر شهرا</t>
  </si>
  <si>
    <t>Average of Return on Short-Term Islamic Al-Salam Securities</t>
  </si>
  <si>
    <t>متوسط سعر العائد على صكوك السلم الإسلامية قصيرة الأجل</t>
  </si>
  <si>
    <t>Average of Return on Short-Term Islamic Leasing Securities</t>
  </si>
  <si>
    <t>متوسط سعر العائد على صكوك التأجير الإسلامية قصيرة الأجل</t>
  </si>
  <si>
    <t>Average of Return on Local and International Long-Term Islamic Leasing Securities</t>
  </si>
  <si>
    <t>متوسط سعر العائد على صكوك التأجير الإسلامية طويلة الأجل المحلية والدولية</t>
  </si>
  <si>
    <t>Yield on Long-Term Government Development Bond %</t>
  </si>
  <si>
    <t>Average Interest Rate on Local and International Long-Term Government Bond</t>
  </si>
  <si>
    <t>متوسط أسعار الفائدة على السندات الحكومية طويلة الأجل المحلية والدولية</t>
  </si>
  <si>
    <t xml:space="preserve">Manpower </t>
  </si>
  <si>
    <t>العمالة</t>
  </si>
  <si>
    <t>Bahranisation in the Financial Sector %</t>
  </si>
  <si>
    <t>نسبة البحرنة في القطاع المالي</t>
  </si>
  <si>
    <t>Licenses</t>
  </si>
  <si>
    <t>التراخيص</t>
  </si>
  <si>
    <t>Number of Banks and Financial Institutions</t>
  </si>
  <si>
    <t>عدد المصارف والمؤسسات المالية</t>
  </si>
  <si>
    <t>New Licenses</t>
  </si>
  <si>
    <t>التراخيص الجديدة</t>
  </si>
  <si>
    <t>Number of Mutual Funds</t>
  </si>
  <si>
    <t>عدد صناديق الاستثمار</t>
  </si>
  <si>
    <t>New Mutual Funds</t>
  </si>
  <si>
    <t>صناديق الاستثمار الجديدة</t>
  </si>
  <si>
    <t>Total Investment in Mutual Funds (USD Million)</t>
  </si>
  <si>
    <t>إجمالي المبالغ المستثمرة في صناديق الاستثمار (مليون دولار)</t>
  </si>
  <si>
    <t>Public Debt Instruments (B.D. Million)</t>
  </si>
  <si>
    <t>أدوات الدين العام (مليون دينار)</t>
  </si>
  <si>
    <t>Public Debt Instruments as % of GDP</t>
  </si>
  <si>
    <t xml:space="preserve">أدوات الدين العام كنسبة من الناتج المحلي الإجمالي </t>
  </si>
  <si>
    <t xml:space="preserve">Government Development Bonds </t>
  </si>
  <si>
    <t>سندات التنمية الحكومية</t>
  </si>
  <si>
    <t xml:space="preserve">Treasury Bonds </t>
  </si>
  <si>
    <t>أذونات الخزانة</t>
  </si>
  <si>
    <t xml:space="preserve">Al-Salam Islamic Securities </t>
  </si>
  <si>
    <t>صكوك السلم الإسلامية</t>
  </si>
  <si>
    <t xml:space="preserve">Islamic Leasing Securities </t>
  </si>
  <si>
    <t>صكوك التأجير الإسلامية</t>
  </si>
  <si>
    <t>*  Interest rates on US Dollar.</t>
  </si>
  <si>
    <t>*  أسعار الفائدة على الدولار الأمريكي.</t>
  </si>
  <si>
    <t>BD Exchange Rates Against Selected Currencies 1/</t>
  </si>
  <si>
    <t>أسعار صرف الدينار البحريني مقابل العملات الأجنبية الرئيسية 1/</t>
  </si>
  <si>
    <t>الدولار الأمريكي</t>
  </si>
  <si>
    <t>GBP</t>
  </si>
  <si>
    <t>الجنيه الإسترليني</t>
  </si>
  <si>
    <t>EURO</t>
  </si>
  <si>
    <t>اليورو</t>
  </si>
  <si>
    <t>Japanese Yen</t>
  </si>
  <si>
    <t>الين الياباني</t>
  </si>
  <si>
    <t>Bahrain All Share Index (Point)</t>
  </si>
  <si>
    <t>مؤشر البحرين العام (نقطة)</t>
  </si>
  <si>
    <t>Market Capitalisation (B.D. Million)</t>
  </si>
  <si>
    <t>القيمة السوقية (مليون دينار)</t>
  </si>
  <si>
    <t>Market Capitalisation (USD Million)</t>
  </si>
  <si>
    <t>القيمة السوقية (مليون دولار)</t>
  </si>
  <si>
    <t>National Accounts</t>
  </si>
  <si>
    <t>الحسابات القومية</t>
  </si>
  <si>
    <t>GDP at Current Prices (B.D. Million)</t>
  </si>
  <si>
    <t>الناتج المحلي الإجمالي (بالأسعار الجارية) (مليون دينار)</t>
  </si>
  <si>
    <t>GDP Deflator (2001=100)</t>
  </si>
  <si>
    <t>الأرقام القياسية الضمنية للناتج المحلي الإجمالي (2001=100)</t>
  </si>
  <si>
    <t>1/   Last working day of each period.</t>
  </si>
  <si>
    <t>1/  آخر يوم عمل في نهاية كل فترة.</t>
  </si>
  <si>
    <t>مصرف البحرين المركزي</t>
  </si>
  <si>
    <t>Central Bank of Bahrain</t>
  </si>
  <si>
    <t>الموجودات / المطلوبات</t>
  </si>
  <si>
    <t>Assets / Liabilities</t>
  </si>
  <si>
    <t>B.D. Million</t>
  </si>
  <si>
    <t>مليون دينار</t>
  </si>
  <si>
    <t>Assets</t>
  </si>
  <si>
    <t>الموجودات</t>
  </si>
  <si>
    <t>Liabilities</t>
  </si>
  <si>
    <t>المطلوبات</t>
  </si>
  <si>
    <t>الأجنبية</t>
  </si>
  <si>
    <t xml:space="preserve">  Domestic</t>
  </si>
  <si>
    <t>المحلية</t>
  </si>
  <si>
    <t>Domestic</t>
  </si>
  <si>
    <t>نهاية الفترة</t>
  </si>
  <si>
    <t>Foreign</t>
  </si>
  <si>
    <t>مطالب على</t>
  </si>
  <si>
    <t>المجموع</t>
  </si>
  <si>
    <t>مطلوبات</t>
  </si>
  <si>
    <t>ودائع</t>
  </si>
  <si>
    <t xml:space="preserve">مطلوبات </t>
  </si>
  <si>
    <t>رأس المال</t>
  </si>
  <si>
    <t>End of Period</t>
  </si>
  <si>
    <t>عملات أجنبية</t>
  </si>
  <si>
    <t>المصارف المحلية</t>
  </si>
  <si>
    <t>الحكومة</t>
  </si>
  <si>
    <t>أخرى</t>
  </si>
  <si>
    <t>Total</t>
  </si>
  <si>
    <t>المتداول</t>
  </si>
  <si>
    <t>للمصارف المحلية</t>
  </si>
  <si>
    <t>لغير المصارف</t>
  </si>
  <si>
    <t>والاحتياطي</t>
  </si>
  <si>
    <t>Gold</t>
  </si>
  <si>
    <t>Claims on</t>
  </si>
  <si>
    <t>Other</t>
  </si>
  <si>
    <t>Currency in</t>
  </si>
  <si>
    <t>Liab. to</t>
  </si>
  <si>
    <t>Central</t>
  </si>
  <si>
    <t>Capital &amp;</t>
  </si>
  <si>
    <t>Exchange</t>
  </si>
  <si>
    <t>Banks</t>
  </si>
  <si>
    <t>Govt.</t>
  </si>
  <si>
    <t>Circulation</t>
  </si>
  <si>
    <t>Gov. Dep.</t>
  </si>
  <si>
    <t>Non-banks</t>
  </si>
  <si>
    <t>Reserves</t>
  </si>
  <si>
    <t>Oct.</t>
  </si>
  <si>
    <t>Nov.</t>
  </si>
  <si>
    <t>Dec.</t>
  </si>
  <si>
    <t>Jan.</t>
  </si>
  <si>
    <t>Feb.</t>
  </si>
  <si>
    <t>Mar.</t>
  </si>
  <si>
    <t>Apr.</t>
  </si>
  <si>
    <t>May</t>
  </si>
  <si>
    <t>Jun.</t>
  </si>
  <si>
    <t>Jul.</t>
  </si>
  <si>
    <t>Aug.</t>
  </si>
  <si>
    <t>Sep.</t>
  </si>
  <si>
    <t xml:space="preserve"> - 1 -</t>
  </si>
  <si>
    <t>Currency in Circulation 1/</t>
  </si>
  <si>
    <t>النقد المتداول</t>
  </si>
  <si>
    <t>Notes, by denomination</t>
  </si>
  <si>
    <t>أوراق النقد حسب الفئات</t>
  </si>
  <si>
    <t>النقد لدى</t>
  </si>
  <si>
    <t>مجموع</t>
  </si>
  <si>
    <t>المسكوكات</t>
  </si>
  <si>
    <t>المصارف</t>
  </si>
  <si>
    <t>خارج المصارف</t>
  </si>
  <si>
    <t>عشرون دينار</t>
  </si>
  <si>
    <t>عشرة دنانير</t>
  </si>
  <si>
    <t>خمسة دنانير</t>
  </si>
  <si>
    <t>دينار واحد</t>
  </si>
  <si>
    <t>نصف دينار</t>
  </si>
  <si>
    <t>أوراق النقد</t>
  </si>
  <si>
    <t>Coins</t>
  </si>
  <si>
    <t>BD 20</t>
  </si>
  <si>
    <t>BD 10</t>
  </si>
  <si>
    <t>BD 5</t>
  </si>
  <si>
    <t>BD 1</t>
  </si>
  <si>
    <t>BD 1/2</t>
  </si>
  <si>
    <t>held by</t>
  </si>
  <si>
    <t>Outside</t>
  </si>
  <si>
    <t>Notes</t>
  </si>
  <si>
    <t>banks</t>
  </si>
  <si>
    <t>1/  Notes and coins outside Central Bank of Bahrain.</t>
  </si>
  <si>
    <t>1/  أوراق النقد والمسكوكات خارج مصرف البحرين المركزي.</t>
  </si>
  <si>
    <t xml:space="preserve"> - 2 -</t>
  </si>
  <si>
    <r>
      <t xml:space="preserve">Table No. (3) </t>
    </r>
    <r>
      <rPr>
        <b/>
        <sz val="14"/>
        <rFont val="Arial (Arabic)"/>
        <family val="2"/>
        <charset val="178"/>
      </rPr>
      <t xml:space="preserve">جدول رقم </t>
    </r>
  </si>
  <si>
    <t>Deposits 1/</t>
  </si>
  <si>
    <t>الودائع</t>
  </si>
  <si>
    <t xml:space="preserve"> Private Sector</t>
  </si>
  <si>
    <t xml:space="preserve"> القطاع الخاص</t>
  </si>
  <si>
    <t>بمفهومه الواسع</t>
  </si>
  <si>
    <t>القاعدة النقدية</t>
  </si>
  <si>
    <t>تحت الطلب</t>
  </si>
  <si>
    <t>الأجل والتوفير</t>
  </si>
  <si>
    <t>بمفهومه الضيق</t>
  </si>
  <si>
    <t>+ ودائع الحكومة</t>
  </si>
  <si>
    <t>Monetary</t>
  </si>
  <si>
    <t>Demand</t>
  </si>
  <si>
    <t>Time and</t>
  </si>
  <si>
    <t>General</t>
  </si>
  <si>
    <t>Narrow Money</t>
  </si>
  <si>
    <t>Broad Money</t>
  </si>
  <si>
    <t xml:space="preserve">Broad Money </t>
  </si>
  <si>
    <t>Base</t>
  </si>
  <si>
    <t>Outside Banks</t>
  </si>
  <si>
    <t>دينار بحريني</t>
  </si>
  <si>
    <t>Savings</t>
  </si>
  <si>
    <t>Government 2/</t>
  </si>
  <si>
    <t>+ Gov. Deposits</t>
  </si>
  <si>
    <t>FC</t>
  </si>
  <si>
    <t>M0</t>
  </si>
  <si>
    <t>6 = (1+2)</t>
  </si>
  <si>
    <t>7 = (3+4+6)</t>
  </si>
  <si>
    <t>8 = (5+7)</t>
  </si>
  <si>
    <t>3/</t>
  </si>
  <si>
    <t>1/  BD and FC deposits of resident non-banks at Central Bank of Bahrain and Retail Banks.</t>
  </si>
  <si>
    <t xml:space="preserve">1/  الودائع بالدينار البحريني والعملات الأجنبية لغير المصارف لدى مصرف البحرين المركزي ومصارف قطاع التجزئة. </t>
  </si>
  <si>
    <t>2/  Central Government and the Social Insurance System.</t>
  </si>
  <si>
    <t>2/  الحكومة المركزية ونظام التأمينات الاجتماعية.</t>
  </si>
  <si>
    <t>3/ Monetary Base = Currency in Circulation + Banks Deposits with Central Bank.</t>
  </si>
  <si>
    <t>3/ القاعدة النقدية = النقد المتداول + ودائع المصارف لدى المصرف المركزي.</t>
  </si>
  <si>
    <t xml:space="preserve"> - 3 -</t>
  </si>
  <si>
    <t>صافي الموجودات الأجنبية</t>
  </si>
  <si>
    <t>الموجودات المحلية</t>
  </si>
  <si>
    <t>Net Foreign Assets</t>
  </si>
  <si>
    <t>Domestic Assets</t>
  </si>
  <si>
    <t>مصرف البحرين</t>
  </si>
  <si>
    <t>مصارف</t>
  </si>
  <si>
    <t>المطالب على</t>
  </si>
  <si>
    <t>صافي الموجودات</t>
  </si>
  <si>
    <t>المركزي</t>
  </si>
  <si>
    <t>قطاع التجزئة</t>
  </si>
  <si>
    <t>القطاع الخاص</t>
  </si>
  <si>
    <t>الأخرى</t>
  </si>
  <si>
    <t>Central  Bank</t>
  </si>
  <si>
    <t>Retail</t>
  </si>
  <si>
    <t>+</t>
  </si>
  <si>
    <t>of Bahrain</t>
  </si>
  <si>
    <t>Government</t>
  </si>
  <si>
    <t>Private Sector</t>
  </si>
  <si>
    <t>Assets (Net)</t>
  </si>
  <si>
    <t>Gov. Deposits</t>
  </si>
  <si>
    <t xml:space="preserve"> - 4 -</t>
  </si>
  <si>
    <t>العـوامل المؤثرة في عرض النقد</t>
  </si>
  <si>
    <t>Factors Affecting Change in Money Supply</t>
  </si>
  <si>
    <t>التغيرات في صافي الموجودات الأجنبية</t>
  </si>
  <si>
    <t>التغيرات في الموجودات المحلية</t>
  </si>
  <si>
    <t>Change in Net Foreign Assets</t>
  </si>
  <si>
    <t>Change in Domestic Assets</t>
  </si>
  <si>
    <t>التغير</t>
  </si>
  <si>
    <t>أخرى (صافي)</t>
  </si>
  <si>
    <t>Change</t>
  </si>
  <si>
    <t>Other (Net)</t>
  </si>
  <si>
    <t xml:space="preserve"> - 5 -</t>
  </si>
  <si>
    <t>أسعار صرف الدينار البحريني مقابل بعض العملات المختارة 1/</t>
  </si>
  <si>
    <t>BD Per Unit of Foreign Currency</t>
  </si>
  <si>
    <t>دينار بحريني لكل وحدة عملة أجنبية</t>
  </si>
  <si>
    <t>GCC Currencies 2/</t>
  </si>
  <si>
    <t xml:space="preserve">         عملات دول مجلس التعاون الخليجي</t>
  </si>
  <si>
    <t>Major Currencies</t>
  </si>
  <si>
    <t xml:space="preserve">       العملات الرئيسية</t>
  </si>
  <si>
    <t>ريال سعودي</t>
  </si>
  <si>
    <t>دينار كويتي</t>
  </si>
  <si>
    <t>درهم إماراتي</t>
  </si>
  <si>
    <t>ريال عماني</t>
  </si>
  <si>
    <t>ريال قطري</t>
  </si>
  <si>
    <t>دولارأمريكي</t>
  </si>
  <si>
    <t>جنيه إسترليني</t>
  </si>
  <si>
    <t>ين ياباني</t>
  </si>
  <si>
    <t>فرنك سويسري</t>
  </si>
  <si>
    <t>Saudi Riyal</t>
  </si>
  <si>
    <t>Kuwaiti Dinar</t>
  </si>
  <si>
    <t>UAE Dirham</t>
  </si>
  <si>
    <t>Omani Riyal</t>
  </si>
  <si>
    <t>Qatari Riyal</t>
  </si>
  <si>
    <t>U.S. Dollar</t>
  </si>
  <si>
    <t>Pound Sterling</t>
  </si>
  <si>
    <t>Euro</t>
  </si>
  <si>
    <t>Swiss Franc</t>
  </si>
  <si>
    <t>1/  Last working day of each period.</t>
  </si>
  <si>
    <t>1/ آخر يوم عمل في نهاية كل فترة.</t>
  </si>
  <si>
    <t>2/ GCC currencies exchange rates are as per official peg except Kuwaiti Dinar as per market prices.</t>
  </si>
  <si>
    <t>2/ أسعار صرف عملات دول مجلس التعاون الخليجي متوافقة مع سعر الربط الرسمي باستثناء الدينار الكويتي وفقا لأسعار السوق.</t>
  </si>
  <si>
    <t xml:space="preserve"> - 6 -</t>
  </si>
  <si>
    <t>Conventional Retail Banks - Interest Rates on BD Deposits &amp; Loans</t>
  </si>
  <si>
    <t>Percent Per Annum</t>
  </si>
  <si>
    <t>النسبة السنوية</t>
  </si>
  <si>
    <t xml:space="preserve">    Deposits</t>
  </si>
  <si>
    <t xml:space="preserve">     Business Loans </t>
  </si>
  <si>
    <t xml:space="preserve">     قروض قطاع الأعمال</t>
  </si>
  <si>
    <t xml:space="preserve">     Personal Loans</t>
  </si>
  <si>
    <t xml:space="preserve">     القروض الشخصية </t>
  </si>
  <si>
    <t xml:space="preserve">  Time 1/</t>
  </si>
  <si>
    <t xml:space="preserve">   لأجل</t>
  </si>
  <si>
    <t xml:space="preserve">   Secured</t>
  </si>
  <si>
    <t xml:space="preserve">   بضمان</t>
  </si>
  <si>
    <t>التوفير</t>
  </si>
  <si>
    <t>أقل من 3 شهور</t>
  </si>
  <si>
    <t xml:space="preserve"> 6-3 أشهر</t>
  </si>
  <si>
    <t xml:space="preserve"> 12-6 شهر</t>
  </si>
  <si>
    <t>الإنشاء والتعمير</t>
  </si>
  <si>
    <t>الصناعة</t>
  </si>
  <si>
    <t>التجارة</t>
  </si>
  <si>
    <t>(لا يشمل السحب على المكشوف)</t>
  </si>
  <si>
    <t>(يشمل السحب على المكشوف)</t>
  </si>
  <si>
    <t>العقار</t>
  </si>
  <si>
    <t>المركبة</t>
  </si>
  <si>
    <t xml:space="preserve"> الودائع</t>
  </si>
  <si>
    <t>الراتب</t>
  </si>
  <si>
    <t>بطاقات الائتمان</t>
  </si>
  <si>
    <t>Less than 3 months</t>
  </si>
  <si>
    <t>3-6 months
4/</t>
  </si>
  <si>
    <t>6-12 months</t>
  </si>
  <si>
    <t>Construction and Real Estate</t>
  </si>
  <si>
    <t>Manufacturing</t>
  </si>
  <si>
    <t>Trade</t>
  </si>
  <si>
    <t>Other 2/</t>
  </si>
  <si>
    <t>Total (Excludes overdraft approvals)</t>
  </si>
  <si>
    <t>Total (Includes overdraft approvals)</t>
  </si>
  <si>
    <t xml:space="preserve">by Mortgages </t>
  </si>
  <si>
    <t>Vehicle Title</t>
  </si>
  <si>
    <t xml:space="preserve">by Deposits </t>
  </si>
  <si>
    <t>Salary Assignment</t>
  </si>
  <si>
    <t>Other 3/</t>
  </si>
  <si>
    <t>Credit Cards</t>
  </si>
  <si>
    <t>N/A</t>
  </si>
  <si>
    <t>1/  Deposits in the BD 10,000-50,000 range, for period indicated.</t>
  </si>
  <si>
    <t>1/  الودائع من 10,000 الى 50,000 دينار بحريني للفترة المذكورة.</t>
  </si>
  <si>
    <t>2/  Includes non-banks financial and other services.</t>
  </si>
  <si>
    <t>2/  يشمل القطاع المالي (غير المصرفي) والخدمات الأخرى.</t>
  </si>
  <si>
    <t>3/  Includes other types of personal loans not shown separately.</t>
  </si>
  <si>
    <t>3/  يشمل القروض الشخصية الأخرى.</t>
  </si>
  <si>
    <t>4/ Classification of maturity of deposits changed, previous classification can be found in Sep 2023 Bulletin or earlier.</t>
  </si>
  <si>
    <t>4/ تم تغيير تصنيف استحقاق الودائع لأجل، ويمكن الاطلاع على التصنيف السابق في نشرة سبتمبر 2023 أو ما قبلها.</t>
  </si>
  <si>
    <t xml:space="preserve"> - 7 -</t>
  </si>
  <si>
    <t xml:space="preserve">Business Loans </t>
  </si>
  <si>
    <t>قروض قطاع الأعمال</t>
  </si>
  <si>
    <t>Personal Loans</t>
  </si>
  <si>
    <t xml:space="preserve">القروض الشخصية </t>
  </si>
  <si>
    <t>السحب على المكشوف</t>
  </si>
  <si>
    <t>Total 3/</t>
  </si>
  <si>
    <t>Overdraft Approvals</t>
  </si>
  <si>
    <t>Other 4/</t>
  </si>
  <si>
    <t>Arab Bank</t>
  </si>
  <si>
    <t>البنك العربي</t>
  </si>
  <si>
    <t>Bank of Bahrain &amp; Kuwait</t>
  </si>
  <si>
    <t>بنك البحرين والكويت</t>
  </si>
  <si>
    <t>HSBC Bank Middle East</t>
  </si>
  <si>
    <t xml:space="preserve">بنك إتش إس بي سي الشرق الأوسط </t>
  </si>
  <si>
    <t>Citibank</t>
  </si>
  <si>
    <t>سيتي بنك</t>
  </si>
  <si>
    <t>The Housing Bank for Trade &amp; Finance</t>
  </si>
  <si>
    <t>بنك الإسكان للتجارة والتمويل</t>
  </si>
  <si>
    <t>Habib Bank Limited</t>
  </si>
  <si>
    <t>حبيب بنك المحدود</t>
  </si>
  <si>
    <t>National Bank of Bahrain</t>
  </si>
  <si>
    <t>بنك البحرين الوطني</t>
  </si>
  <si>
    <t>BNP Paribas</t>
  </si>
  <si>
    <t>بي إن بي باريبا</t>
  </si>
  <si>
    <t>Standard Chartered Bank</t>
  </si>
  <si>
    <t>ستاندرد تشارترد بنك</t>
  </si>
  <si>
    <t>National Bank of Kuwait</t>
  </si>
  <si>
    <t>بنك الكويت الوطني</t>
  </si>
  <si>
    <t>State Bank of India</t>
  </si>
  <si>
    <t>ستيت بنك أوف إنديا</t>
  </si>
  <si>
    <t>United Bank Limitied</t>
  </si>
  <si>
    <t>يونايتد بنك ليمتد</t>
  </si>
  <si>
    <t>ICICI Bank Limitied</t>
  </si>
  <si>
    <t>آي سي آي سي آي بنك ليمتد</t>
  </si>
  <si>
    <t>Eskan Bank</t>
  </si>
  <si>
    <t>بنك الإسكان</t>
  </si>
  <si>
    <t>First Abu Dhabi Bank</t>
  </si>
  <si>
    <t>بنك أبوظبي الأول</t>
  </si>
  <si>
    <t>Mashreq Bank</t>
  </si>
  <si>
    <t>بنك المشرق</t>
  </si>
  <si>
    <t>Gulf International Bank</t>
  </si>
  <si>
    <t>بنك الخليج الدولي</t>
  </si>
  <si>
    <t>Arab Banking Corporation</t>
  </si>
  <si>
    <t>المؤسسة العربية المصرفية</t>
  </si>
  <si>
    <t>Bahrain Development Bank</t>
  </si>
  <si>
    <t>بنك البحرين للتنمية</t>
  </si>
  <si>
    <t>Average</t>
  </si>
  <si>
    <t>المعدل</t>
  </si>
  <si>
    <t xml:space="preserve">1/  Weighted average rates derived from Conventional Retail Banks returns. The present survey asks for deposit rates offered, </t>
  </si>
  <si>
    <t xml:space="preserve">1/  أسعار الفائدة مشتقة من استمارات مصارف قطاع التجزئة التقليدية.  ويعني المسح بأسعار الفائدة على الودائع والقروض </t>
  </si>
  <si>
    <t xml:space="preserve">     and loan rates charged on loans extended during the month.</t>
  </si>
  <si>
    <t xml:space="preserve">     خلال آخر الشهر.</t>
  </si>
  <si>
    <t>2/  Includes loans to non-banks financial and other services' companies.</t>
  </si>
  <si>
    <t>2/  يشمل القروض الممنوحة للقطاع المالي (غير المصرفي) وشركات الخدمات الأخرى.</t>
  </si>
  <si>
    <t>3/  Does not includes overdraft approvals.</t>
  </si>
  <si>
    <t>3/  لا يشمل السحب على المكشوف.</t>
  </si>
  <si>
    <t>4/  Includes other types of personal loans not shown separately.</t>
  </si>
  <si>
    <t>4/  يشمل القروض الشخصية الأخرى.</t>
  </si>
  <si>
    <t xml:space="preserve"> - 8 -</t>
  </si>
  <si>
    <t xml:space="preserve">3-6 months
</t>
  </si>
  <si>
    <t xml:space="preserve"> - 9 -</t>
  </si>
  <si>
    <t>Al Baraka Islamic Bank B.S.C. (c)</t>
  </si>
  <si>
    <t xml:space="preserve">بنك البركة الاسلامي </t>
  </si>
  <si>
    <t>Al Salam Bank B.S.C.</t>
  </si>
  <si>
    <t>بنك السلام</t>
  </si>
  <si>
    <t>Bahrain Islamic Bank B.S.C.</t>
  </si>
  <si>
    <t>بنك البحرين الإسلامي</t>
  </si>
  <si>
    <t>Ithmaar Bank B.S.C. ( c )</t>
  </si>
  <si>
    <t>بنك الإثمار</t>
  </si>
  <si>
    <t>Khaleeji Bank B.S.C.</t>
  </si>
  <si>
    <t>المصرف الخليجي التجاري</t>
  </si>
  <si>
    <t>Kuwait Finance House</t>
  </si>
  <si>
    <t>بيت التمويل الكويتي</t>
  </si>
  <si>
    <t xml:space="preserve">1/  Weighted average rates derived from Islamic Retail Banks returns. The present survey asks for deposit rates offered, </t>
  </si>
  <si>
    <t xml:space="preserve">1/  معدلات الربح مشتقة من استمارات مصارف قطاع التجزئة الإسلامية.  ويعني المسح بمعدلات الربح على الودائع والقروض </t>
  </si>
  <si>
    <t xml:space="preserve">     خلال الشهر.</t>
  </si>
  <si>
    <t xml:space="preserve"> - 10 -</t>
  </si>
  <si>
    <t xml:space="preserve"> - 11 -</t>
  </si>
  <si>
    <t>مجموع العروض</t>
  </si>
  <si>
    <t>متوسط سـعر</t>
  </si>
  <si>
    <t>متوسط سعر</t>
  </si>
  <si>
    <t>المقـدمة</t>
  </si>
  <si>
    <t>المخصصة</t>
  </si>
  <si>
    <t>الأذونات</t>
  </si>
  <si>
    <t>الفائـدة على</t>
  </si>
  <si>
    <t>السائدة على الودائع</t>
  </si>
  <si>
    <t>التاريخ</t>
  </si>
  <si>
    <t>(بملايين الدنانير)</t>
  </si>
  <si>
    <t>(بالنسبة المئوية)</t>
  </si>
  <si>
    <t>الأذونات المخصصة</t>
  </si>
  <si>
    <t>لثلاثة إلى ستة أشهـر</t>
  </si>
  <si>
    <t>Date of</t>
  </si>
  <si>
    <t>Treasury</t>
  </si>
  <si>
    <t xml:space="preserve">Average </t>
  </si>
  <si>
    <t>Average Int.</t>
  </si>
  <si>
    <t>Inter-bank Market</t>
  </si>
  <si>
    <t>Issue</t>
  </si>
  <si>
    <t>Tenders</t>
  </si>
  <si>
    <t>Bills</t>
  </si>
  <si>
    <t>Price of</t>
  </si>
  <si>
    <t>Rate of</t>
  </si>
  <si>
    <t>BD 3 to 6 Month</t>
  </si>
  <si>
    <t>Received</t>
  </si>
  <si>
    <t>Allotted</t>
  </si>
  <si>
    <t>Bills Allotted</t>
  </si>
  <si>
    <t>Allotted Bills</t>
  </si>
  <si>
    <t>Offered Rate</t>
  </si>
  <si>
    <t>(BD Million)</t>
  </si>
  <si>
    <t>(%)</t>
  </si>
  <si>
    <t>(% p.a.)</t>
  </si>
  <si>
    <t>06.08.2025</t>
  </si>
  <si>
    <t>20.08.2025</t>
  </si>
  <si>
    <t>21.08.2025</t>
  </si>
  <si>
    <t>24.08.2025</t>
  </si>
  <si>
    <t>27.08.2025</t>
  </si>
  <si>
    <t>03.09.2025</t>
  </si>
  <si>
    <t>17.09.2025</t>
  </si>
  <si>
    <t>18.09.2025</t>
  </si>
  <si>
    <t>21.09.2025</t>
  </si>
  <si>
    <t>24.09.2025</t>
  </si>
  <si>
    <t>01.10.2025</t>
  </si>
  <si>
    <t>15.10.2025</t>
  </si>
  <si>
    <t>16.10.2025</t>
  </si>
  <si>
    <t>22.10.2025</t>
  </si>
  <si>
    <t>29.10.2025</t>
  </si>
  <si>
    <t xml:space="preserve">Table No. (12) جدول رقم </t>
  </si>
  <si>
    <t>Conventional Instruments</t>
  </si>
  <si>
    <t>الأدوات التقليدية</t>
  </si>
  <si>
    <t>الأدوات الإسلامية</t>
  </si>
  <si>
    <t>Treasury Bills 2/</t>
  </si>
  <si>
    <t>الرصيد القائم</t>
  </si>
  <si>
    <t>المستحق</t>
  </si>
  <si>
    <t>إصدار جديد</t>
  </si>
  <si>
    <t>الرصيد</t>
  </si>
  <si>
    <t>Outstanding</t>
  </si>
  <si>
    <t>Grand Total</t>
  </si>
  <si>
    <t>Matured</t>
  </si>
  <si>
    <t>New Issue</t>
  </si>
  <si>
    <t>Balance</t>
  </si>
  <si>
    <t>2/  Treasury bills have a maturity of 91 days, 182 days &amp; 12 Months.</t>
  </si>
  <si>
    <t>2/  أذونات الخزانة تستحق بعد 91  و182 يوم و12 شهراً.</t>
  </si>
  <si>
    <t>*    Based on Ministry of Finance instructions, an exchange rate of 0.376 will be used</t>
  </si>
  <si>
    <t xml:space="preserve">*    بناء على تعليمات وزارة المالية سيتم استخدام سعر صرف الدولار الأمريكي 0.376 وذلك لجميع إصدارات الوزارة </t>
  </si>
  <si>
    <t xml:space="preserve">     when evaluating the USD Government Issues in BD.</t>
  </si>
  <si>
    <t xml:space="preserve">     بالدولار الأمريكي عند تقييمها بالدينار البحريني.  </t>
  </si>
  <si>
    <t xml:space="preserve"> - 12 -</t>
  </si>
  <si>
    <t>الميزانية الموحدة للجهاز المصرفي: مصارف قطاع التجزئة ومصارف قطاع الجملة</t>
  </si>
  <si>
    <t>Aggregated Balance Sheet of the Banking System: Retail Banks and Wholesale Banks</t>
  </si>
  <si>
    <t>(لا يشمل مصرف البحرين المركزي)</t>
  </si>
  <si>
    <t>(Excluding Central Bank of Bahrain)</t>
  </si>
  <si>
    <t>U.S. Dollar Million</t>
  </si>
  <si>
    <t>مليون دولار أمريكي</t>
  </si>
  <si>
    <t xml:space="preserve">Domestic </t>
  </si>
  <si>
    <t>(غير المصارف)</t>
  </si>
  <si>
    <t xml:space="preserve">أخرى </t>
  </si>
  <si>
    <t>Banks 2/</t>
  </si>
  <si>
    <t>Private</t>
  </si>
  <si>
    <t>Non-Banks</t>
  </si>
  <si>
    <t>Government 1/</t>
  </si>
  <si>
    <t>1/  Central Government and the Social Insurance System.</t>
  </si>
  <si>
    <t>1/ الحكومة المركزية ونظام التأمينات الاجتماعية.</t>
  </si>
  <si>
    <t>2/  Includes Central Monetary Authorities.</t>
  </si>
  <si>
    <t>2/  يشمل السلطات النقدية المركزية.</t>
  </si>
  <si>
    <t xml:space="preserve"> - 13 -</t>
  </si>
  <si>
    <t>الميزانية الموحدة لمصارف قطاع التجزئة</t>
  </si>
  <si>
    <t>Retail Banks - Aggregated Balance Sheet</t>
  </si>
  <si>
    <t>مملكة</t>
  </si>
  <si>
    <t xml:space="preserve"> الشراء لأجل </t>
  </si>
  <si>
    <t>للعملات</t>
  </si>
  <si>
    <t>نقداً</t>
  </si>
  <si>
    <t>General Government</t>
  </si>
  <si>
    <t>memo:</t>
  </si>
  <si>
    <t>Cash</t>
  </si>
  <si>
    <t xml:space="preserve"> Private  Non-Banks</t>
  </si>
  <si>
    <t>القروض</t>
  </si>
  <si>
    <t>السندات</t>
  </si>
  <si>
    <t>Foreign Assets</t>
  </si>
  <si>
    <t xml:space="preserve"> Total  Assets</t>
  </si>
  <si>
    <t>Forward Currency</t>
  </si>
  <si>
    <t>1/</t>
  </si>
  <si>
    <t>2/</t>
  </si>
  <si>
    <t>Loans</t>
  </si>
  <si>
    <t>Securities</t>
  </si>
  <si>
    <t>Purchased</t>
  </si>
  <si>
    <t>1/  Includes Head Offices and Affiliates.</t>
  </si>
  <si>
    <t xml:space="preserve">1/  يشمل المكاتب الرئيسية والشركات الزميلة. </t>
  </si>
  <si>
    <t>2/  Loans and Holdings of Securities.</t>
  </si>
  <si>
    <t>2/  القروض والسندات.</t>
  </si>
  <si>
    <t xml:space="preserve"> - 14 -</t>
  </si>
  <si>
    <t>Domestic Liabilities</t>
  </si>
  <si>
    <t>المطلوبات المحلية</t>
  </si>
  <si>
    <t>البيع لأجل</t>
  </si>
  <si>
    <t xml:space="preserve">مجموع </t>
  </si>
  <si>
    <t xml:space="preserve">(غير المصارف) </t>
  </si>
  <si>
    <t>والإحتياطي</t>
  </si>
  <si>
    <t xml:space="preserve">      Private Non-Banks 2/</t>
  </si>
  <si>
    <t>General Government 2/</t>
  </si>
  <si>
    <t>Capital &amp; Reserves</t>
  </si>
  <si>
    <t>Foreign Liabilities 1/</t>
  </si>
  <si>
    <t>Total Liabilities</t>
  </si>
  <si>
    <t>Forward Currency Sold</t>
  </si>
  <si>
    <t>1/  Includes Capital and Reserves.</t>
  </si>
  <si>
    <t>1/  يشمل رأس المال والإحتياطي.</t>
  </si>
  <si>
    <t>2/ Includes some non-deposit (non-monetary) liabilities.</t>
  </si>
  <si>
    <t>2/  يشمل بعض المطلوبات (غير الودائع).</t>
  </si>
  <si>
    <t xml:space="preserve"> - 15 -</t>
  </si>
  <si>
    <t>مصارف قطاع التجزئة - الموجودات والمطلوبات الأجنبية</t>
  </si>
  <si>
    <t>Retail Banks - Foreign Assets and Liabilities</t>
  </si>
  <si>
    <t xml:space="preserve"> Assets</t>
  </si>
  <si>
    <t>غير المصارف</t>
  </si>
  <si>
    <t>ومنه السندات</t>
  </si>
  <si>
    <t xml:space="preserve">Banks </t>
  </si>
  <si>
    <t>of which Securities</t>
  </si>
  <si>
    <t xml:space="preserve">Net Foreign Assets </t>
  </si>
  <si>
    <t xml:space="preserve"> - 16 -</t>
  </si>
  <si>
    <t xml:space="preserve">    الموجودات الأجنبية    Foreign Assets                 </t>
  </si>
  <si>
    <t xml:space="preserve">       مجموع الموجودات      Total Assets                 </t>
  </si>
  <si>
    <t>القطاع الخاص (غير المصارف)</t>
  </si>
  <si>
    <t>Private Non-Banks</t>
  </si>
  <si>
    <t xml:space="preserve"> - 17 -</t>
  </si>
  <si>
    <t xml:space="preserve">    المطلوبات الأجنبية    Foreign Liabilities                 </t>
  </si>
  <si>
    <t xml:space="preserve">       مجموع المطلوبات      Total Liabilities                 </t>
  </si>
  <si>
    <t xml:space="preserve"> - 18 -</t>
  </si>
  <si>
    <t>Table No. (19) جدول رقم</t>
  </si>
  <si>
    <t>Domestic Deposits</t>
  </si>
  <si>
    <t>الودائع المحلية</t>
  </si>
  <si>
    <t xml:space="preserve">        Private Sector</t>
  </si>
  <si>
    <t>الودائع الأجنبية</t>
  </si>
  <si>
    <t>مجموع الودائع</t>
  </si>
  <si>
    <t>الأجل</t>
  </si>
  <si>
    <t>Foreign Deposits</t>
  </si>
  <si>
    <t>Total Deposits</t>
  </si>
  <si>
    <t>Time 1/</t>
  </si>
  <si>
    <t>1/  Includes Certificates of Deposit.</t>
  </si>
  <si>
    <t>1/  يشمل شهادات الإيداع.</t>
  </si>
  <si>
    <t xml:space="preserve"> - 19 -</t>
  </si>
  <si>
    <t>توزيع إجمالي القروض والتسهيلات حسب القطاعات الاقتصادية المقيمة (باستثناء المصارف) 1/</t>
  </si>
  <si>
    <t>Outstanding Loans and Advances to Non-Bank Residents by Economic Sector 1/</t>
  </si>
  <si>
    <t>قطاع</t>
  </si>
  <si>
    <t xml:space="preserve">     Personal Sector</t>
  </si>
  <si>
    <t xml:space="preserve">     قطاع الأشخاص </t>
  </si>
  <si>
    <t xml:space="preserve"> الأعمال</t>
  </si>
  <si>
    <t xml:space="preserve"> الحكومة</t>
  </si>
  <si>
    <t>Business Sector 
2/</t>
  </si>
  <si>
    <t>General Gov.</t>
  </si>
  <si>
    <t>Credit Card Receivables</t>
  </si>
  <si>
    <t>1/  Excludes Securities.</t>
  </si>
  <si>
    <t xml:space="preserve">1/  لا يشمل السندات. </t>
  </si>
  <si>
    <t>2/ Classification of Business Loans had been changed to ISIC-4 since</t>
  </si>
  <si>
    <t>2/ تم تغيير تصنيف قروض الأعمال إلى ISIC-4 منذ يناير 2023 (راجع الجدول 21).</t>
  </si>
  <si>
    <t>January 2023 (Refer to Table 21).</t>
  </si>
  <si>
    <t xml:space="preserve"> - 20 -</t>
  </si>
  <si>
    <t>توزيع إجمالي قروض وتسهيلات قطاع الأعمال حسب التصنيف الصناعي الدولي الموحد لجميع الأنشطة الاقتصادية 1/</t>
  </si>
  <si>
    <t>Distribution of Outstanding Loans and Advances to Business Sector by International Standard Industrial Classification of All Economic Activities 1/</t>
  </si>
  <si>
    <t>Sector</t>
  </si>
  <si>
    <t>القطاع</t>
  </si>
  <si>
    <t>مجموع قروض قطاع الأعمال</t>
  </si>
  <si>
    <t>ومنها: المؤسسات المتوسطة والصغيرة</t>
  </si>
  <si>
    <t>Total Business Loans</t>
  </si>
  <si>
    <t>Of which: SMEs</t>
  </si>
  <si>
    <t>Agriculture, forestry and fishing</t>
  </si>
  <si>
    <t>الزراعة والغابات وصيد الأسماك</t>
  </si>
  <si>
    <t>Mining and quarrying</t>
  </si>
  <si>
    <t>التعدين واستغلال المحاجر</t>
  </si>
  <si>
    <t>التصنيع</t>
  </si>
  <si>
    <t>Electricity, gas, steam and air conditioning supply</t>
  </si>
  <si>
    <t>إمدادات الكهرباء والغاز والبخار وتكييف الهواء</t>
  </si>
  <si>
    <t>Water supply; sewerage, waste management and remediation activities</t>
  </si>
  <si>
    <t>إمدادات المياه؛ وأنشطة الصرف الصحي وإدارة النفايات ومعالجتها</t>
  </si>
  <si>
    <t>Construction</t>
  </si>
  <si>
    <t>التشييد</t>
  </si>
  <si>
    <t>Wholesale and retail trade; repair of motor vehicles and motorcycles</t>
  </si>
  <si>
    <t>تجارة الجملة والتجزئة؛ إصلاح المركبات ذات المحركات والدراجات النارية</t>
  </si>
  <si>
    <t>Transportation and storage</t>
  </si>
  <si>
    <t>النقل والتخزين</t>
  </si>
  <si>
    <t>Accommodation and food service activities</t>
  </si>
  <si>
    <t>أنشطة الإقامة والخدمات الغذائية</t>
  </si>
  <si>
    <t>Information and communication</t>
  </si>
  <si>
    <t>المعلومات والاتصالات</t>
  </si>
  <si>
    <t>Financial and insurance activities</t>
  </si>
  <si>
    <t>الأنشطة المالية وأنشطة التأمين</t>
  </si>
  <si>
    <t>Real estate activities</t>
  </si>
  <si>
    <t>الأنشطة العقارية</t>
  </si>
  <si>
    <t xml:space="preserve">Professional, scientific and technical activities </t>
  </si>
  <si>
    <t>الأنشطة المهنية والعلمية والتقنية</t>
  </si>
  <si>
    <t>Administrative and support service activities</t>
  </si>
  <si>
    <t>أنشطة الخدمات الإدارية وخدمات الدعم</t>
  </si>
  <si>
    <t>Public administration and defence; compulsory social security</t>
  </si>
  <si>
    <t>الإدارة العامة والدفاع؛ الضمان الاجتماعي الإلزامي</t>
  </si>
  <si>
    <t>Education</t>
  </si>
  <si>
    <t>التعليم</t>
  </si>
  <si>
    <t>Human health and social work activities</t>
  </si>
  <si>
    <t>أنشطة صحة الإنسان والخدمات الاجتماعية</t>
  </si>
  <si>
    <t>Arts, entertainment and recreation</t>
  </si>
  <si>
    <t>أنشطة الفنون والترفيه والتسلية</t>
  </si>
  <si>
    <t>Other service activities</t>
  </si>
  <si>
    <t>أنشطة الخدمات الأخرى</t>
  </si>
  <si>
    <t>Activities of households as employers; undifferentiated goods- and services-producing activities of households for own use</t>
  </si>
  <si>
    <t>أنشطة الأُسر المعيشية كصاحب عمل؛ أنشطة الأُسر المعيشية لإنتاج سلع وخدمات غير مميَّزة لاستخدامها الخاص</t>
  </si>
  <si>
    <t>Activities of extraterritorial organizations and bodies</t>
  </si>
  <si>
    <t>أنشطة المنظمات والهيئات خارج الحدود الإقليمية للدولة</t>
  </si>
  <si>
    <t>1/  International Standard Industrial Classification (ISIC-4).</t>
  </si>
  <si>
    <t>1/ التصنيف الصناعي الدولي الموحد (ISIC-4).</t>
  </si>
  <si>
    <t xml:space="preserve">- 21 - </t>
  </si>
  <si>
    <t>توزيع إجمالي القروض والتسهيلات لغير المصارف</t>
  </si>
  <si>
    <t>المصارف وشركات التمويل</t>
  </si>
  <si>
    <t>Outstanding Loans and Advances to Non-Bank Residents</t>
  </si>
  <si>
    <t>Banks and Financing Companies</t>
  </si>
  <si>
    <t>شركات التمويل</t>
  </si>
  <si>
    <t>Financing Companies</t>
  </si>
  <si>
    <t xml:space="preserve"> - 22 -</t>
  </si>
  <si>
    <t>مصارف قطاع التجزئة: الموجودات والمطلوبات حسب التصنيف الجغرافي 1/</t>
  </si>
  <si>
    <t>Retail Banks: Geographical Classification of Assets and Liabilities 1/</t>
  </si>
  <si>
    <t>دول مجلس</t>
  </si>
  <si>
    <t xml:space="preserve">الدول العربية </t>
  </si>
  <si>
    <t>البحرين</t>
  </si>
  <si>
    <t>التعاون</t>
  </si>
  <si>
    <t>الدول الأمريكية</t>
  </si>
  <si>
    <t>أوروبا</t>
  </si>
  <si>
    <t>آسيا</t>
  </si>
  <si>
    <t>Kingdom of</t>
  </si>
  <si>
    <t>GCC</t>
  </si>
  <si>
    <t>Other Arab</t>
  </si>
  <si>
    <t>Americas</t>
  </si>
  <si>
    <t>Europe</t>
  </si>
  <si>
    <t>Asia</t>
  </si>
  <si>
    <t>Bahrain</t>
  </si>
  <si>
    <t>Countries</t>
  </si>
  <si>
    <t>1/  Includes Islamic Banks.</t>
  </si>
  <si>
    <t>1/  يشمل المصارف الإسلامية.</t>
  </si>
  <si>
    <t xml:space="preserve">2/  Includes Argentina, Bahamas, Brazil, British Virgin Islands, Canada, Cayman Islands, Mexico, </t>
  </si>
  <si>
    <t xml:space="preserve">2/  تشمل الأرجنتين، البهاما، البرازيل، الجزر العذراء البريطانية، كندا، جزر كايمان، المكسيك، الأنتيل الهولندية، </t>
  </si>
  <si>
    <t xml:space="preserve">     Netherlands Antilles, Panama, Puerto Rico, United States, Venezuela and Others.</t>
  </si>
  <si>
    <t xml:space="preserve">     بنما، بورتو ريكو، الولايات المتحدة، فنزويلا وأخرى.</t>
  </si>
  <si>
    <t xml:space="preserve"> - 23 -</t>
  </si>
  <si>
    <t>مصارف قطاع التجزئة: الموجودات والمطلوبات حسب أهم العملات 1/</t>
  </si>
  <si>
    <t>Retail Banks: Classification of Assets and Liabilities by Major Currencies 1/</t>
  </si>
  <si>
    <t>الدينار</t>
  </si>
  <si>
    <t xml:space="preserve">عملات دول </t>
  </si>
  <si>
    <t>الدولار</t>
  </si>
  <si>
    <t xml:space="preserve">الجنيه </t>
  </si>
  <si>
    <t>الين</t>
  </si>
  <si>
    <t>البحريني</t>
  </si>
  <si>
    <t>مجلس التعاون</t>
  </si>
  <si>
    <t>الأمريكي</t>
  </si>
  <si>
    <t>الإسترليني</t>
  </si>
  <si>
    <t>الياباني</t>
  </si>
  <si>
    <t>Bahraini</t>
  </si>
  <si>
    <t xml:space="preserve">GCC </t>
  </si>
  <si>
    <t>U.S.</t>
  </si>
  <si>
    <t>Pound</t>
  </si>
  <si>
    <t xml:space="preserve">Japanese </t>
  </si>
  <si>
    <t>Dinar</t>
  </si>
  <si>
    <t>Currencies</t>
  </si>
  <si>
    <t>Dollar</t>
  </si>
  <si>
    <t>Sterling</t>
  </si>
  <si>
    <t>Yen</t>
  </si>
  <si>
    <t xml:space="preserve"> - 24 -</t>
  </si>
  <si>
    <t>Table No. (25) جدول رقم</t>
  </si>
  <si>
    <t>Percentage</t>
  </si>
  <si>
    <t>النسبة المئوية</t>
  </si>
  <si>
    <t xml:space="preserve">القروض لغير المصارف / مجموع الموجودات </t>
  </si>
  <si>
    <t xml:space="preserve">القروض للقطاع الخاص(غير المصارف) / مجموع الموجودات </t>
  </si>
  <si>
    <t xml:space="preserve">القروض لغير المصارف / مجموع الودائع </t>
  </si>
  <si>
    <t xml:space="preserve">الموجودات الأجنبية / مجموع الموجودات </t>
  </si>
  <si>
    <t xml:space="preserve">المطلوبات الأجنبية / مجموع المطلوبات </t>
  </si>
  <si>
    <t xml:space="preserve">مجموع الودائع / مجموع المطلوبات </t>
  </si>
  <si>
    <t xml:space="preserve">الودائع بالدينار البحريني / مجموع الودائع </t>
  </si>
  <si>
    <t xml:space="preserve">ودائع القطاع الخاص / مجموع الودائع </t>
  </si>
  <si>
    <t xml:space="preserve">ودائع القطاع الخاص تحت الطلب / مجموع الودائع </t>
  </si>
  <si>
    <t>Loans to Non-Banks / Total Assets</t>
  </si>
  <si>
    <t>Loans to Private Non-Banks / Total Assets</t>
  </si>
  <si>
    <t>Loans to Non-Banks / Total Deposits</t>
  </si>
  <si>
    <t>Foreign Assets / Total Assets</t>
  </si>
  <si>
    <t>Foreign Liabilities / Total Liabilities</t>
  </si>
  <si>
    <t>Total Deposits / Total Liabilities</t>
  </si>
  <si>
    <t xml:space="preserve">  BD Deposits / Total Deposits</t>
  </si>
  <si>
    <t>Private Sector Deposits / Total Deposits</t>
  </si>
  <si>
    <t>Private Sector Demand Deposits / Total Deposits</t>
  </si>
  <si>
    <t xml:space="preserve"> - 25 -</t>
  </si>
  <si>
    <t>مصارف قطاع التجزئة التقليدية: الميزانية الموحدة للنوافذ الإسلامية</t>
  </si>
  <si>
    <t>Conventional Retail Banks: Aggregated Balance Sheet of Islamic Windows</t>
  </si>
  <si>
    <t>الموجودات *</t>
  </si>
  <si>
    <t>Assets *</t>
  </si>
  <si>
    <t xml:space="preserve">  الموجودات المحلية</t>
  </si>
  <si>
    <t xml:space="preserve">   Foreign Assets</t>
  </si>
  <si>
    <t xml:space="preserve">  الموجودات الأجنبية</t>
  </si>
  <si>
    <t>استثمار مع</t>
  </si>
  <si>
    <t>المكاتب الرئيسية</t>
  </si>
  <si>
    <t>البنود خارج</t>
  </si>
  <si>
    <t>والشركات الزميلة</t>
  </si>
  <si>
    <t>الميزانية</t>
  </si>
  <si>
    <t>Invest.</t>
  </si>
  <si>
    <t>Others</t>
  </si>
  <si>
    <t>H.O. &amp;</t>
  </si>
  <si>
    <t>Off</t>
  </si>
  <si>
    <t>with Banks</t>
  </si>
  <si>
    <t>with Private</t>
  </si>
  <si>
    <t>with Govt.</t>
  </si>
  <si>
    <t>Affiliates</t>
  </si>
  <si>
    <t>Sheet 3/</t>
  </si>
  <si>
    <t>1/  Includes Unrestricted Investment Accounts.</t>
  </si>
  <si>
    <t>1/  يشمل حسابات الإستثمار المطلقة.</t>
  </si>
  <si>
    <t xml:space="preserve">2/  Includes Head Offices and Affiliates. </t>
  </si>
  <si>
    <t>2/  يشمل المكاتب الرئيسية والشركات الزميلة.</t>
  </si>
  <si>
    <t>3/  Includes Restricted Investment Accounts.</t>
  </si>
  <si>
    <t>3/  يشمل حسابات الاستثمار المقيدة.</t>
  </si>
  <si>
    <t>* Islamic Windows' Assets and Liabilities may not be equal due to the presence of conventional transactions.</t>
  </si>
  <si>
    <t>* موجودات ومطلوبات النوافذ الإسلامية قد لا تتطابق نظرا لوجود معاملات تقليدية.</t>
  </si>
  <si>
    <t xml:space="preserve"> - 26 -</t>
  </si>
  <si>
    <t>المطلوبات *</t>
  </si>
  <si>
    <t>Liabilities *</t>
  </si>
  <si>
    <t>Foreign Liabilities</t>
  </si>
  <si>
    <t>المطلوبات الأجنبية</t>
  </si>
  <si>
    <t xml:space="preserve"> والاحتياطي</t>
  </si>
  <si>
    <t xml:space="preserve">المجموع </t>
  </si>
  <si>
    <t xml:space="preserve"> - 27 -</t>
  </si>
  <si>
    <t xml:space="preserve">الميزانية الموحدة لمصارف قطاع الجملة </t>
  </si>
  <si>
    <t>Wholesale Banks - Aggregated Balance Sheet</t>
  </si>
  <si>
    <t>الموجودات الأجنبية</t>
  </si>
  <si>
    <t>الشراء لأجل</t>
  </si>
  <si>
    <t>Forward</t>
  </si>
  <si>
    <t xml:space="preserve">1/  Includes Head Offices and Affiliates. </t>
  </si>
  <si>
    <t>1/ يشمل المكاتب الرئيسية والشركات الزميلة.</t>
  </si>
  <si>
    <t>2/  Includes Securities.</t>
  </si>
  <si>
    <t>2/  يشمل السندات.</t>
  </si>
  <si>
    <t xml:space="preserve"> - 28 -</t>
  </si>
  <si>
    <t>الميزانية الموحدة لمصارف قطاع الجملة</t>
  </si>
  <si>
    <t>Sold</t>
  </si>
  <si>
    <t>1/  يشمل المكاتب الرئيسية والشركات الزميلة.</t>
  </si>
  <si>
    <t>2/  Includes Capital &amp; Reserves.</t>
  </si>
  <si>
    <t>2/  يشمل رأس المال والإحتياطي.</t>
  </si>
  <si>
    <t xml:space="preserve"> - 29 -</t>
  </si>
  <si>
    <t>مصارف قطاع الجملة: الموجودات والمطلوبات حسب التصنيف الجغرافي 1/</t>
  </si>
  <si>
    <t>Wholesale Banks: Geographical Classification of Assets and Liabilities 1/</t>
  </si>
  <si>
    <t xml:space="preserve"> - 30 -</t>
  </si>
  <si>
    <t>مصارف قطاع الجملة: الموجودات والمطلوبات حسب أهم العملات 1/</t>
  </si>
  <si>
    <t>Wholesale Banks: Classification of Assets and Liabilities by Major Currencies 1/</t>
  </si>
  <si>
    <t xml:space="preserve"> - 31 -</t>
  </si>
  <si>
    <t>الميزانية الموحدة للمصارف الإسلامية: مصارف قطاع التجزئة ومصارف قطاع الجملة</t>
  </si>
  <si>
    <t>Aggregated Balance Sheet of the Islamic Banks: Retail Banks and Wholesale Banks</t>
  </si>
  <si>
    <t xml:space="preserve"> - 32 -</t>
  </si>
  <si>
    <t>مليون  دولار أمريكي</t>
  </si>
  <si>
    <t xml:space="preserve"> - 33 -</t>
  </si>
  <si>
    <t>المصارف الإسلامية: الموجودات والمطلوبات حسب التصنيف الجغرافي</t>
  </si>
  <si>
    <t>Islamic Banks: Geographical Classification of Assets and Liabilities</t>
  </si>
  <si>
    <t xml:space="preserve">1/  Includes Argentina, Bahamas, Brazil, British Virgin Islands, Canada, Cayman Islands, Mexico, </t>
  </si>
  <si>
    <t xml:space="preserve">1/  تشمل الأرجنتين، البهاما، البرازيل، الجزر العذراء البريطانية، كندا، جزر كايمان، المكسيك، الأنتيل الهولندية، </t>
  </si>
  <si>
    <t xml:space="preserve"> - 34 -</t>
  </si>
  <si>
    <t>المصارف الإسلامية: الموجودات والمطلوبات حسب أهم العملات</t>
  </si>
  <si>
    <t>Islamic Banks: Classification of Assets and Liabilities by Major Currencies</t>
  </si>
  <si>
    <t xml:space="preserve"> - 35 -</t>
  </si>
  <si>
    <t>Classification</t>
  </si>
  <si>
    <t>حسابات الاستثمار المقيدة</t>
  </si>
  <si>
    <t>حسابات الاستثمار غير المقيدة</t>
  </si>
  <si>
    <t>تمويل ذاتي - أموال المصرف</t>
  </si>
  <si>
    <t>المجموع الكلي</t>
  </si>
  <si>
    <t>التصنيف</t>
  </si>
  <si>
    <t>Restricted Investment Account</t>
  </si>
  <si>
    <t>Unrestricted Investment Account</t>
  </si>
  <si>
    <t>Self Finance - Own Fund</t>
  </si>
  <si>
    <t>المقيمة</t>
  </si>
  <si>
    <t>غير المقيمة</t>
  </si>
  <si>
    <t>Residents</t>
  </si>
  <si>
    <t>Non-Residents</t>
  </si>
  <si>
    <t>عملات أخرى</t>
  </si>
  <si>
    <t>OC</t>
  </si>
  <si>
    <t>Short-term investment and treasury securities</t>
  </si>
  <si>
    <t>استثمارات قصيرة الأجل وسندات الخزينة</t>
  </si>
  <si>
    <t>Long-term investments</t>
  </si>
  <si>
    <t>استثمارات طويلة الأجل</t>
  </si>
  <si>
    <t>Murabaha</t>
  </si>
  <si>
    <t>المرابحة</t>
  </si>
  <si>
    <t xml:space="preserve">Ijara </t>
  </si>
  <si>
    <t>الإجارة</t>
  </si>
  <si>
    <t>Ijara installment receivables</t>
  </si>
  <si>
    <t>أقساط الإجارة المستحقة</t>
  </si>
  <si>
    <t>Mudaraba</t>
  </si>
  <si>
    <t>المضاربة</t>
  </si>
  <si>
    <t>Musharaka</t>
  </si>
  <si>
    <t>المشاركة</t>
  </si>
  <si>
    <t xml:space="preserve">Salam </t>
  </si>
  <si>
    <t>السلم</t>
  </si>
  <si>
    <t>Real Estate</t>
  </si>
  <si>
    <t>عقارات</t>
  </si>
  <si>
    <t>سندات</t>
  </si>
  <si>
    <t>Istisna'a</t>
  </si>
  <si>
    <t>الاستصناع</t>
  </si>
  <si>
    <t>Istisna'a receivables</t>
  </si>
  <si>
    <t>دين مستحق على الاستصناع</t>
  </si>
  <si>
    <t>Qard Hasan</t>
  </si>
  <si>
    <t>قرض حسن</t>
  </si>
  <si>
    <t>Investment in Unconsolidated Subsidiaries and Associates</t>
  </si>
  <si>
    <t>استثمارات في شركات شقيقة وتابعة غير مدمجة</t>
  </si>
  <si>
    <t>Property, plant, and equipments (PPE)</t>
  </si>
  <si>
    <t>العقارات، المصانع والمعدات</t>
  </si>
  <si>
    <t>Balances at banks</t>
  </si>
  <si>
    <t>أرصدة المصرف</t>
  </si>
  <si>
    <t xml:space="preserve"> - 36 -</t>
  </si>
  <si>
    <r>
      <t xml:space="preserve">Table No. (37) </t>
    </r>
    <r>
      <rPr>
        <b/>
        <sz val="14"/>
        <rFont val="Arial (Arabic)"/>
        <family val="2"/>
        <charset val="178"/>
      </rPr>
      <t xml:space="preserve">جدول رقم </t>
    </r>
  </si>
  <si>
    <t>مؤشرات السلامة المالية للقطاع المصرفي</t>
  </si>
  <si>
    <t xml:space="preserve">القطاع المصرفي </t>
  </si>
  <si>
    <t>Entire Banking Sector</t>
  </si>
  <si>
    <t>جودة الأصول</t>
  </si>
  <si>
    <t>الربحية</t>
  </si>
  <si>
    <t>السيولة</t>
  </si>
  <si>
    <t>Capital Adequacy 1/</t>
  </si>
  <si>
    <t>Asset Quality</t>
  </si>
  <si>
    <t>Profitability</t>
  </si>
  <si>
    <t>Liquidity</t>
  </si>
  <si>
    <t>نسبة رأس المال التنظيمي إلى الأصول المرجحة بالمخاطر</t>
  </si>
  <si>
    <t xml:space="preserve"> نسبة رأس المال الأساسي التنظيمي إلى الأصول المرجحة بالمخاطر</t>
  </si>
  <si>
    <t>نسبة القروض المتعثرة إلى مجموع القروض الإجمالية</t>
  </si>
  <si>
    <t>نسبة مخصصات القروض المتعثرة إلى إجمالي القروض المتعثرة</t>
  </si>
  <si>
    <t xml:space="preserve">معدل العائد على الأصول </t>
  </si>
  <si>
    <t>نسبة العائد على  حقوق الملكية</t>
  </si>
  <si>
    <t xml:space="preserve"> نسبة الأصول السائلة إلى مجموع الأصول </t>
  </si>
  <si>
    <t>نسبة القروض إلى الودائع</t>
  </si>
  <si>
    <t>Total Capital Adequacy Ratio</t>
  </si>
  <si>
    <t>Tier 1 Capital Adequacy Ratio</t>
  </si>
  <si>
    <t>Non-Performing Loans Ratio (% of Gross Loans)</t>
  </si>
  <si>
    <t>Specific Provisions</t>
  </si>
  <si>
    <t>Return on Assets</t>
  </si>
  <si>
    <t>Return on Equity 1/</t>
  </si>
  <si>
    <t>Liquid Assets Ratio</t>
  </si>
  <si>
    <t>Loans/Deposit Ratio</t>
  </si>
  <si>
    <t>1/ For Locally Incorporated Banks only</t>
  </si>
  <si>
    <t xml:space="preserve"> 1/  للمصارف المدرجة محلياً</t>
  </si>
  <si>
    <t>* Provisional data.</t>
  </si>
  <si>
    <t>* بيانات أولية.</t>
  </si>
  <si>
    <t xml:space="preserve"> - 37 -</t>
  </si>
  <si>
    <r>
      <t xml:space="preserve">Table No. (38) </t>
    </r>
    <r>
      <rPr>
        <b/>
        <sz val="14"/>
        <rFont val="Arial (Arabic)"/>
        <family val="2"/>
        <charset val="178"/>
      </rPr>
      <t xml:space="preserve">جدول رقم </t>
    </r>
  </si>
  <si>
    <t>المصارف التقليدية</t>
  </si>
  <si>
    <t>Conventional Banks</t>
  </si>
  <si>
    <t xml:space="preserve">نسبة العائد على الأصول </t>
  </si>
  <si>
    <t>مصارف التجزئة</t>
  </si>
  <si>
    <t>مصارف الجملة</t>
  </si>
  <si>
    <t>Wholesale</t>
  </si>
  <si>
    <t>1/  للمصارف المدرجة محلياً</t>
  </si>
  <si>
    <t xml:space="preserve"> - 38 -</t>
  </si>
  <si>
    <r>
      <t xml:space="preserve">Table No. (39) </t>
    </r>
    <r>
      <rPr>
        <b/>
        <sz val="14"/>
        <rFont val="Arial (Arabic)"/>
        <family val="2"/>
        <charset val="178"/>
      </rPr>
      <t xml:space="preserve">جدول رقم </t>
    </r>
  </si>
  <si>
    <t xml:space="preserve"> - 39 -</t>
  </si>
  <si>
    <t>Table No. (40) جدول رقم</t>
  </si>
  <si>
    <t>B. D. Million</t>
  </si>
  <si>
    <t xml:space="preserve">مليون دينار </t>
  </si>
  <si>
    <t xml:space="preserve"> نهاية الفترة</t>
  </si>
  <si>
    <t>(1) الفئة</t>
  </si>
  <si>
    <t>(2) الفئة</t>
  </si>
  <si>
    <t>(3) الفئة</t>
  </si>
  <si>
    <t>مجموع الفئات</t>
  </si>
  <si>
    <t>Category (1)</t>
  </si>
  <si>
    <t>Category (2)</t>
  </si>
  <si>
    <t>Category (3)</t>
  </si>
  <si>
    <t>Total IB</t>
  </si>
  <si>
    <t xml:space="preserve">مجموع موجودات الميزانية </t>
  </si>
  <si>
    <t>مجموع الموجودات المدارة لصالح العملاء</t>
  </si>
  <si>
    <t>مجموع الموجودات</t>
  </si>
  <si>
    <t>Balance Sheet Total Assets</t>
  </si>
  <si>
    <t>Total Assets Under Management</t>
  </si>
  <si>
    <r>
      <rPr>
        <sz val="12.5"/>
        <rFont val="Arial"/>
        <family val="2"/>
      </rPr>
      <t xml:space="preserve">ويتضمن: </t>
    </r>
    <r>
      <rPr>
        <b/>
        <sz val="12.5"/>
        <rFont val="Arial"/>
        <family val="2"/>
      </rPr>
      <t>مجموع الموجودات المستثمرة لصالح الشركات الاستثمارية</t>
    </r>
  </si>
  <si>
    <t>Total Assets (c) = (a+b)</t>
  </si>
  <si>
    <t>Balance Sheet Total Assets (d)</t>
  </si>
  <si>
    <t>Total Assets (f) = (d+e)</t>
  </si>
  <si>
    <t>Balance Sheet Total Assets (g)</t>
  </si>
  <si>
    <t>Total (a)</t>
  </si>
  <si>
    <r>
      <rPr>
        <sz val="12.5"/>
        <rFont val="Arial"/>
        <family val="2"/>
      </rPr>
      <t>of which:</t>
    </r>
    <r>
      <rPr>
        <b/>
        <sz val="12.5"/>
        <rFont val="Arial"/>
        <family val="2"/>
      </rPr>
      <t xml:space="preserve"> Total Investment as Principal</t>
    </r>
  </si>
  <si>
    <t xml:space="preserve">Total (b) </t>
  </si>
  <si>
    <t>Total (e)</t>
  </si>
  <si>
    <t xml:space="preserve"> - 40 -</t>
  </si>
  <si>
    <t>BD Thousand</t>
  </si>
  <si>
    <t>ألف دينار</t>
  </si>
  <si>
    <t xml:space="preserve">ودائع لدى </t>
  </si>
  <si>
    <t xml:space="preserve">مستحق من </t>
  </si>
  <si>
    <t xml:space="preserve">موجودات </t>
  </si>
  <si>
    <t>موجودات</t>
  </si>
  <si>
    <t xml:space="preserve">قروض من </t>
  </si>
  <si>
    <t xml:space="preserve">مستحق الى </t>
  </si>
  <si>
    <t>الغير</t>
  </si>
  <si>
    <t>أجنبية</t>
  </si>
  <si>
    <t xml:space="preserve">Deposits in </t>
  </si>
  <si>
    <t>Due from</t>
  </si>
  <si>
    <t xml:space="preserve">Loans from </t>
  </si>
  <si>
    <t>Due to</t>
  </si>
  <si>
    <t>Equity &amp;</t>
  </si>
  <si>
    <t>Others 1/</t>
  </si>
  <si>
    <t>1/ includes other money changers and travellers' cheque companies.</t>
  </si>
  <si>
    <t>1\ يشمل على مكاتب الصرافة الأخرى وشركات إصدار الشيكات السياحية.</t>
  </si>
  <si>
    <t xml:space="preserve"> - 41 -</t>
  </si>
  <si>
    <t xml:space="preserve">Table No. (42) جدول رقم </t>
  </si>
  <si>
    <t>أنظمة المدفوعات *</t>
  </si>
  <si>
    <t>Payment Systems *</t>
  </si>
  <si>
    <t>During the Period</t>
  </si>
  <si>
    <t>النظام الآني للتسويات الإجمالية</t>
  </si>
  <si>
    <t>نظام التحويلات المالية الإلكتروني</t>
  </si>
  <si>
    <t>عمليات السحب من أجهزة الصراف الآلي</t>
  </si>
  <si>
    <t>Real Time Gross Settlement (RTGS) System 1/</t>
  </si>
  <si>
    <t>Electronic Funds Transfer System (EFTS) and Electronic Bill Payment and Presentment (EBPP) 2/</t>
  </si>
  <si>
    <t>تحويلات الزبائن</t>
  </si>
  <si>
    <t>التحويلات المصرفية بين المصارف التجارية</t>
  </si>
  <si>
    <t>فوري +</t>
  </si>
  <si>
    <t>فوري</t>
  </si>
  <si>
    <t>فواتير</t>
  </si>
  <si>
    <t>ATM Withdrawal Transactions 4/</t>
  </si>
  <si>
    <t>Customer Transactions</t>
  </si>
  <si>
    <t>Interbank Transactions</t>
  </si>
  <si>
    <t>Fawri +</t>
  </si>
  <si>
    <t>Fawri</t>
  </si>
  <si>
    <t>Fawateer 3/</t>
  </si>
  <si>
    <t>العدد</t>
  </si>
  <si>
    <t>القيمة</t>
  </si>
  <si>
    <t>Volume</t>
  </si>
  <si>
    <t>Value</t>
  </si>
  <si>
    <t>* Data for the Bahrain Cheque Truncation System (BCTS) are found in Table (41)</t>
  </si>
  <si>
    <t>* يمكن الحصول على بيانات نظام البحرين لمقاصة الشيكات الإلكتروني  في جدول (41)</t>
  </si>
  <si>
    <t>1/ The Real Time Gross Settlement (RTGS) System went live on 14th June 2007</t>
  </si>
  <si>
    <t>1/ بدأ عمل النظام الآني للتسويات الإجمالية في 14 يونيو 2007</t>
  </si>
  <si>
    <t>2/ بدأ عمل نظام التحويلات المالية الإلكتروني  (فوري و فوري+ فقط) في 5 نوفمبر 2015</t>
  </si>
  <si>
    <t>and on 3rd October, 2016 (Direct Credit Service)</t>
  </si>
  <si>
    <t>4/ Local Debit Cards Only</t>
  </si>
  <si>
    <t>4/ بطاقات الخصم المحلية فقط</t>
  </si>
  <si>
    <t xml:space="preserve">- 42 - </t>
  </si>
  <si>
    <t xml:space="preserve">Table No. (43) جدول رقم </t>
  </si>
  <si>
    <t>إجمالي الشيكات الصادرة</t>
  </si>
  <si>
    <t>اجمالي الشيكات المرتجعة</t>
  </si>
  <si>
    <t>الشيكات المرتجعة لأسباب تقنية</t>
  </si>
  <si>
    <t>الشيكات المرتجعة لأسباب مالية</t>
  </si>
  <si>
    <t>Total Cheques Issued</t>
  </si>
  <si>
    <t>Total Returned Cheques</t>
  </si>
  <si>
    <t>Returned Cheques for Technical Reasons</t>
  </si>
  <si>
    <t>Returned Cheques for Financial Reasons</t>
  </si>
  <si>
    <t>القيمة
(مليون دينار)</t>
  </si>
  <si>
    <t>كنسبة من إجمالي عدد الشيكات الصادرة</t>
  </si>
  <si>
    <t>كنسبة من إجمالي قيمة الشيكات الصادرة</t>
  </si>
  <si>
    <t>Value
(B.D. Million)</t>
  </si>
  <si>
    <t>% of Total Cheques Issued</t>
  </si>
  <si>
    <t>1/ بدأ عمل نظام البحرين لمقاصة الشيكات الإلكتروني بتاريخ الأحد، 13 مايو 2012.</t>
  </si>
  <si>
    <t xml:space="preserve">- 43 - </t>
  </si>
  <si>
    <t>عمليات نقاط البيع والتجارة الإلكترونية</t>
  </si>
  <si>
    <t>Points of Sales and E-Commerce Transactions</t>
  </si>
  <si>
    <t>الفترة
Period</t>
  </si>
  <si>
    <t>عدد العمليات</t>
  </si>
  <si>
    <t>قيمة العمليات (دينار)</t>
  </si>
  <si>
    <t>Of which: E-Commerce Trans.</t>
  </si>
  <si>
    <t>عدد أجهزة نقاط البيع
(نهاية الفترة)
No. of POS terminals 
(end of period)</t>
  </si>
  <si>
    <t xml:space="preserve">Number of transactions </t>
  </si>
  <si>
    <t xml:space="preserve">Value of transactions (BD) </t>
  </si>
  <si>
    <t>ومنها: عمليات التجارة الإلكترونية</t>
  </si>
  <si>
    <t>البطاقات المصدرة في البحرين</t>
  </si>
  <si>
    <t>البطاقات المصدرة خارج البحرين</t>
  </si>
  <si>
    <t>ومنه البطاقات اللاتلامسية</t>
  </si>
  <si>
    <t>Cards issued in Bahrain</t>
  </si>
  <si>
    <t>Cards issued outside Bahrain</t>
  </si>
  <si>
    <t>of which
Contactless Cards</t>
  </si>
  <si>
    <t xml:space="preserve">- 44 - </t>
  </si>
  <si>
    <t>عمليات نقاط البيع والتجارة الإلكترونية حسب القطاعات - بطاقات الائتمان المصدرة في البحرين</t>
  </si>
  <si>
    <t>Points of Sales and E-Commerce Transactions by Sectors - Credit Cards issued in Bahrain</t>
  </si>
  <si>
    <t>Value of Transactions in B.D.</t>
  </si>
  <si>
    <t xml:space="preserve">قيمة المعاملات بالدينار </t>
  </si>
  <si>
    <t>No. of trans.</t>
  </si>
  <si>
    <t>Lodging - Hotels, Motels, Resorts</t>
  </si>
  <si>
    <t>الإقامة - الفنادق والمنتجعات</t>
  </si>
  <si>
    <t>Restaurants</t>
  </si>
  <si>
    <t>المطاعم</t>
  </si>
  <si>
    <t>Health</t>
  </si>
  <si>
    <t>الصحة</t>
  </si>
  <si>
    <t>Government Services</t>
  </si>
  <si>
    <t>الخدمات الحكومية</t>
  </si>
  <si>
    <t>Construction - Contractors, Building Materials and Maintenance &amp; Related Services</t>
  </si>
  <si>
    <t>البناء - المقاولون ، مواد البناء والصيانة والخدمات ذات الصلة</t>
  </si>
  <si>
    <t>Supermarket</t>
  </si>
  <si>
    <t>أسواق السوبرماركت</t>
  </si>
  <si>
    <t>Jewelry Stores</t>
  </si>
  <si>
    <t>متاجر المجوهرات</t>
  </si>
  <si>
    <t>Department Store</t>
  </si>
  <si>
    <t>المتاجر</t>
  </si>
  <si>
    <t>Clothing and Footwear</t>
  </si>
  <si>
    <t>الملابس والأحذية</t>
  </si>
  <si>
    <t>Electronic and Digital Goods</t>
  </si>
  <si>
    <t>مبيعات الأجهزة الإلكترونية والرقمية</t>
  </si>
  <si>
    <t xml:space="preserve">Insurance </t>
  </si>
  <si>
    <t>التأمين</t>
  </si>
  <si>
    <t>Telecommunication</t>
  </si>
  <si>
    <t>الاتصالات</t>
  </si>
  <si>
    <t>Transportation</t>
  </si>
  <si>
    <t>وسائل النقل</t>
  </si>
  <si>
    <t>Automobile and Truck Dealers - Sales, Service, Repairs, Parts and Leasing</t>
  </si>
  <si>
    <t>تجار السيارات والشاحنات</t>
  </si>
  <si>
    <t>Travel</t>
  </si>
  <si>
    <t>السفر</t>
  </si>
  <si>
    <t>Family Entertainment &amp; Tourism</t>
  </si>
  <si>
    <t>الترفيه العائلي والسياحة</t>
  </si>
  <si>
    <t>Equipment, Furniture &amp; Home Furnishings Stores (except appliances)</t>
  </si>
  <si>
    <t>متاجر الأثاث</t>
  </si>
  <si>
    <t>Book Stores &amp; Stationary</t>
  </si>
  <si>
    <t>متاجر الكتب والقرطاسية</t>
  </si>
  <si>
    <t>Miscellaneous Goods &amp; Services</t>
  </si>
  <si>
    <t>سلع وخدمات غير مصنفة أعلاه</t>
  </si>
  <si>
    <t xml:space="preserve">Government Services includes: Court Costs including Alimony and Child Support, Fines, Bail and Bond Payments, Tax Payments,
</t>
  </si>
  <si>
    <t xml:space="preserve">تشمل الخدمات الحكومية: تكاليف المحكمة بما في ذلك النفقة ودعم الطفل، الغرامات، دفع الكفالة والسندات، المدفوعات الضريبية، </t>
  </si>
  <si>
    <t>Government Services not elsewhere classified, Government Postal Services, and Intra-Government Purchases</t>
  </si>
  <si>
    <t>الخدمات الحكومية غير المصنفة في مكان آخر، الخدمات البريدية الحكومية، والمشتريات الحكومية.</t>
  </si>
  <si>
    <t xml:space="preserve">- 45 - </t>
  </si>
  <si>
    <t>عمليات نقاط البيع والتجارة الإلكترونية حسب القطاعات - بطاقات الائتمان المصدرة خارج البحرين</t>
  </si>
  <si>
    <t>Points of Salesand E-Commerce Transactions by Sectors - Credit Cards issued Outside Bahrain</t>
  </si>
  <si>
    <t xml:space="preserve">- 46 - </t>
  </si>
  <si>
    <t>عمليات نقاط البيع والتجارة الإلكترونية حسب القطاعات - بطاقات الخصم المصدرة في البحرين</t>
  </si>
  <si>
    <t>Points of Salesand E-Commerce Transactions by Sectors - Debit Cards issued in Bahrain</t>
  </si>
  <si>
    <t xml:space="preserve">- 47 - </t>
  </si>
  <si>
    <t>عمليات نقاط البيع  والتجارة الإلكترونية حسب القطاعات - بطاقات الخصم المصدرة خارج البحرين</t>
  </si>
  <si>
    <t>Points of Sales and E-Commerce Transactions by Sectors - Debit Cards issued Outside Bahrain</t>
  </si>
  <si>
    <t xml:space="preserve">- 48 - </t>
  </si>
  <si>
    <r>
      <t xml:space="preserve">Table No. (49) </t>
    </r>
    <r>
      <rPr>
        <b/>
        <sz val="14"/>
        <rFont val="Arial (Arabic)"/>
        <family val="2"/>
        <charset val="178"/>
      </rPr>
      <t xml:space="preserve">جدول رقم </t>
    </r>
  </si>
  <si>
    <t xml:space="preserve"> (باستثناء البحرين)</t>
  </si>
  <si>
    <t>(Excluding Bahrain)</t>
  </si>
  <si>
    <t>السعودية</t>
  </si>
  <si>
    <t>الكويت</t>
  </si>
  <si>
    <t>الإمارات العربية المتحدة</t>
  </si>
  <si>
    <t>قطر</t>
  </si>
  <si>
    <t>عمان</t>
  </si>
  <si>
    <t>الولايات المتحدة</t>
  </si>
  <si>
    <t>المملكة المتحدة</t>
  </si>
  <si>
    <t>فرنسا</t>
  </si>
  <si>
    <t>ألمانيا</t>
  </si>
  <si>
    <t>الهند</t>
  </si>
  <si>
    <t>Saudi Arabia</t>
  </si>
  <si>
    <t>Kuwait</t>
  </si>
  <si>
    <t>United Arab Emirates</t>
  </si>
  <si>
    <t>Qatar</t>
  </si>
  <si>
    <t>Oman</t>
  </si>
  <si>
    <t>United States</t>
  </si>
  <si>
    <t>United Kingdom</t>
  </si>
  <si>
    <t>France</t>
  </si>
  <si>
    <t>Germany</t>
  </si>
  <si>
    <t>India</t>
  </si>
  <si>
    <t>TOTAL</t>
  </si>
  <si>
    <t xml:space="preserve">- 49 - </t>
  </si>
  <si>
    <r>
      <t xml:space="preserve">Table No. (50) </t>
    </r>
    <r>
      <rPr>
        <b/>
        <sz val="14"/>
        <rFont val="Arial (Arabic)"/>
        <family val="2"/>
        <charset val="178"/>
      </rPr>
      <t xml:space="preserve">جدول رقم </t>
    </r>
  </si>
  <si>
    <t>B.D.</t>
  </si>
  <si>
    <t>دينار</t>
  </si>
  <si>
    <t xml:space="preserve">- 50 - </t>
  </si>
  <si>
    <t xml:space="preserve"> Sector</t>
  </si>
  <si>
    <t xml:space="preserve"> Bahraini</t>
  </si>
  <si>
    <t xml:space="preserve"> بحريني</t>
  </si>
  <si>
    <t xml:space="preserve"> Non-Bahraini</t>
  </si>
  <si>
    <t xml:space="preserve"> غير بحريني</t>
  </si>
  <si>
    <t>ذكور</t>
  </si>
  <si>
    <t>إناث</t>
  </si>
  <si>
    <t>Male</t>
  </si>
  <si>
    <t>Female</t>
  </si>
  <si>
    <t>Banking Sector</t>
  </si>
  <si>
    <t>القطاع المصرفي</t>
  </si>
  <si>
    <t>Representative Offices</t>
  </si>
  <si>
    <t>المكاتب التمثيلية</t>
  </si>
  <si>
    <t>Non-Bank Financial Sector</t>
  </si>
  <si>
    <t>القطاع المالي غير المصرفي</t>
  </si>
  <si>
    <t>Locally Incorporated Insurance Firms</t>
  </si>
  <si>
    <t>شركات التأمين الوطنية وشركات إعادة التأمين</t>
  </si>
  <si>
    <t>Insurance Related Activities Firms</t>
  </si>
  <si>
    <t>شركات الأنشطة المتعلقة بالتأمين</t>
  </si>
  <si>
    <t>Specialised Licensees *</t>
  </si>
  <si>
    <t>الأنشطة المتخصصة *</t>
  </si>
  <si>
    <t>Of which:
     Money Changers</t>
  </si>
  <si>
    <t>ومنها:
محلات الصرافة</t>
  </si>
  <si>
    <t>Financing Companies and Microfinance Institutions</t>
  </si>
  <si>
    <t>شركات التمويل ومؤسسات التمويل متناهية الصغر</t>
  </si>
  <si>
    <t>Capital Markets **</t>
  </si>
  <si>
    <t>أسواق رأس المال **</t>
  </si>
  <si>
    <t>Supporting Institutions</t>
  </si>
  <si>
    <t>المؤسسات الداعمة</t>
  </si>
  <si>
    <t>* تشمل محلات الصرافة، شركات التمويل، مؤسسات التمويل متناهية الصغر، خدمات الدعم للقطاع المالي، أمناء العهد المالية، مسجلو الأسهم ومسجلو الخدمات الإدارية للمحافظ الاستثمارية وهيئة مهنية مسجلة.</t>
  </si>
  <si>
    <t>** تشمل الأسواق المالية المرخص لها  للتداول في الأوراق والأدوات المالية، مؤسسات وغرف التسوية والتقاص والإيداع والحفظ المركزي المرخص لها، وسطاء الأوراق المالية العاملون لصالح حساباتهم وحسابات عملائهم، وسطاء التسوية والتقاص والإيداع المركزي، خدمات الدلالة في الأوراق المالية ووحدات الأصول المشفرة.</t>
  </si>
  <si>
    <t xml:space="preserve"> - 51 -</t>
  </si>
  <si>
    <t xml:space="preserve">ميزان المدفوعات </t>
  </si>
  <si>
    <t>Items</t>
  </si>
  <si>
    <t>2025*</t>
  </si>
  <si>
    <t>البيان</t>
  </si>
  <si>
    <t>الفصل الأول</t>
  </si>
  <si>
    <t>الفصل الثاني</t>
  </si>
  <si>
    <t>الفصل الثالث</t>
  </si>
  <si>
    <t>الفصل الرابع</t>
  </si>
  <si>
    <t xml:space="preserve"> Current Account (a+b+c+d)</t>
  </si>
  <si>
    <t xml:space="preserve"> الحساب الجاري (أ+ب+ج+د)</t>
  </si>
  <si>
    <t>a.  Goods</t>
  </si>
  <si>
    <t>أ -  السلع</t>
  </si>
  <si>
    <t>Exports (fob)</t>
  </si>
  <si>
    <t>الصادرات (فوب)</t>
  </si>
  <si>
    <t xml:space="preserve"> -  Oil</t>
  </si>
  <si>
    <t xml:space="preserve"> - النفطية</t>
  </si>
  <si>
    <t xml:space="preserve"> -  Non-Oil</t>
  </si>
  <si>
    <t xml:space="preserve"> - غيرالنفطية</t>
  </si>
  <si>
    <t>Imports (fob)</t>
  </si>
  <si>
    <t>الواردات (فوب)</t>
  </si>
  <si>
    <t>b.  Services (net)</t>
  </si>
  <si>
    <t>ب -  الخدمات (صافي)</t>
  </si>
  <si>
    <t>Credit</t>
  </si>
  <si>
    <t>دائن</t>
  </si>
  <si>
    <t>Debit</t>
  </si>
  <si>
    <t>مدين</t>
  </si>
  <si>
    <t xml:space="preserve"> -  Maintenance </t>
  </si>
  <si>
    <t xml:space="preserve"> -  الصيانة</t>
  </si>
  <si>
    <t xml:space="preserve"> -  Transportation</t>
  </si>
  <si>
    <t xml:space="preserve"> -  النقل</t>
  </si>
  <si>
    <t xml:space="preserve"> -  Travel</t>
  </si>
  <si>
    <t xml:space="preserve"> -  السفر</t>
  </si>
  <si>
    <t xml:space="preserve"> -  Construction</t>
  </si>
  <si>
    <t xml:space="preserve"> -  الإنشاء</t>
  </si>
  <si>
    <t xml:space="preserve"> -  Insurance </t>
  </si>
  <si>
    <t xml:space="preserve"> -  التأمين</t>
  </si>
  <si>
    <t xml:space="preserve"> -  Financial Services</t>
  </si>
  <si>
    <t xml:space="preserve"> -  خدمات مالية</t>
  </si>
  <si>
    <t xml:space="preserve"> -  Communication services</t>
  </si>
  <si>
    <t xml:space="preserve"> -  خدمات الاتصالات</t>
  </si>
  <si>
    <t xml:space="preserve"> -  Other Business Services</t>
  </si>
  <si>
    <t xml:space="preserve"> -  خدمات أخرى</t>
  </si>
  <si>
    <t>c.  Primary Income (net)</t>
  </si>
  <si>
    <t>ج -  الدخل الأساسي (صافي)</t>
  </si>
  <si>
    <t>Investment Income</t>
  </si>
  <si>
    <t>دخل الاستثمار</t>
  </si>
  <si>
    <t xml:space="preserve"> -  Direct Investment Income</t>
  </si>
  <si>
    <t xml:space="preserve"> -  الاستثمار المباشر</t>
  </si>
  <si>
    <t xml:space="preserve"> -  Portfolio Income</t>
  </si>
  <si>
    <t xml:space="preserve"> -  استثمارات الحافظة</t>
  </si>
  <si>
    <t xml:space="preserve"> -  Other Investment Income</t>
  </si>
  <si>
    <t xml:space="preserve"> -  استثمارات أخرى</t>
  </si>
  <si>
    <t>d.  Secondary income (Current Transfers) (net)</t>
  </si>
  <si>
    <t>د -  الدخل الثانوي (التحويلات الجارية ) (صافي)</t>
  </si>
  <si>
    <t xml:space="preserve"> -  Workers' Remittances</t>
  </si>
  <si>
    <t xml:space="preserve"> -  تحويلات العاملين</t>
  </si>
  <si>
    <t xml:space="preserve"> Capital and Financial Account (net) (a+b)</t>
  </si>
  <si>
    <t xml:space="preserve"> الحساب الرأسمالي والمالي (صافي) (أ+ب)</t>
  </si>
  <si>
    <t>a.  Capital Account (net)</t>
  </si>
  <si>
    <t xml:space="preserve">أ -  الحساب الرأسمالي </t>
  </si>
  <si>
    <t xml:space="preserve"> -  Capital Transfers</t>
  </si>
  <si>
    <t xml:space="preserve"> -  التحويلات الرأسمالية</t>
  </si>
  <si>
    <t>b.  Financial Account 1/</t>
  </si>
  <si>
    <t>ب -  الحساب المالي 1/</t>
  </si>
  <si>
    <t>Direct Investment</t>
  </si>
  <si>
    <t>الاستثمار المباشر</t>
  </si>
  <si>
    <t xml:space="preserve"> -  Abroad</t>
  </si>
  <si>
    <t xml:space="preserve"> -  في الخارج</t>
  </si>
  <si>
    <t xml:space="preserve"> -  In Bahrain</t>
  </si>
  <si>
    <t xml:space="preserve"> -  في البحرين</t>
  </si>
  <si>
    <t>Portfolio Investment (net)</t>
  </si>
  <si>
    <t>استثمارات الحافظة (صافي)</t>
  </si>
  <si>
    <t xml:space="preserve"> -  Assets</t>
  </si>
  <si>
    <t xml:space="preserve"> -  الأصول</t>
  </si>
  <si>
    <t xml:space="preserve"> -  Liabilities</t>
  </si>
  <si>
    <t xml:space="preserve"> -  الخصوم</t>
  </si>
  <si>
    <t>Other Investment (net)</t>
  </si>
  <si>
    <t>استثمارات أخرى (صافي)</t>
  </si>
  <si>
    <t>Reserve Assets (net)</t>
  </si>
  <si>
    <t>الاصول الاحتياطية (صافي)</t>
  </si>
  <si>
    <t xml:space="preserve"> Errors and Omissions</t>
  </si>
  <si>
    <t xml:space="preserve"> السهو والخطأ</t>
  </si>
  <si>
    <t>1/  A negative sign means net outflows/increases in external assets.</t>
  </si>
  <si>
    <t>1/  الإشارة السالبة تعني تدفق للخارج أو زيادة  في الموجودات الأجنبية.</t>
  </si>
  <si>
    <t>*  Provisional data.</t>
  </si>
  <si>
    <t xml:space="preserve">*    بيانات أولية. </t>
  </si>
  <si>
    <t xml:space="preserve"> - 52 -</t>
  </si>
  <si>
    <t>Table No. (53) جدول رقم</t>
  </si>
  <si>
    <t>IIP, net</t>
  </si>
  <si>
    <t>وضع الاستثمار الدولي (صافي)</t>
  </si>
  <si>
    <t>الأصول الأجنبية</t>
  </si>
  <si>
    <t>Direct Investment Abroad</t>
  </si>
  <si>
    <t>الاستثمار المباشر في الخارج</t>
  </si>
  <si>
    <t>Portfolio Investment</t>
  </si>
  <si>
    <t>استثمارات الحافظة</t>
  </si>
  <si>
    <t>Other Investment</t>
  </si>
  <si>
    <t>استثمارات أخرى</t>
  </si>
  <si>
    <t>Reserve Assets</t>
  </si>
  <si>
    <t>الأصول الاحتياطية</t>
  </si>
  <si>
    <t>الخصوم الأجنبية</t>
  </si>
  <si>
    <t>Direct Investment in Bahrain</t>
  </si>
  <si>
    <t>الاستثمار المباشر في البحرين</t>
  </si>
  <si>
    <t>*  Provisional Data.</t>
  </si>
  <si>
    <t>*  بيانات أولية.</t>
  </si>
  <si>
    <t xml:space="preserve"> - 53 -</t>
  </si>
  <si>
    <t>الاحتياطـيــــــات الرسميــــة الدوليـــــــة</t>
  </si>
  <si>
    <t>الذهب</t>
  </si>
  <si>
    <t xml:space="preserve">حقوق السحب </t>
  </si>
  <si>
    <t>إجمالي</t>
  </si>
  <si>
    <t>الخاصة</t>
  </si>
  <si>
    <t>مركز الاحتياطي</t>
  </si>
  <si>
    <t xml:space="preserve">العملات </t>
  </si>
  <si>
    <t>الاحتياطيات الدولية</t>
  </si>
  <si>
    <t>عدد الأونصات</t>
  </si>
  <si>
    <t>Special Drawing</t>
  </si>
  <si>
    <t xml:space="preserve"> لدى صندوق النقد الدولي</t>
  </si>
  <si>
    <t>Ounces</t>
  </si>
  <si>
    <t>Rights</t>
  </si>
  <si>
    <t>Reserve Position</t>
  </si>
  <si>
    <t>International</t>
  </si>
  <si>
    <t>(SDRs)</t>
  </si>
  <si>
    <t>at the IMF</t>
  </si>
  <si>
    <t xml:space="preserve"> - 54 -</t>
  </si>
  <si>
    <t>بورصة البحرين - مؤشرات التداول للشركات المساهمة العامة</t>
  </si>
  <si>
    <t>Bahrain Bourse - Market Indicators of Listed Companies</t>
  </si>
  <si>
    <t>عدد الشركات</t>
  </si>
  <si>
    <t>كمية الأسهم المتداولة</t>
  </si>
  <si>
    <t>قيمة الأسهم</t>
  </si>
  <si>
    <t>عدد</t>
  </si>
  <si>
    <t>المؤشر العام</t>
  </si>
  <si>
    <t>مؤشر البحرين العام</t>
  </si>
  <si>
    <t>القيمة  السوقية</t>
  </si>
  <si>
    <t>نسبة الأرباح الموزعة</t>
  </si>
  <si>
    <t>المدرجة</t>
  </si>
  <si>
    <t>(الف)</t>
  </si>
  <si>
    <r>
      <t>المتداولة (</t>
    </r>
    <r>
      <rPr>
        <b/>
        <sz val="8"/>
        <rFont val="Arial (Arabic)"/>
        <family val="2"/>
        <charset val="178"/>
      </rPr>
      <t xml:space="preserve"> </t>
    </r>
    <r>
      <rPr>
        <b/>
        <sz val="11"/>
        <rFont val="Arial (Arabic)"/>
        <family val="2"/>
        <charset val="178"/>
      </rPr>
      <t>ألف دينار)</t>
    </r>
  </si>
  <si>
    <t>الصفقات</t>
  </si>
  <si>
    <t>(نقطة)</t>
  </si>
  <si>
    <t>(مليون دينار)</t>
  </si>
  <si>
    <t>معدل الدوران</t>
  </si>
  <si>
    <t>العائد على السهم</t>
  </si>
  <si>
    <t xml:space="preserve">الى السعر </t>
  </si>
  <si>
    <t>الفترة</t>
  </si>
  <si>
    <t>Number of</t>
  </si>
  <si>
    <t>Volume of</t>
  </si>
  <si>
    <t>Value of</t>
  </si>
  <si>
    <t xml:space="preserve">Bahrain All </t>
  </si>
  <si>
    <t>Market</t>
  </si>
  <si>
    <t>Shares</t>
  </si>
  <si>
    <t>Dividend</t>
  </si>
  <si>
    <t>Period</t>
  </si>
  <si>
    <t xml:space="preserve">Listed </t>
  </si>
  <si>
    <t>Shares Traded</t>
  </si>
  <si>
    <t>Shares Traded 1/</t>
  </si>
  <si>
    <t>Transactions</t>
  </si>
  <si>
    <t>Index</t>
  </si>
  <si>
    <t>Share Index</t>
  </si>
  <si>
    <t xml:space="preserve"> Capitalisation 2/</t>
  </si>
  <si>
    <t>Turnover 3/</t>
  </si>
  <si>
    <t>P/E</t>
  </si>
  <si>
    <t>Yield %</t>
  </si>
  <si>
    <t>Companies</t>
  </si>
  <si>
    <t>(Thousand)</t>
  </si>
  <si>
    <t>(B.D. Thousand)</t>
  </si>
  <si>
    <t>(Point)</t>
  </si>
  <si>
    <t>(B.D. Million)</t>
  </si>
  <si>
    <t xml:space="preserve"> --</t>
  </si>
  <si>
    <t>--</t>
  </si>
  <si>
    <t>1/  Includes Shares Traded by Preferred, Closed &amp; Non-Bahraini Stock.</t>
  </si>
  <si>
    <t>1/  تشمل تداول الأسهم الممتازة والمقفلة وغير البحرينية.</t>
  </si>
  <si>
    <t>2/  End of Period - Doesn't Include Preferred, Closed &amp; Non-Bahraini Stock.</t>
  </si>
  <si>
    <t>2/  نهاية الفترة  - لا تشمل الأسهم الممتازة  والمقفلة وغير البحرينية.</t>
  </si>
  <si>
    <t>3/  Shares Turnover = (Value of Shares Traded / Market Capitalisation) X 100.</t>
  </si>
  <si>
    <t>* The total value of shares are not inclusive of shares traded in the IPO market</t>
  </si>
  <si>
    <t>* قيمة الأسهم المتداولة لا تشمل  الأسهم المتداولة في السوق الأكتتابات الأولية (IPO)</t>
  </si>
  <si>
    <t>Source:  Bahrain Bourse.</t>
  </si>
  <si>
    <t>المصدر:  بورصة البحرين.</t>
  </si>
  <si>
    <t xml:space="preserve"> - 55 -</t>
  </si>
  <si>
    <t xml:space="preserve">بورصة البحرين - قيمة الأسهم المتداولة حسب القطاعات </t>
  </si>
  <si>
    <t>Bahrain Bourse - Value of Shares Traded by Sector</t>
  </si>
  <si>
    <t>B.D. Thousand</t>
  </si>
  <si>
    <t>الف دينار</t>
  </si>
  <si>
    <t>السلع الاستهلاكية</t>
  </si>
  <si>
    <t>الشركات</t>
  </si>
  <si>
    <t>المواد الاساسية</t>
  </si>
  <si>
    <t>الصناعات</t>
  </si>
  <si>
    <t>الكمالية</t>
  </si>
  <si>
    <t>الاساسية</t>
  </si>
  <si>
    <t>المال</t>
  </si>
  <si>
    <t>العقارات</t>
  </si>
  <si>
    <t>الشركات المقفلة</t>
  </si>
  <si>
    <t xml:space="preserve"> غير البحرينية</t>
  </si>
  <si>
    <t xml:space="preserve"> الأسهم الممتازة</t>
  </si>
  <si>
    <t>Materials</t>
  </si>
  <si>
    <t>Industrials</t>
  </si>
  <si>
    <t>Consumer</t>
  </si>
  <si>
    <t>Financials</t>
  </si>
  <si>
    <t>Communications</t>
  </si>
  <si>
    <t xml:space="preserve">Real </t>
  </si>
  <si>
    <t>Closed</t>
  </si>
  <si>
    <t>Non-</t>
  </si>
  <si>
    <t>Preferred</t>
  </si>
  <si>
    <t>Discretionary</t>
  </si>
  <si>
    <t>Staples</t>
  </si>
  <si>
    <t>Services</t>
  </si>
  <si>
    <t>Estate</t>
  </si>
  <si>
    <r>
      <rPr>
        <b/>
        <sz val="9.5"/>
        <rFont val="Arial"/>
        <family val="2"/>
      </rPr>
      <t>Note</t>
    </r>
    <r>
      <rPr>
        <sz val="9.5"/>
        <rFont val="Arial"/>
        <family val="2"/>
        <charset val="178"/>
      </rPr>
      <t xml:space="preserve">: The market sectors were reclassified by Bahrain Bourse effective 11th July 2021. </t>
    </r>
  </si>
  <si>
    <r>
      <rPr>
        <b/>
        <sz val="10"/>
        <rFont val="Arial (Arabic)"/>
      </rPr>
      <t>ملاحظة</t>
    </r>
    <r>
      <rPr>
        <sz val="10"/>
        <rFont val="Arial (Arabic)"/>
        <family val="2"/>
        <charset val="178"/>
      </rPr>
      <t>: تم إعادة تصنيف قطاعات السوق من قبل بورصة البحرين اعتباراً من 11 يوليو 2021 .</t>
    </r>
  </si>
  <si>
    <t>The old classification are in prevous table (Table 51).</t>
  </si>
  <si>
    <t>التصنيف القديم في الجدول السابق (جدول 51).</t>
  </si>
  <si>
    <t xml:space="preserve"> - 56 -</t>
  </si>
  <si>
    <t xml:space="preserve">بورصة البحرين - مؤشر الأسعار حسب القطاعات </t>
  </si>
  <si>
    <t xml:space="preserve">Bahrain Bourse - Bahrain Index by Sector </t>
  </si>
  <si>
    <t>(1989 - 1990 = 100)</t>
  </si>
  <si>
    <t>Point</t>
  </si>
  <si>
    <t>نقطة</t>
  </si>
  <si>
    <t>مؤشر</t>
  </si>
  <si>
    <t>البحرين العام</t>
  </si>
  <si>
    <t>Bahrain All</t>
  </si>
  <si>
    <t xml:space="preserve"> - 57 -</t>
  </si>
  <si>
    <t>بورصة البحرين - قيمة تعاملات المستثمرين في السوق ونسب التملك في أسهم الشركات المساهمة العامة المسجلة</t>
  </si>
  <si>
    <t>Bahrain Bourse - Trading Value of Investors' Participation and Percentage of
 Shares Ownership in Listed Companies</t>
  </si>
  <si>
    <t>قيمة تعاملات المستثمرين ( ألف دينار )</t>
  </si>
  <si>
    <t>نسبة توزيع ملكية الأسهم</t>
  </si>
  <si>
    <t>مجموع عدد الأسهم</t>
  </si>
  <si>
    <t>Trading Value of Investors' Participation (BD Thousand) 1/</t>
  </si>
  <si>
    <t>% of Shares Ownership</t>
  </si>
  <si>
    <t>الصادرة والمدفوعة</t>
  </si>
  <si>
    <t>دول مجلس التعاون</t>
  </si>
  <si>
    <t>الدول الأخرى</t>
  </si>
  <si>
    <t>Total Shares</t>
  </si>
  <si>
    <t>N//A</t>
  </si>
  <si>
    <t>1/  Presents buying and selling sides.</t>
  </si>
  <si>
    <t>1/  تمثل جانبي البيع والشراء.</t>
  </si>
  <si>
    <t>Note: figures may vary fom the published bulletins
due to the settlement dates.</t>
  </si>
  <si>
    <t>ملاحظة:  توجد فروقات بين تعاملات المستثمرين في هذا الجدول
 وبين مطبوعات السوق وذلك بسبب تواريخ التسوية.</t>
  </si>
  <si>
    <t>ملاحظة:  توجد فروقات بين تعاملات المستثمرين في هذا الجدول وبين مطبوعات السوق وذلك بسبب تواريخ التسوية.</t>
  </si>
  <si>
    <t xml:space="preserve"> - 58 -</t>
  </si>
  <si>
    <t xml:space="preserve">Table No. (59)  جدول رقم    </t>
  </si>
  <si>
    <t xml:space="preserve"> - 59 -</t>
  </si>
  <si>
    <t>صناديق الاستثمار- إجمالي الاستثمارات القائمة</t>
  </si>
  <si>
    <t xml:space="preserve"> Mutual Funds - Total Outstanding Investments</t>
  </si>
  <si>
    <t>U.S. Dollar Thousand</t>
  </si>
  <si>
    <t>ألف دولار أمريكي</t>
  </si>
  <si>
    <t>نوع المصرف</t>
  </si>
  <si>
    <t>Investors</t>
  </si>
  <si>
    <t>المستثمرون</t>
  </si>
  <si>
    <t>إجمالي المبالغ</t>
  </si>
  <si>
    <t>مؤسسات</t>
  </si>
  <si>
    <t>أفراد</t>
  </si>
  <si>
    <t>إجمالي المبالغ المستثمرة في صناديق الاستثمار</t>
  </si>
  <si>
    <t>Type of Bank</t>
  </si>
  <si>
    <t>Institutions</t>
  </si>
  <si>
    <t>Individuals</t>
  </si>
  <si>
    <t>Total Amount Invested in the Funds</t>
  </si>
  <si>
    <t xml:space="preserve">  Retail Banks</t>
  </si>
  <si>
    <t xml:space="preserve">  Wholesale Banks</t>
  </si>
  <si>
    <t xml:space="preserve">  Other Institutions</t>
  </si>
  <si>
    <t xml:space="preserve">  Grand Total</t>
  </si>
  <si>
    <t xml:space="preserve">  2024  Q2</t>
  </si>
  <si>
    <t xml:space="preserve">  2024  Q3</t>
  </si>
  <si>
    <t xml:space="preserve">  2024  Q4</t>
  </si>
  <si>
    <t xml:space="preserve">  2025  Q1</t>
  </si>
  <si>
    <t xml:space="preserve">  2025  Q2</t>
  </si>
  <si>
    <t xml:space="preserve">  2025  Q3</t>
  </si>
  <si>
    <t xml:space="preserve">القيمة </t>
  </si>
  <si>
    <t>02.11.2025</t>
  </si>
  <si>
    <t>05.11.2025</t>
  </si>
  <si>
    <t>19.11.2025</t>
  </si>
  <si>
    <t>20.11.2025</t>
  </si>
  <si>
    <t>23.11.2025</t>
  </si>
  <si>
    <t>26.11.2025</t>
  </si>
  <si>
    <t>03.12.2025</t>
  </si>
  <si>
    <t>17.12.2025</t>
  </si>
  <si>
    <t>18.12.2025</t>
  </si>
  <si>
    <t>21.12.2025</t>
  </si>
  <si>
    <t>24.12.2025</t>
  </si>
  <si>
    <t>31.12.2025</t>
  </si>
  <si>
    <t>*Gold</t>
  </si>
  <si>
    <t>*ذهب</t>
  </si>
  <si>
    <t>*تمت إعادة التقييم  وفقاً للقيمة السوقية إعتباراً من ديسمبر 2025.</t>
  </si>
  <si>
    <t>*Revalued as market cost starting from December 2025.</t>
  </si>
  <si>
    <t xml:space="preserve">  2025  Q4</t>
  </si>
  <si>
    <t>February</t>
  </si>
  <si>
    <t>تقنية المعلومات​​</t>
  </si>
  <si>
    <t xml:space="preserve">Information </t>
  </si>
  <si>
    <t>Technology</t>
  </si>
  <si>
    <t>(4) الفئة</t>
  </si>
  <si>
    <t>Category (4)</t>
  </si>
  <si>
    <t>Total Assets (j) = (h+i)</t>
  </si>
  <si>
    <t>Total (h)</t>
  </si>
  <si>
    <t xml:space="preserve">Total (i) </t>
  </si>
  <si>
    <t>Total Assets  (Cat 1,2,3) (k) = (c+f+g+j)</t>
  </si>
  <si>
    <t xml:space="preserve">Islamic Instruments </t>
  </si>
  <si>
    <t>Development Bonds 1/</t>
  </si>
  <si>
    <t>Al Salam Islamic Securities 4/</t>
  </si>
  <si>
    <t xml:space="preserve"> Islamic Securities 3/</t>
  </si>
  <si>
    <t>1/  Development Bonds are issued in BD &amp; US Dollar.</t>
  </si>
  <si>
    <t>1/ سندات التنمية الحكومية  تصدر بالدينار البحريني وبالدولار الأمريكي.</t>
  </si>
  <si>
    <t>3/  Islamic securities, Short Term ( 6 &amp; 12months) &amp; Long term which are issued in BD &amp; US Dollar.</t>
  </si>
  <si>
    <t>3/ صكوك إسلامية قصيره الأجل تستحق بعد 182 يوم و 12 شهراً وطويلة الأجل تصدر بالدينار البحريني وبالدولار الأمريكي.</t>
  </si>
  <si>
    <t>4/  Al Salam Islamic securities have a maturity of 91 days.</t>
  </si>
  <si>
    <t>4/  صكوك السلم الإسلامية تستحق بعد 91  يوم.</t>
  </si>
  <si>
    <t>صكوك إسلامية</t>
  </si>
  <si>
    <t>March</t>
  </si>
  <si>
    <t>04.03.2026</t>
  </si>
  <si>
    <t>18.03.2026</t>
  </si>
  <si>
    <t>19.03.2026</t>
  </si>
  <si>
    <t>22.03.2026</t>
  </si>
  <si>
    <t>25.03.2026</t>
  </si>
  <si>
    <t>04.02.2026</t>
  </si>
  <si>
    <t>18.02.2026</t>
  </si>
  <si>
    <t>19.02.2026</t>
  </si>
  <si>
    <t>22.02.2026</t>
  </si>
  <si>
    <t>25.02.2026</t>
  </si>
  <si>
    <t>14.01.2026</t>
  </si>
  <si>
    <t>15.01.2026</t>
  </si>
  <si>
    <t>21.01.2026</t>
  </si>
  <si>
    <t>25.01.2026</t>
  </si>
  <si>
    <t>28.01.2026</t>
  </si>
  <si>
    <t>Q4 2025</t>
  </si>
  <si>
    <t xml:space="preserve">  2026  Q1</t>
  </si>
  <si>
    <t>April</t>
  </si>
  <si>
    <t>01.04.2026</t>
  </si>
  <si>
    <t>15.04.2026</t>
  </si>
  <si>
    <t>16.04.2026</t>
  </si>
  <si>
    <t>22.04.2026</t>
  </si>
  <si>
    <t>29.04.2026</t>
  </si>
  <si>
    <t>03.05.2026</t>
  </si>
  <si>
    <t>06.05.2026</t>
  </si>
  <si>
    <t>20.05.2026</t>
  </si>
  <si>
    <t>21.05.2026</t>
  </si>
  <si>
    <t>24.05.2026</t>
  </si>
  <si>
    <t>27.05.2026</t>
  </si>
  <si>
    <t>June</t>
  </si>
  <si>
    <t>03.06.2026</t>
  </si>
  <si>
    <t>17.06.2026</t>
  </si>
  <si>
    <t>18.06.2026</t>
  </si>
  <si>
    <t>21.06.2026</t>
  </si>
  <si>
    <t>24.06.2026</t>
  </si>
  <si>
    <t>2026*</t>
  </si>
  <si>
    <t>Q1 2026</t>
  </si>
  <si>
    <t>July</t>
  </si>
  <si>
    <t>Classification of Restricted &amp; Unrestricted account for Islamic Banks (Consolidated) July 2026</t>
  </si>
  <si>
    <t>الحسابات المقيدة وغير المقيدة للمصارف الإسلامية (مجمعة) يوليو 2026</t>
  </si>
  <si>
    <t>01.07.2026</t>
  </si>
  <si>
    <t>15.07.2026</t>
  </si>
  <si>
    <t>16.07.2026</t>
  </si>
  <si>
    <t>22.07.2026</t>
  </si>
  <si>
    <t>26.07.2026</t>
  </si>
  <si>
    <t>29.07.2026</t>
  </si>
  <si>
    <t xml:space="preserve">  2026  Q2</t>
  </si>
  <si>
    <r>
      <t xml:space="preserve">معدل النمو </t>
    </r>
    <r>
      <rPr>
        <b/>
        <sz val="11"/>
        <rFont val="Simple Bold Jut Out"/>
        <charset val="178"/>
      </rPr>
      <t>%</t>
    </r>
  </si>
  <si>
    <r>
      <t xml:space="preserve">أسعار الفائدة في الأسواق المالية والتعاملات بين المصارف </t>
    </r>
    <r>
      <rPr>
        <b/>
        <sz val="11"/>
        <rFont val="Mudir MT"/>
        <charset val="178"/>
      </rPr>
      <t>%</t>
    </r>
    <r>
      <rPr>
        <b/>
        <sz val="11"/>
        <rFont val="Arial"/>
        <family val="2"/>
      </rPr>
      <t xml:space="preserve"> *</t>
    </r>
  </si>
  <si>
    <r>
      <t xml:space="preserve">أذونات الخزانة قصيرة الأجل </t>
    </r>
    <r>
      <rPr>
        <b/>
        <sz val="11"/>
        <rFont val="Mudir MT"/>
        <charset val="178"/>
      </rPr>
      <t>%</t>
    </r>
  </si>
  <si>
    <r>
      <t xml:space="preserve">سندات التنمية الحكومية طويلة الأجل </t>
    </r>
    <r>
      <rPr>
        <b/>
        <sz val="11"/>
        <rFont val="Mudir MT"/>
        <charset val="178"/>
      </rPr>
      <t>%</t>
    </r>
  </si>
  <si>
    <r>
      <t xml:space="preserve">Table No. (58) </t>
    </r>
    <r>
      <rPr>
        <b/>
        <sz val="14"/>
        <rFont val="Arial (Arabic)"/>
        <family val="2"/>
        <charset val="178"/>
      </rPr>
      <t xml:space="preserve">جدول رقم </t>
    </r>
  </si>
  <si>
    <r>
      <t xml:space="preserve">( ألف </t>
    </r>
    <r>
      <rPr>
        <b/>
        <sz val="11"/>
        <rFont val="Arial (Arabic)"/>
        <family val="2"/>
        <charset val="178"/>
      </rPr>
      <t>Thousand )</t>
    </r>
  </si>
  <si>
    <r>
      <t xml:space="preserve">Table No. (57) </t>
    </r>
    <r>
      <rPr>
        <b/>
        <sz val="13"/>
        <rFont val="Arial (Arabic)"/>
        <family val="2"/>
        <charset val="178"/>
      </rPr>
      <t xml:space="preserve">جدول رقم </t>
    </r>
  </si>
  <si>
    <r>
      <t xml:space="preserve">Table No. (56) </t>
    </r>
    <r>
      <rPr>
        <b/>
        <sz val="13"/>
        <rFont val="Arial (Arabic)"/>
        <family val="2"/>
        <charset val="178"/>
      </rPr>
      <t xml:space="preserve">جدول رقم </t>
    </r>
  </si>
  <si>
    <r>
      <t xml:space="preserve">Table No. (55) </t>
    </r>
    <r>
      <rPr>
        <b/>
        <sz val="14"/>
        <rFont val="Arial (Arabic)"/>
        <family val="2"/>
        <charset val="178"/>
      </rPr>
      <t xml:space="preserve">جدول رقم </t>
    </r>
  </si>
  <si>
    <r>
      <t>3/  معدل الدوران = ( قيمة الأسهم المتداولة / القيمة السوقية )  X</t>
    </r>
    <r>
      <rPr>
        <sz val="8"/>
        <rFont val="Arial"/>
        <family val="2"/>
        <charset val="178"/>
      </rPr>
      <t xml:space="preserve"> </t>
    </r>
    <r>
      <rPr>
        <sz val="1"/>
        <rFont val="Arial"/>
        <family val="2"/>
        <charset val="178"/>
      </rPr>
      <t xml:space="preserve"> ا </t>
    </r>
    <r>
      <rPr>
        <sz val="11"/>
        <rFont val="Arial"/>
        <family val="2"/>
        <charset val="178"/>
      </rPr>
      <t>100.</t>
    </r>
  </si>
  <si>
    <r>
      <t xml:space="preserve">Table No. (54) </t>
    </r>
    <r>
      <rPr>
        <b/>
        <sz val="14"/>
        <rFont val="Arial (Arabic)"/>
        <family val="2"/>
        <charset val="178"/>
      </rPr>
      <t>جدول رقم</t>
    </r>
  </si>
  <si>
    <r>
      <t xml:space="preserve">Table No. (52)  </t>
    </r>
    <r>
      <rPr>
        <b/>
        <sz val="13"/>
        <rFont val="Arial (Arabic)"/>
        <family val="2"/>
        <charset val="178"/>
      </rPr>
      <t>جدول رقم</t>
    </r>
  </si>
  <si>
    <r>
      <t xml:space="preserve">Table No. (51) </t>
    </r>
    <r>
      <rPr>
        <b/>
        <sz val="13"/>
        <rFont val="Arial (Arabic)"/>
        <family val="2"/>
        <charset val="178"/>
      </rPr>
      <t>جدول رقم</t>
    </r>
  </si>
  <si>
    <r>
      <t xml:space="preserve">* </t>
    </r>
    <r>
      <rPr>
        <sz val="10.5"/>
        <rFont val="Arial"/>
        <family val="2"/>
      </rPr>
      <t>Includes Money Changers, Financing Companies, Microfinance Institutions, Ancillary Service Provider, Trust Service Provider, Registered Administrators, Fund Administrators and Registrar License.</t>
    </r>
  </si>
  <si>
    <r>
      <t>** Includes</t>
    </r>
    <r>
      <rPr>
        <sz val="10.5"/>
        <rFont val="Arial"/>
        <family val="2"/>
      </rPr>
      <t xml:space="preserve"> Licensed Exchanges, Licensed Clearing (Settlement and Central), Licensed Securities Broker-Dealer, Licensed Securities Clearing Member, and Licensed Securities Broker, Licensed Securities Discount Broker and Crypto-Asset Services.</t>
    </r>
  </si>
  <si>
    <t xml:space="preserve">Table No. (48) جدول رقم </t>
  </si>
  <si>
    <t xml:space="preserve">Table No. (47) جدول رقم </t>
  </si>
  <si>
    <t xml:space="preserve">Table No. (46) جدول رقم </t>
  </si>
  <si>
    <t xml:space="preserve">Table No. (45) جدول رقم </t>
  </si>
  <si>
    <r>
      <t xml:space="preserve">Table No. (44) </t>
    </r>
    <r>
      <rPr>
        <b/>
        <sz val="14"/>
        <rFont val="Arial (Arabic)"/>
        <family val="2"/>
        <charset val="178"/>
      </rPr>
      <t xml:space="preserve">جدول رقم </t>
    </r>
  </si>
  <si>
    <r>
      <t>1/ The Bahrain Cheque Truncation System (BCTS) went live on Sunday, 13</t>
    </r>
    <r>
      <rPr>
        <vertAlign val="superscript"/>
        <sz val="10"/>
        <rFont val="Arial"/>
        <family val="2"/>
      </rPr>
      <t>th</t>
    </r>
    <r>
      <rPr>
        <sz val="10"/>
        <rFont val="Arial"/>
        <family val="2"/>
      </rPr>
      <t xml:space="preserve"> May, 2012.</t>
    </r>
  </si>
  <si>
    <r>
      <t>2/ The Electronic Fund Transfer System (EFTS) went live on 5</t>
    </r>
    <r>
      <rPr>
        <vertAlign val="superscript"/>
        <sz val="10"/>
        <rFont val="Arial"/>
        <family val="2"/>
      </rPr>
      <t>th</t>
    </r>
    <r>
      <rPr>
        <sz val="10"/>
        <rFont val="Arial"/>
        <family val="2"/>
      </rPr>
      <t xml:space="preserve"> November 2015 (only with Fawri+ and Fawri)</t>
    </r>
  </si>
  <si>
    <r>
      <t xml:space="preserve">3/ The Electronic Bill Presentment and Payment (EBPP) System i.e. </t>
    </r>
    <r>
      <rPr>
        <i/>
        <sz val="10"/>
        <rFont val="Arial"/>
        <family val="2"/>
      </rPr>
      <t>Fawateer went live officially on 1</t>
    </r>
    <r>
      <rPr>
        <i/>
        <vertAlign val="superscript"/>
        <sz val="10"/>
        <rFont val="Arial"/>
        <family val="2"/>
      </rPr>
      <t>st</t>
    </r>
    <r>
      <rPr>
        <i/>
        <sz val="10"/>
        <rFont val="Arial"/>
        <family val="2"/>
      </rPr>
      <t xml:space="preserve"> February, 2016 (Direct Debit Service) </t>
    </r>
  </si>
  <si>
    <r>
      <t xml:space="preserve">3/ بدأ عمل نظام عرض ودفع الفواتير الإلكترونية </t>
    </r>
    <r>
      <rPr>
        <i/>
        <sz val="10"/>
        <rFont val="Arial (Arabic)"/>
      </rPr>
      <t>بشكل رسمي في 1 فبراير 2016 (خدمة الاستقطاع المباشر) و 3 أكتوبر 2016 (خدمة الدفع المباشر)</t>
    </r>
  </si>
  <si>
    <r>
      <t xml:space="preserve">Table No. (41) </t>
    </r>
    <r>
      <rPr>
        <b/>
        <sz val="14"/>
        <rFont val="Arial (Arabic)"/>
        <family val="2"/>
        <charset val="178"/>
      </rPr>
      <t xml:space="preserve">جدول رقم </t>
    </r>
  </si>
  <si>
    <r>
      <t xml:space="preserve">Table No. (36) </t>
    </r>
    <r>
      <rPr>
        <b/>
        <sz val="14"/>
        <rFont val="Arial (Arabic)"/>
        <family val="2"/>
        <charset val="178"/>
      </rPr>
      <t>جدول رقم</t>
    </r>
  </si>
  <si>
    <r>
      <t xml:space="preserve">Table No. (35) </t>
    </r>
    <r>
      <rPr>
        <b/>
        <sz val="14"/>
        <rFont val="Arial (Arabic)"/>
        <family val="2"/>
        <charset val="178"/>
      </rPr>
      <t>جدول رقم</t>
    </r>
  </si>
  <si>
    <r>
      <t xml:space="preserve">Table No. (34) </t>
    </r>
    <r>
      <rPr>
        <b/>
        <sz val="14"/>
        <rFont val="Arial (Arabic)"/>
        <family val="2"/>
        <charset val="178"/>
      </rPr>
      <t>جدول رقم</t>
    </r>
  </si>
  <si>
    <r>
      <t xml:space="preserve">Table No. (33) </t>
    </r>
    <r>
      <rPr>
        <b/>
        <sz val="14"/>
        <rFont val="Arial (Arabic)"/>
        <family val="2"/>
        <charset val="178"/>
      </rPr>
      <t xml:space="preserve">جدول رقم </t>
    </r>
  </si>
  <si>
    <r>
      <t xml:space="preserve">Table No. (32) </t>
    </r>
    <r>
      <rPr>
        <b/>
        <sz val="14"/>
        <rFont val="Arial (Arabic)"/>
        <family val="2"/>
        <charset val="178"/>
      </rPr>
      <t xml:space="preserve">جدول رقم </t>
    </r>
  </si>
  <si>
    <r>
      <t xml:space="preserve">Table No. (31) </t>
    </r>
    <r>
      <rPr>
        <b/>
        <sz val="14"/>
        <rFont val="Arial (Arabic)"/>
        <family val="2"/>
        <charset val="178"/>
      </rPr>
      <t>جدول رقم</t>
    </r>
  </si>
  <si>
    <r>
      <t xml:space="preserve">Table No. (30) </t>
    </r>
    <r>
      <rPr>
        <b/>
        <sz val="14"/>
        <rFont val="Arial (Arabic)"/>
        <family val="2"/>
        <charset val="178"/>
      </rPr>
      <t>جدول رقم</t>
    </r>
  </si>
  <si>
    <r>
      <t xml:space="preserve">Table No. (29) </t>
    </r>
    <r>
      <rPr>
        <b/>
        <sz val="14"/>
        <rFont val="Arial (Arabic)"/>
        <family val="2"/>
        <charset val="178"/>
      </rPr>
      <t>جدول رقم</t>
    </r>
  </si>
  <si>
    <r>
      <t xml:space="preserve">Table No. (28) </t>
    </r>
    <r>
      <rPr>
        <b/>
        <sz val="14"/>
        <rFont val="Arial (Arabic)"/>
        <family val="2"/>
        <charset val="178"/>
      </rPr>
      <t>جدول رقم</t>
    </r>
  </si>
  <si>
    <r>
      <t xml:space="preserve">Table No. (27) </t>
    </r>
    <r>
      <rPr>
        <b/>
        <sz val="14"/>
        <rFont val="Arial (Arabic)"/>
        <family val="2"/>
        <charset val="178"/>
      </rPr>
      <t xml:space="preserve">جدول رقم </t>
    </r>
  </si>
  <si>
    <r>
      <t xml:space="preserve">Table No. (26) </t>
    </r>
    <r>
      <rPr>
        <b/>
        <sz val="14"/>
        <rFont val="Arial (Arabic)"/>
        <family val="2"/>
        <charset val="178"/>
      </rPr>
      <t xml:space="preserve">جدول رقم </t>
    </r>
  </si>
  <si>
    <r>
      <t xml:space="preserve">Table No. (24) </t>
    </r>
    <r>
      <rPr>
        <b/>
        <sz val="14"/>
        <rFont val="Arial (Arabic)"/>
        <family val="2"/>
        <charset val="178"/>
      </rPr>
      <t>جدول رقم</t>
    </r>
  </si>
  <si>
    <r>
      <t xml:space="preserve">Table No. (23) </t>
    </r>
    <r>
      <rPr>
        <b/>
        <sz val="14"/>
        <rFont val="Arial (Arabic)"/>
        <family val="2"/>
        <charset val="178"/>
      </rPr>
      <t>جدول رقم</t>
    </r>
  </si>
  <si>
    <r>
      <t xml:space="preserve">Table No. (22) </t>
    </r>
    <r>
      <rPr>
        <b/>
        <sz val="14"/>
        <rFont val="Arial (Arabic)"/>
        <family val="2"/>
        <charset val="178"/>
      </rPr>
      <t xml:space="preserve">جدول رقم </t>
    </r>
  </si>
  <si>
    <r>
      <t xml:space="preserve">Table No. (21) </t>
    </r>
    <r>
      <rPr>
        <b/>
        <sz val="14"/>
        <rFont val="Arial"/>
        <family val="2"/>
      </rPr>
      <t xml:space="preserve">جدول رقم </t>
    </r>
  </si>
  <si>
    <r>
      <t xml:space="preserve">Table No. (20) </t>
    </r>
    <r>
      <rPr>
        <b/>
        <sz val="14"/>
        <rFont val="Arial (Arabic)"/>
        <family val="2"/>
        <charset val="178"/>
      </rPr>
      <t>جدول رقم</t>
    </r>
  </si>
  <si>
    <r>
      <t xml:space="preserve">Table No. (18) </t>
    </r>
    <r>
      <rPr>
        <b/>
        <sz val="14"/>
        <rFont val="Arial (Arabic)"/>
        <family val="2"/>
        <charset val="178"/>
      </rPr>
      <t>جدول رقم</t>
    </r>
  </si>
  <si>
    <r>
      <t xml:space="preserve">Table No. (17) </t>
    </r>
    <r>
      <rPr>
        <b/>
        <sz val="14"/>
        <rFont val="Arial (Arabic)"/>
        <family val="2"/>
        <charset val="178"/>
      </rPr>
      <t>جدول رقم</t>
    </r>
  </si>
  <si>
    <r>
      <t xml:space="preserve">Table No. (16) </t>
    </r>
    <r>
      <rPr>
        <b/>
        <sz val="12"/>
        <rFont val="Arial (Arabic)"/>
        <family val="2"/>
        <charset val="178"/>
      </rPr>
      <t>جدول رقم</t>
    </r>
  </si>
  <si>
    <r>
      <t xml:space="preserve">Table No. (15) </t>
    </r>
    <r>
      <rPr>
        <b/>
        <sz val="14"/>
        <rFont val="Arial (Arabic)"/>
        <family val="2"/>
        <charset val="178"/>
      </rPr>
      <t>جدول رقم</t>
    </r>
  </si>
  <si>
    <r>
      <t xml:space="preserve">Table No. (14) </t>
    </r>
    <r>
      <rPr>
        <b/>
        <sz val="14"/>
        <rFont val="Arial (Arabic)"/>
        <family val="2"/>
        <charset val="178"/>
      </rPr>
      <t>جدول رقم</t>
    </r>
  </si>
  <si>
    <r>
      <t xml:space="preserve">Table No. (13) </t>
    </r>
    <r>
      <rPr>
        <b/>
        <sz val="14"/>
        <rFont val="Arial (Arabic)"/>
        <family val="2"/>
        <charset val="178"/>
      </rPr>
      <t xml:space="preserve">جدول رقم </t>
    </r>
  </si>
  <si>
    <r>
      <t xml:space="preserve">Table No. (11) </t>
    </r>
    <r>
      <rPr>
        <b/>
        <sz val="14"/>
        <rFont val="Arial (Arabic)"/>
        <family val="2"/>
        <charset val="178"/>
      </rPr>
      <t>جـدول رقـم</t>
    </r>
  </si>
  <si>
    <r>
      <t xml:space="preserve">Table No. (10) </t>
    </r>
    <r>
      <rPr>
        <b/>
        <sz val="14"/>
        <rFont val="Arial (Arabic)"/>
        <family val="2"/>
        <charset val="178"/>
      </rPr>
      <t>جدول رقم</t>
    </r>
  </si>
  <si>
    <r>
      <t>مصارف قطاع التجزئة الإسلامية - معدلات الربح على القروض الشخصية وقروض قطاع الأعمال حسب المصارف -</t>
    </r>
    <r>
      <rPr>
        <b/>
        <sz val="14"/>
        <rFont val="Arial (Arabic)"/>
      </rPr>
      <t xml:space="preserve"> يوليو 2026</t>
    </r>
    <r>
      <rPr>
        <b/>
        <sz val="14"/>
        <rFont val="Arial (Arabic)"/>
        <family val="2"/>
        <charset val="178"/>
      </rPr>
      <t xml:space="preserve"> - 1/</t>
    </r>
  </si>
  <si>
    <r>
      <t>Islamic Retail Banks - Rates of Profit on Personal and Business Loans by Banks -</t>
    </r>
    <r>
      <rPr>
        <b/>
        <sz val="14"/>
        <rFont val="Arial"/>
        <family val="2"/>
      </rPr>
      <t xml:space="preserve"> July 2026</t>
    </r>
    <r>
      <rPr>
        <b/>
        <sz val="14"/>
        <rFont val="Arial"/>
        <family val="2"/>
        <charset val="178"/>
      </rPr>
      <t xml:space="preserve"> - 1/</t>
    </r>
  </si>
  <si>
    <r>
      <t xml:space="preserve">Table No. (9) </t>
    </r>
    <r>
      <rPr>
        <b/>
        <sz val="14"/>
        <rFont val="Arial (Arabic)"/>
        <family val="2"/>
        <charset val="178"/>
      </rPr>
      <t>جدول رقم</t>
    </r>
  </si>
  <si>
    <r>
      <t xml:space="preserve">Table No. (8) </t>
    </r>
    <r>
      <rPr>
        <b/>
        <sz val="14"/>
        <rFont val="Arial (Arabic)"/>
        <family val="2"/>
        <charset val="178"/>
      </rPr>
      <t>جدول رقم</t>
    </r>
  </si>
  <si>
    <r>
      <t>مصارف قطاع التجزئة التقليدية - أسعار الفائدة على القروض الشخصية وقروض قطاع الأعمال حسب المصارف -</t>
    </r>
    <r>
      <rPr>
        <b/>
        <sz val="14"/>
        <rFont val="Arial (Arabic)"/>
      </rPr>
      <t xml:space="preserve"> يوليو 2026</t>
    </r>
    <r>
      <rPr>
        <b/>
        <sz val="14"/>
        <rFont val="Arial (Arabic)"/>
        <family val="2"/>
        <charset val="178"/>
      </rPr>
      <t xml:space="preserve"> - 1/</t>
    </r>
  </si>
  <si>
    <r>
      <t>Conventional Retail Banks - Interest Rates on Personal and Business Loans by Banks -</t>
    </r>
    <r>
      <rPr>
        <b/>
        <sz val="14"/>
        <rFont val="Arial"/>
        <family val="2"/>
      </rPr>
      <t xml:space="preserve"> July 2026</t>
    </r>
    <r>
      <rPr>
        <b/>
        <sz val="14"/>
        <rFont val="Arial"/>
        <family val="2"/>
        <charset val="178"/>
      </rPr>
      <t xml:space="preserve"> - 1/</t>
    </r>
  </si>
  <si>
    <r>
      <t xml:space="preserve">Table No. (7) </t>
    </r>
    <r>
      <rPr>
        <b/>
        <sz val="14"/>
        <rFont val="Arial (Arabic)"/>
        <family val="2"/>
        <charset val="178"/>
      </rPr>
      <t>جدول رقم</t>
    </r>
  </si>
  <si>
    <r>
      <t xml:space="preserve">Table No. (6) </t>
    </r>
    <r>
      <rPr>
        <b/>
        <sz val="14"/>
        <rFont val="Arial (Arabic)"/>
        <family val="2"/>
        <charset val="178"/>
      </rPr>
      <t>جدول رقم</t>
    </r>
  </si>
  <si>
    <r>
      <t xml:space="preserve">Table No. (5) </t>
    </r>
    <r>
      <rPr>
        <b/>
        <sz val="14"/>
        <rFont val="Arial (Arabic)"/>
        <family val="2"/>
        <charset val="178"/>
      </rPr>
      <t xml:space="preserve">جدول رقم </t>
    </r>
  </si>
  <si>
    <r>
      <t xml:space="preserve">Table No. (4) </t>
    </r>
    <r>
      <rPr>
        <b/>
        <sz val="14"/>
        <rFont val="Arial (Arabic)"/>
      </rPr>
      <t xml:space="preserve">جدول رقم </t>
    </r>
  </si>
  <si>
    <r>
      <t xml:space="preserve">Table No. (2) </t>
    </r>
    <r>
      <rPr>
        <b/>
        <sz val="14"/>
        <rFont val="Arial (Arabic)"/>
        <family val="2"/>
        <charset val="178"/>
      </rPr>
      <t xml:space="preserve">جدول رقم </t>
    </r>
  </si>
  <si>
    <r>
      <t xml:space="preserve">Table No. (1) </t>
    </r>
    <r>
      <rPr>
        <b/>
        <sz val="14"/>
        <rFont val="Arial (Arabic)"/>
        <family val="2"/>
        <charset val="178"/>
      </rPr>
      <t>جدول رقم</t>
    </r>
  </si>
  <si>
    <r>
      <t>Current Account:</t>
    </r>
    <r>
      <rPr>
        <sz val="11.8"/>
        <rFont val="Arial"/>
        <family val="2"/>
      </rPr>
      <t xml:space="preserve"> It covers all the imported and exported goods and services, primary and secondary income accounts in the balance of payments. 
• Primary Income includes all the investment income, direct investment, portfolio investment, and others. Whereas, Secondary Income cover workers’ remittances.  
• In current account, when credits exceed the debits, in other words, when the difference is positive the result is called as current account surplus. 
• In contrast, the result is called a deficit when the debits exceed the credits.  when the debits exceed the credits, in other words, when the difference is negative the result is called as current account deficit. 
</t>
    </r>
    <r>
      <rPr>
        <b/>
        <sz val="11.8"/>
        <rFont val="Arial"/>
        <family val="2"/>
      </rPr>
      <t>Capital Account:</t>
    </r>
    <r>
      <rPr>
        <sz val="11.8"/>
        <rFont val="Arial"/>
        <family val="2"/>
      </rPr>
      <t xml:space="preserve"> It covers capital transfers. 
</t>
    </r>
    <r>
      <rPr>
        <b/>
        <sz val="11.8"/>
        <rFont val="Arial"/>
        <family val="2"/>
      </rPr>
      <t>Financial Account:</t>
    </r>
    <r>
      <rPr>
        <sz val="11.8"/>
        <rFont val="Arial"/>
        <family val="2"/>
      </rPr>
      <t xml:space="preserve"> It covers the changes in external financial assets and liabilities of a country and the corresponding records of these changes, it calculates the nets of the direct investment, portfolio investment, other investment, and reserve assets.
</t>
    </r>
    <r>
      <rPr>
        <b/>
        <sz val="11.8"/>
        <rFont val="Arial"/>
        <family val="2"/>
      </rPr>
      <t>On the assets side of the different items of the financial account,</t>
    </r>
    <r>
      <rPr>
        <sz val="11.8"/>
        <rFont val="Arial"/>
        <family val="2"/>
      </rPr>
      <t xml:space="preserve"> a negative sign means an increase in foreign assets compared with the previous period, while a positive sign means a decrease in foreign assets.
</t>
    </r>
    <r>
      <rPr>
        <b/>
        <sz val="11.8"/>
        <rFont val="Arial"/>
        <family val="2"/>
      </rPr>
      <t>On the liabilities side of the different items of the financial account,</t>
    </r>
    <r>
      <rPr>
        <sz val="11.8"/>
        <rFont val="Arial"/>
        <family val="2"/>
      </rPr>
      <t xml:space="preserve"> a negative sign means a decrease in foreign liabilities, while a positive sign means an increase in foreign liabilities. 
</t>
    </r>
  </si>
  <si>
    <r>
      <t xml:space="preserve">Tables List   </t>
    </r>
    <r>
      <rPr>
        <b/>
        <sz val="14"/>
        <rFont val="Arial (Arabic)"/>
        <family val="2"/>
        <charset val="178"/>
      </rPr>
      <t>قائمـة الجـداول</t>
    </r>
  </si>
  <si>
    <r>
      <t xml:space="preserve">Table  </t>
    </r>
    <r>
      <rPr>
        <b/>
        <sz val="14"/>
        <rFont val="Arial (Arabic)"/>
        <family val="2"/>
        <charset val="178"/>
      </rPr>
      <t>الجدول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</si>
</sst>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44" formatCode="_(&quot;$&quot;* #,##0.00_);_(&quot;$&quot;* \(#,##0.00\);_(&quot;$&quot;* &quot;-&quot;??_);_(@_)"/>
    <numFmt numFmtId="43" formatCode="_(* #,##0.00_);_(* \(#,##0.00\);_(* &quot;-&quot;??_);_(@_)"/>
    <numFmt numFmtId="164" formatCode="0.0"/>
    <numFmt numFmtId="165" formatCode="#,##0.0"/>
    <numFmt numFmtId="166" formatCode="\ \ 0"/>
    <numFmt numFmtId="167" formatCode="#,##0.0\ \ \ \ \ ;\-#,##0.0\ \ \ \ \ ;\-\-\ \ \ \ "/>
    <numFmt numFmtId="168" formatCode="#,##0.0\ \ \ \ \ \ \ ;\-#,##0.0\ \ \ \ \ \ \ ;\-\-\ \ \ \ "/>
    <numFmt numFmtId="169" formatCode="#,##0.0\ \ \ \ \ \ \ \ ;\-#,##0.0\ \ \ \ \ \ \ \ ;\-\-\ \ \ \ "/>
    <numFmt numFmtId="170" formatCode="#,##0.0;\-#,##0.0;\-\-"/>
    <numFmt numFmtId="171" formatCode="#,##0.0\ \ \ \ ;\-#,##0.0\ \ \ \ ;\-\-\ \ \ \ "/>
    <numFmt numFmtId="172" formatCode="#,##0.0\ \ \ \ \ \ ;\-#,##0.0\ \ \ \ \ \ ;\-\-\ \ \ \ "/>
    <numFmt numFmtId="173" formatCode="\(0\)"/>
    <numFmt numFmtId="174" formatCode="0.0\ \ \ \ \ \ \ "/>
    <numFmt numFmtId="175" formatCode="#,##0.0\ \ \ \ \ \ \ \ \ \ ;\-#,##0.0\ \ \ \ \ \ \ \ \ \ ;\-\-\ \ \ \ \ "/>
    <numFmt numFmtId="176" formatCode="#,##0.0\ ;\-#,##0.0\ ;\-\-\ "/>
    <numFmt numFmtId="177" formatCode="#,##0.0\ \ ;\-#,##0.0\ \ ;\-\-\ \ "/>
    <numFmt numFmtId="178" formatCode="#,##0.0\ \ \ ;\-#,##0.0\ \ \ ;\-\-\ \ \ "/>
    <numFmt numFmtId="179" formatCode="#,##0.0\ \ \ \ ;\-#,##0.0\ \ \ \ ;\-\-\ \ \ "/>
    <numFmt numFmtId="180" formatCode="#,##0.0\ \ \ \ \ \ ;\-#,##0.0\ \ \ \ \ \ ;\-\-\ \ \ "/>
    <numFmt numFmtId="181" formatCode="#,##0.0\ \ \ \ \ \ \ \ ;\-#,##0.0\ \ \ \ \ \ \ \ ;\-\-\ \ \ \ \ "/>
    <numFmt numFmtId="182" formatCode="#,##0.0\ \ \ \ \ \ \ \ \ ;\-#,##0.0\ \ \ \ \ \ \ \ \ ;\-\-\ \ \ \ \ "/>
    <numFmt numFmtId="183" formatCode="#,##0.0\ \ \ \ \ ;\-#,##0.0\ \ \ \ \ ;\-\-\ \ \ \ \ "/>
    <numFmt numFmtId="184" formatCode="#,##0.0\ \ \ \ \ \ \ ;\-#,##0.0\ \ \ \ \ \ \ ;\-\-\ \ \ \ \ \ "/>
    <numFmt numFmtId="185" formatCode="#,##0.0\ \ \ \ \ \ ;\-#,##0.0\ \ \ \ \ \ ;\-\-\ \ \ \ \ "/>
    <numFmt numFmtId="186" formatCode="#,##0.0\ \ \ \ \ \ \ \ \ \ \ ;\-#,##0.0\ \ \ \ \ \ \ \ \ \ \ ;\-\-\ \ \ \ \ \ "/>
    <numFmt numFmtId="187" formatCode="#,##0.0\ \ \ \ \ \ \ ;\-#,##0.0\ \ \ \ \ \ \ ;\-\-\ \ \ \ \ "/>
    <numFmt numFmtId="188" formatCode="#,##0.0\ \ \ \ \ ;\-#,##0.0\ \ \ \ \ ;\-\-\ \ \ "/>
    <numFmt numFmtId="189" formatCode="#,##0.0\ \ \ ;\-#,##0.0\ \ \ ;\-\-\ \ "/>
    <numFmt numFmtId="190" formatCode="#,##0.0\ \ \ \ \ \ \ \ \ \ ;\-#,##0.0\ \ \ \ \ \ \ \ \ \ ;\-\-\ \ \ \ \ \ "/>
    <numFmt numFmtId="191" formatCode="#,##0.0\ \ \ \ \ \ ;\-#,##0.0\ \ \ \ \ \ ;\-\-\ \ "/>
    <numFmt numFmtId="192" formatCode="#,##0.0\ \ \ \ \ \ \ \ \ \ \ ;\-#,##0.0\ \ \ \ \ \ \ \ \ \ \ ;\-\-\ \ \ \ \ \ \ \ \ \ \ "/>
    <numFmt numFmtId="193" formatCode="#,##0.0\ \ \ \ \ \ \ \ \ \ \ \ \ ;\-#,##0.0\ \ \ \ \ \ \ \ \ \ \ \ \ ;\-\-\ \ \ \ \ \ \ "/>
    <numFmt numFmtId="194" formatCode="#,##0.0\ \ \ \ \ \ \ \ \ \ \ \ \ ;\-#,##0.0\ \ \ \ \ \ \ \ \ \ \ \ \ ;\-\-\ \ \ \ \ "/>
    <numFmt numFmtId="195" formatCode="#,##0.0\ \ \ \ \ \ ;\-#,##0.0\ \ \ \ ;\-\-\ \ \ \ \ \ "/>
    <numFmt numFmtId="196" formatCode="#,##0.0\ \ \ \ \ \ \ ;\-#,##0.0\ \ \ \ \ \ \ ;\-\-\ \ \ "/>
    <numFmt numFmtId="197" formatCode="#,##0.0\ \ \ \ \ \ \ \ \ \ ;\-#,##0.0\ \ \ \ \ \ \ \ \ \ ;\-\-\ \ \ \ \ \ \ \ \ \ "/>
    <numFmt numFmtId="198" formatCode="#,##0.0;#,##0.0;\-\-"/>
    <numFmt numFmtId="199" formatCode="#,##0.000"/>
    <numFmt numFmtId="200" formatCode="#,##0.0\ \ \ \ \ ;\-#,##0.0\ \ \ \ \ ;0.0\ \ \ \ \ "/>
    <numFmt numFmtId="201" formatCode="#,##0.0\ \ \ \ \ ;\-#,##0.0\ \ \ \ "/>
    <numFmt numFmtId="202" formatCode="#,##0.0\ \ \ \ ;\-#,##0.0\ \ \ \ ;\-\-\ \ \ \ \ "/>
    <numFmt numFmtId="203" formatCode="#,##0.0\ \ \ \ \ \ \ \ \ ;\-#,##0.0\ \ \ \ \ \ \ \ ;\-\-\ \ \ \ \ \ "/>
    <numFmt numFmtId="204" formatCode="#,##0.0\ \ \ \ \ \ \ ;\-#,##0.0\ \ \ \ \ \ \ ;\-\-\ "/>
    <numFmt numFmtId="205" formatCode="#,##0.0;\-#,##0.0\ ;\-\-"/>
    <numFmt numFmtId="206" formatCode="\ \ 0.0"/>
    <numFmt numFmtId="207" formatCode="#,##0.0\ \ \ \ \ \ ;\-#,##0.0\ \ \ \ \ "/>
    <numFmt numFmtId="208" formatCode="#,##0.0\ \ ;\-#,##0.0\ \ ;\-\-\ "/>
    <numFmt numFmtId="209" formatCode="\ 0"/>
    <numFmt numFmtId="210" formatCode="0.000"/>
    <numFmt numFmtId="211" formatCode="\ \ 0.00"/>
    <numFmt numFmtId="212" formatCode="#,##0.0\ "/>
    <numFmt numFmtId="213" formatCode="#,##0.0\ \ \ \ \ \ \ \ \ ;\-#,##0.0\ \ \ \ \ \ \ \ \ ;\-\-\ \ \ \ \ \ "/>
    <numFmt numFmtId="214" formatCode="#,##0.0\ \ \ \ \ \ \ \ \ \ ;\-#,##0.0\ \ \ \ \ \ \ \ \ \ ;\-\-\ \ \ \ \ \ \ \ "/>
    <numFmt numFmtId="215" formatCode="#,##0.0\ \ \ \ \ ;\-#,##0.0\ \ \ \ \ ;\-\-\ \ \ \ \ \ "/>
    <numFmt numFmtId="216" formatCode="#,##0.0\ \ ;\-#,##0.\ \ \ ;\-\-\ "/>
    <numFmt numFmtId="217" formatCode="_(* #,##0.0_);_(* \(#,##0.0\);_(* &quot;-&quot;??_);_(@_)"/>
    <numFmt numFmtId="218" formatCode="0.0000"/>
    <numFmt numFmtId="219" formatCode="#,##0.0\ \ \ "/>
    <numFmt numFmtId="220" formatCode="#,##0.0\ \ ;\-#,##0.0\ \ ;\-\-\ \ \ "/>
    <numFmt numFmtId="221" formatCode="#,##0.0\ \ \ \ ;\-#,##0.0\ \ \ \ ;\-\-\ \ "/>
    <numFmt numFmtId="222" formatCode="#,##0.0\ \ \ ;\-#,##0.0\ \ \ ;\-\-\ "/>
    <numFmt numFmtId="223" formatCode="#,##0.0\ \ \ \ \ \ \ ;\-#,##0.0\ \ \ \ \ \ \ ;0.0\ \ \ \ \ \ \ "/>
    <numFmt numFmtId="224" formatCode="_(* #,##0_);_(* \(#,##0\);_(* &quot;-&quot;??_);_(@_)"/>
    <numFmt numFmtId="225" formatCode="0.0%"/>
    <numFmt numFmtId="226" formatCode="#,##0.00;\-#,##0.00;\-\-"/>
    <numFmt numFmtId="227" formatCode="\ \ 0.0000"/>
    <numFmt numFmtId="228" formatCode="#,##0\ \ \ \ ;\-#,##0\ \ \ \ ;\-\-\ \ \ "/>
    <numFmt numFmtId="229" formatCode="#,##0.0\ \ \ \ \ ;\-#,##0.0\ \ \ \ \ \ \ "/>
  </numFmts>
  <fonts count="83">
    <font>
      <sz val="10"/>
      <name val="Arial"/>
      <charset val="178"/>
    </font>
    <font>
      <sz val="11"/>
      <color theme="1"/>
      <name val="Calibri"/>
      <family val="2"/>
      <scheme val="minor"/>
    </font>
    <font>
      <sz val="11"/>
      <color theme="1"/>
      <name val="Calibri"/>
      <family val="2"/>
      <scheme val="minor"/>
    </font>
    <font>
      <sz val="11"/>
      <color theme="1"/>
      <name val="Calibri"/>
      <family val="2"/>
      <scheme val="minor"/>
    </font>
    <font>
      <sz val="10"/>
      <name val="Arabic Transparent"/>
      <charset val="178"/>
    </font>
    <font>
      <sz val="10"/>
      <name val="Arial"/>
      <family val="2"/>
    </font>
    <font>
      <sz val="12"/>
      <name val="Arial"/>
      <family val="2"/>
      <charset val="178"/>
    </font>
    <font>
      <b/>
      <sz val="14"/>
      <name val="Arial"/>
      <family val="2"/>
      <charset val="178"/>
    </font>
    <font>
      <sz val="10"/>
      <name val="Arial"/>
      <family val="2"/>
      <charset val="178"/>
    </font>
    <font>
      <b/>
      <sz val="10"/>
      <name val="Arial"/>
      <family val="2"/>
      <charset val="178"/>
    </font>
    <font>
      <sz val="10"/>
      <name val="Arial (Arabic)"/>
      <family val="2"/>
      <charset val="178"/>
    </font>
    <font>
      <b/>
      <sz val="14"/>
      <name val="Arial (Arabic)"/>
      <family val="2"/>
      <charset val="178"/>
    </font>
    <font>
      <b/>
      <sz val="12"/>
      <name val="Arial"/>
      <family val="2"/>
      <charset val="178"/>
    </font>
    <font>
      <sz val="10"/>
      <name val="MS Sans Serif"/>
      <family val="2"/>
    </font>
    <font>
      <b/>
      <sz val="12"/>
      <name val="Arial (Arabic)"/>
      <family val="2"/>
      <charset val="178"/>
    </font>
    <font>
      <sz val="12"/>
      <name val="Arial (Arabic)"/>
      <family val="2"/>
      <charset val="178"/>
    </font>
    <font>
      <sz val="12"/>
      <name val="Arial"/>
      <family val="2"/>
    </font>
    <font>
      <sz val="12"/>
      <name val="Arial CE"/>
      <family val="2"/>
      <charset val="178"/>
    </font>
    <font>
      <sz val="11"/>
      <name val="Arial"/>
      <family val="2"/>
      <charset val="178"/>
    </font>
    <font>
      <b/>
      <sz val="11"/>
      <name val="Arial (Arabic)"/>
      <family val="2"/>
      <charset val="178"/>
    </font>
    <font>
      <sz val="11"/>
      <name val="Arial (Arabic)"/>
      <family val="2"/>
      <charset val="178"/>
    </font>
    <font>
      <b/>
      <sz val="11"/>
      <name val="Arial"/>
      <family val="2"/>
      <charset val="178"/>
    </font>
    <font>
      <sz val="11"/>
      <name val="Arial"/>
      <family val="2"/>
    </font>
    <font>
      <sz val="14"/>
      <name val="Arial"/>
      <family val="2"/>
      <charset val="178"/>
    </font>
    <font>
      <b/>
      <sz val="13"/>
      <name val="Arial (Arabic)"/>
      <family val="2"/>
      <charset val="178"/>
    </font>
    <font>
      <sz val="8"/>
      <name val="Arial"/>
      <family val="2"/>
      <charset val="178"/>
    </font>
    <font>
      <sz val="9"/>
      <name val="Arial"/>
      <family val="2"/>
      <charset val="178"/>
    </font>
    <font>
      <sz val="9"/>
      <name val="Arial (Arabic)"/>
      <family val="2"/>
      <charset val="178"/>
    </font>
    <font>
      <sz val="12"/>
      <name val="Times New Roman"/>
      <family val="1"/>
    </font>
    <font>
      <b/>
      <sz val="12"/>
      <name val="Arial"/>
      <family val="2"/>
    </font>
    <font>
      <sz val="9"/>
      <name val="Arial"/>
      <family val="2"/>
    </font>
    <font>
      <b/>
      <sz val="11"/>
      <name val="Arial"/>
      <family val="2"/>
    </font>
    <font>
      <sz val="8"/>
      <name val="Arial"/>
      <family val="2"/>
    </font>
    <font>
      <sz val="12"/>
      <name val="Times New Roman"/>
      <family val="1"/>
      <charset val="178"/>
    </font>
    <font>
      <b/>
      <u/>
      <sz val="12"/>
      <name val="Arial"/>
      <family val="2"/>
      <charset val="178"/>
    </font>
    <font>
      <b/>
      <sz val="8"/>
      <name val="Arial (Arabic)"/>
      <family val="2"/>
      <charset val="178"/>
    </font>
    <font>
      <sz val="9.5"/>
      <name val="Arial"/>
      <family val="2"/>
      <charset val="178"/>
    </font>
    <font>
      <sz val="10"/>
      <name val="Times New Roman"/>
      <family val="1"/>
      <charset val="178"/>
    </font>
    <font>
      <b/>
      <sz val="13"/>
      <name val="Arial"/>
      <family val="2"/>
    </font>
    <font>
      <b/>
      <sz val="14"/>
      <name val="Arial"/>
      <family val="2"/>
    </font>
    <font>
      <sz val="11.5"/>
      <name val="Arial"/>
      <family val="2"/>
      <charset val="178"/>
    </font>
    <font>
      <sz val="11"/>
      <color rgb="FF000000"/>
      <name val="Calibri"/>
      <family val="2"/>
      <scheme val="minor"/>
    </font>
    <font>
      <b/>
      <sz val="12.5"/>
      <name val="Arial"/>
      <family val="2"/>
    </font>
    <font>
      <sz val="12.5"/>
      <name val="Arial"/>
      <family val="2"/>
    </font>
    <font>
      <b/>
      <sz val="10"/>
      <name val="Arial"/>
      <family val="2"/>
    </font>
    <font>
      <sz val="12"/>
      <color theme="1"/>
      <name val="Calibri"/>
      <family val="2"/>
      <scheme val="minor"/>
    </font>
    <font>
      <sz val="11.8"/>
      <name val="Arial"/>
      <family val="2"/>
    </font>
    <font>
      <b/>
      <sz val="9.5"/>
      <name val="Arial"/>
      <family val="2"/>
    </font>
    <font>
      <b/>
      <sz val="10"/>
      <name val="Arial (Arabic)"/>
    </font>
    <font>
      <sz val="10"/>
      <name val="Arial (Arabic)"/>
    </font>
    <font>
      <sz val="10"/>
      <name val="Arial"/>
      <family val="2"/>
    </font>
    <font>
      <sz val="10"/>
      <name val="Arial"/>
      <charset val="178"/>
    </font>
    <font>
      <b/>
      <sz val="16"/>
      <name val="Arial"/>
      <family val="2"/>
    </font>
    <font>
      <b/>
      <sz val="11"/>
      <name val="Simple Bold Jut Out"/>
      <charset val="178"/>
    </font>
    <font>
      <b/>
      <sz val="11"/>
      <name val="Mudir MT"/>
      <charset val="178"/>
    </font>
    <font>
      <sz val="1"/>
      <name val="Arial"/>
      <family val="2"/>
    </font>
    <font>
      <b/>
      <sz val="13"/>
      <name val="Arial"/>
      <family val="2"/>
      <charset val="178"/>
    </font>
    <font>
      <sz val="1"/>
      <name val="Arial"/>
      <family val="2"/>
      <charset val="178"/>
    </font>
    <font>
      <b/>
      <sz val="15"/>
      <name val="Arial"/>
      <family val="2"/>
      <charset val="178"/>
    </font>
    <font>
      <sz val="14"/>
      <name val="Arial"/>
      <family val="2"/>
    </font>
    <font>
      <sz val="11"/>
      <name val="Calibri"/>
      <family val="2"/>
      <scheme val="minor"/>
    </font>
    <font>
      <sz val="10.5"/>
      <name val="Arial"/>
      <family val="2"/>
    </font>
    <font>
      <sz val="13"/>
      <name val="Arial"/>
      <family val="2"/>
    </font>
    <font>
      <sz val="10"/>
      <name val="Times New Roman"/>
      <family val="1"/>
    </font>
    <font>
      <b/>
      <sz val="12"/>
      <name val="Times New Roman"/>
      <family val="1"/>
    </font>
    <font>
      <vertAlign val="superscript"/>
      <sz val="10"/>
      <name val="Arial"/>
      <family val="2"/>
    </font>
    <font>
      <b/>
      <sz val="11.5"/>
      <name val="Arial"/>
      <family val="2"/>
    </font>
    <font>
      <i/>
      <sz val="10"/>
      <name val="Arial"/>
      <family val="2"/>
    </font>
    <font>
      <i/>
      <vertAlign val="superscript"/>
      <sz val="10"/>
      <name val="Arial"/>
      <family val="2"/>
    </font>
    <font>
      <i/>
      <sz val="10"/>
      <name val="Arial (Arabic)"/>
    </font>
    <font>
      <sz val="13"/>
      <name val="Times New Roman"/>
      <family val="1"/>
      <charset val="178"/>
    </font>
    <font>
      <b/>
      <sz val="14"/>
      <name val="Arial (Arabic)"/>
      <family val="2"/>
    </font>
    <font>
      <sz val="13"/>
      <name val="Arial"/>
      <family val="2"/>
      <charset val="178"/>
    </font>
    <font>
      <b/>
      <sz val="15"/>
      <name val="Arial (Arabic)"/>
      <family val="2"/>
      <charset val="178"/>
    </font>
    <font>
      <b/>
      <sz val="14"/>
      <name val="Arial (Arabic)"/>
    </font>
    <font>
      <b/>
      <sz val="11.8"/>
      <name val="Arial"/>
      <family val="2"/>
    </font>
    <font>
      <sz val="10.5"/>
      <name val="Arial"/>
      <family val="2"/>
      <charset val="178"/>
    </font>
    <font>
      <sz val="14"/>
      <name val="Arial (Arabic)"/>
      <family val="2"/>
      <charset val="178"/>
    </font>
    <font>
      <b/>
      <u/>
      <sz val="14"/>
      <name val="Arial"/>
      <family val="2"/>
      <charset val="178"/>
    </font>
    <font>
      <b/>
      <u/>
      <sz val="10.5"/>
      <name val="Arial"/>
      <family val="2"/>
      <charset val="178"/>
    </font>
    <font>
      <b/>
      <u/>
      <sz val="14"/>
      <name val="Arial (Arabic)"/>
      <family val="2"/>
      <charset val="178"/>
    </font>
    <font>
      <b/>
      <u/>
      <sz val="12"/>
      <name val="Arial (Arabic)"/>
      <family val="2"/>
      <charset val="178"/>
    </font>
    <font>
      <sz val="10.5"/>
      <name val="Arial (Arabic)"/>
      <family val="2"/>
      <charset val="178"/>
    </font>
  </fonts>
  <fills count="10">
    <fill>
      <patternFill patternType="none"/>
    </fill>
    <fill>
      <patternFill patternType="gray125"/>
    </fill>
    <fill>
      <patternFill patternType="darkTrellis">
        <fgColor indexed="36"/>
        <bgColor indexed="73"/>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s>
  <borders count="47">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medium">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double">
        <color indexed="64"/>
      </right>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rgb="FF000000"/>
      </bottom>
      <diagonal/>
    </border>
  </borders>
  <cellStyleXfs count="35">
    <xf numFmtId="166" fontId="0" fillId="2" borderId="0" quotePrefix="1" applyFill="0" applyAlignment="0">
      <alignment horizontal="fill" vertical="justify" textRotation="180" wrapText="1"/>
      <protection locked="0" hidden="1"/>
    </xf>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4" fillId="0" borderId="0" applyNumberFormat="0">
      <alignment horizontal="right"/>
    </xf>
    <xf numFmtId="0" fontId="13" fillId="0" borderId="0" applyNumberFormat="0">
      <alignment horizontal="left"/>
    </xf>
    <xf numFmtId="0" fontId="41" fillId="0" borderId="0"/>
    <xf numFmtId="0" fontId="5"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166" fontId="5" fillId="2" borderId="0" quotePrefix="1" applyFill="0" applyAlignment="0">
      <alignment horizontal="fill" vertical="justify" textRotation="180" wrapText="1"/>
      <protection locked="0" hidden="1"/>
    </xf>
    <xf numFmtId="0" fontId="13" fillId="0" borderId="0"/>
    <xf numFmtId="0" fontId="13" fillId="0" borderId="0"/>
    <xf numFmtId="0" fontId="13" fillId="0" borderId="0"/>
    <xf numFmtId="0" fontId="13" fillId="0" borderId="0"/>
    <xf numFmtId="9" fontId="5" fillId="0" borderId="0" applyFont="0" applyFill="0" applyBorder="0" applyAlignment="0" applyProtection="0"/>
    <xf numFmtId="9" fontId="5" fillId="0" borderId="0" applyFont="0" applyFill="0" applyBorder="0" applyAlignment="0" applyProtection="0"/>
    <xf numFmtId="0" fontId="8" fillId="0" borderId="0" applyNumberFormat="0">
      <alignment horizontal="right"/>
    </xf>
    <xf numFmtId="166" fontId="5" fillId="2" borderId="0" quotePrefix="1" applyFill="0" applyAlignment="0">
      <alignment horizontal="fill" vertical="justify" textRotation="180" wrapText="1"/>
      <protection locked="0" hidden="1"/>
    </xf>
    <xf numFmtId="0" fontId="3" fillId="0" borderId="0"/>
    <xf numFmtId="0" fontId="45"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50" fillId="0" borderId="0" applyFont="0" applyFill="0" applyBorder="0" applyAlignment="0" applyProtection="0"/>
  </cellStyleXfs>
  <cellXfs count="2082">
    <xf numFmtId="0" fontId="0" fillId="0" borderId="0" xfId="0" applyNumberFormat="1" applyFill="1" applyAlignment="1" applyProtection="1"/>
    <xf numFmtId="0" fontId="8" fillId="0" borderId="0" xfId="0" applyNumberFormat="1" applyFont="1" applyFill="1" applyAlignment="1" applyProtection="1">
      <alignment horizontal="centerContinuous" wrapText="1"/>
    </xf>
    <xf numFmtId="0" fontId="8" fillId="0" borderId="0" xfId="0" applyNumberFormat="1" applyFont="1" applyFill="1" applyAlignment="1" applyProtection="1">
      <alignment wrapText="1"/>
    </xf>
    <xf numFmtId="0" fontId="5" fillId="0" borderId="0" xfId="0" applyNumberFormat="1" applyFont="1" applyFill="1" applyAlignment="1" applyProtection="1">
      <alignment horizontal="centerContinuous"/>
    </xf>
    <xf numFmtId="0" fontId="5" fillId="0" borderId="0" xfId="0" applyNumberFormat="1" applyFont="1" applyFill="1" applyAlignment="1" applyProtection="1">
      <alignment horizontal="centerContinuous" wrapText="1"/>
    </xf>
    <xf numFmtId="0" fontId="8" fillId="0" borderId="0" xfId="0" applyNumberFormat="1" applyFont="1" applyFill="1" applyAlignment="1" applyProtection="1"/>
    <xf numFmtId="0" fontId="8" fillId="0" borderId="0" xfId="0" applyNumberFormat="1" applyFont="1" applyFill="1" applyAlignment="1" applyProtection="1">
      <alignment horizontal="right" wrapText="1"/>
    </xf>
    <xf numFmtId="0" fontId="8" fillId="0" borderId="0" xfId="0" applyNumberFormat="1" applyFont="1" applyFill="1" applyAlignment="1" applyProtection="1">
      <alignment horizontal="centerContinuous"/>
    </xf>
    <xf numFmtId="0" fontId="6" fillId="0" borderId="0" xfId="0" applyNumberFormat="1" applyFont="1" applyFill="1" applyAlignment="1" applyProtection="1"/>
    <xf numFmtId="22" fontId="8" fillId="0" borderId="0" xfId="0" applyNumberFormat="1" applyFont="1" applyFill="1" applyAlignment="1">
      <alignment horizontal="centerContinuous"/>
      <protection locked="0" hidden="1"/>
    </xf>
    <xf numFmtId="0" fontId="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Continuous" wrapText="1"/>
    </xf>
    <xf numFmtId="0" fontId="16" fillId="0" borderId="0" xfId="0" applyNumberFormat="1" applyFont="1" applyFill="1" applyAlignment="1" applyProtection="1"/>
    <xf numFmtId="0" fontId="16" fillId="0" borderId="0" xfId="0" applyNumberFormat="1" applyFont="1" applyFill="1" applyAlignment="1" applyProtection="1">
      <alignment wrapText="1"/>
    </xf>
    <xf numFmtId="0" fontId="17" fillId="0" borderId="0" xfId="0" applyNumberFormat="1" applyFont="1" applyFill="1" applyAlignment="1" applyProtection="1"/>
    <xf numFmtId="0" fontId="7" fillId="0" borderId="0" xfId="0" applyNumberFormat="1" applyFont="1" applyFill="1" applyAlignment="1" applyProtection="1">
      <alignment horizontal="centerContinuous"/>
    </xf>
    <xf numFmtId="166" fontId="8" fillId="0" borderId="0" xfId="0" applyFont="1" applyFill="1" applyAlignment="1">
      <alignment horizontal="left"/>
      <protection locked="0" hidden="1"/>
    </xf>
    <xf numFmtId="0" fontId="6" fillId="0" borderId="0" xfId="0" applyNumberFormat="1" applyFont="1" applyFill="1" applyAlignment="1" applyProtection="1">
      <alignment horizontal="left" vertical="top"/>
    </xf>
    <xf numFmtId="0" fontId="6" fillId="0" borderId="0" xfId="0" applyNumberFormat="1" applyFont="1" applyFill="1" applyAlignment="1" applyProtection="1">
      <alignment horizontal="centerContinuous" vertical="top" wrapText="1"/>
    </xf>
    <xf numFmtId="0" fontId="10" fillId="0" borderId="0" xfId="0" applyNumberFormat="1" applyFont="1" applyFill="1" applyAlignment="1" applyProtection="1"/>
    <xf numFmtId="0" fontId="15" fillId="0" borderId="0" xfId="0" applyNumberFormat="1" applyFont="1" applyFill="1" applyAlignment="1" applyProtection="1"/>
    <xf numFmtId="0" fontId="14" fillId="0" borderId="0" xfId="0" applyNumberFormat="1" applyFont="1" applyFill="1" applyAlignment="1" applyProtection="1">
      <alignment horizontal="centerContinuous"/>
    </xf>
    <xf numFmtId="0" fontId="5" fillId="0" borderId="0" xfId="0" applyNumberFormat="1" applyFont="1" applyFill="1" applyAlignment="1" applyProtection="1">
      <alignment wrapText="1"/>
    </xf>
    <xf numFmtId="0" fontId="14" fillId="0" borderId="1" xfId="0" applyNumberFormat="1" applyFont="1" applyFill="1" applyBorder="1" applyAlignment="1" applyProtection="1">
      <alignment horizontal="centerContinuous"/>
    </xf>
    <xf numFmtId="0" fontId="5" fillId="0" borderId="0" xfId="0" applyNumberFormat="1" applyFont="1" applyFill="1" applyAlignment="1" applyProtection="1"/>
    <xf numFmtId="0" fontId="6" fillId="0" borderId="0" xfId="0" applyNumberFormat="1" applyFont="1" applyFill="1" applyAlignment="1" applyProtection="1">
      <alignment wrapText="1"/>
    </xf>
    <xf numFmtId="0" fontId="14" fillId="0" borderId="2" xfId="0" applyNumberFormat="1" applyFont="1" applyFill="1" applyBorder="1" applyAlignment="1" applyProtection="1">
      <alignment horizontal="centerContinuous" vertical="center"/>
    </xf>
    <xf numFmtId="0" fontId="14" fillId="0" borderId="1" xfId="0" applyNumberFormat="1" applyFont="1" applyFill="1" applyBorder="1" applyAlignment="1" applyProtection="1">
      <alignment horizontal="centerContinuous" vertical="center"/>
    </xf>
    <xf numFmtId="0" fontId="16" fillId="0" borderId="3" xfId="0" applyNumberFormat="1" applyFont="1" applyFill="1" applyBorder="1" applyAlignment="1" applyProtection="1">
      <alignment horizontal="centerContinuous" wrapText="1"/>
    </xf>
    <xf numFmtId="0" fontId="14" fillId="0" borderId="2" xfId="0" applyNumberFormat="1" applyFont="1" applyFill="1" applyBorder="1" applyAlignment="1" applyProtection="1">
      <alignment horizontal="centerContinuous" wrapText="1"/>
    </xf>
    <xf numFmtId="0" fontId="14" fillId="0" borderId="1" xfId="0" applyNumberFormat="1" applyFont="1" applyFill="1" applyBorder="1" applyAlignment="1" applyProtection="1">
      <alignment horizontal="centerContinuous" wrapText="1"/>
    </xf>
    <xf numFmtId="0" fontId="12" fillId="0" borderId="4" xfId="0" applyNumberFormat="1" applyFont="1" applyFill="1" applyBorder="1" applyAlignment="1" applyProtection="1">
      <alignment horizontal="centerContinuous" vertical="top" wrapText="1"/>
    </xf>
    <xf numFmtId="0" fontId="6" fillId="0" borderId="3" xfId="0" applyNumberFormat="1" applyFont="1" applyFill="1" applyBorder="1" applyAlignment="1" applyProtection="1">
      <alignment wrapText="1"/>
    </xf>
    <xf numFmtId="0" fontId="12" fillId="0" borderId="0" xfId="0" applyNumberFormat="1" applyFont="1" applyFill="1" applyAlignment="1" applyProtection="1">
      <alignment wrapText="1"/>
    </xf>
    <xf numFmtId="0" fontId="16" fillId="0" borderId="3" xfId="0" applyNumberFormat="1" applyFont="1" applyFill="1" applyBorder="1" applyAlignment="1" applyProtection="1">
      <alignment horizontal="left"/>
    </xf>
    <xf numFmtId="0" fontId="15" fillId="0" borderId="3" xfId="0" applyNumberFormat="1" applyFont="1" applyFill="1" applyBorder="1" applyAlignment="1" applyProtection="1"/>
    <xf numFmtId="0" fontId="6" fillId="0" borderId="3" xfId="0" applyNumberFormat="1" applyFont="1" applyFill="1" applyBorder="1" applyAlignment="1" applyProtection="1">
      <alignment horizontal="left" vertical="top"/>
    </xf>
    <xf numFmtId="0" fontId="18" fillId="0" borderId="0" xfId="0" applyNumberFormat="1" applyFont="1" applyFill="1" applyAlignment="1" applyProtection="1"/>
    <xf numFmtId="0" fontId="12" fillId="0" borderId="0" xfId="0" applyNumberFormat="1" applyFont="1" applyFill="1" applyAlignment="1" applyProtection="1"/>
    <xf numFmtId="0" fontId="12" fillId="0" borderId="5" xfId="0" applyNumberFormat="1" applyFont="1" applyFill="1" applyBorder="1" applyAlignment="1" applyProtection="1">
      <alignment horizontal="centerContinuous" vertical="center"/>
    </xf>
    <xf numFmtId="0" fontId="12" fillId="0" borderId="0" xfId="0" applyNumberFormat="1" applyFont="1" applyFill="1" applyAlignment="1" applyProtection="1">
      <alignment vertical="center"/>
    </xf>
    <xf numFmtId="0" fontId="12" fillId="0" borderId="1" xfId="0" applyNumberFormat="1" applyFont="1" applyFill="1" applyBorder="1" applyAlignment="1" applyProtection="1">
      <alignment vertical="center"/>
    </xf>
    <xf numFmtId="0" fontId="12" fillId="0" borderId="6" xfId="0" applyNumberFormat="1" applyFont="1" applyFill="1" applyBorder="1" applyAlignment="1" applyProtection="1">
      <alignment vertical="center"/>
    </xf>
    <xf numFmtId="0" fontId="12" fillId="0" borderId="2" xfId="0" applyNumberFormat="1" applyFont="1" applyFill="1" applyBorder="1" applyAlignment="1" applyProtection="1">
      <alignment vertical="center"/>
    </xf>
    <xf numFmtId="0" fontId="12" fillId="0" borderId="7" xfId="0" applyNumberFormat="1" applyFont="1" applyFill="1" applyBorder="1" applyAlignment="1" applyProtection="1">
      <alignment vertical="center"/>
    </xf>
    <xf numFmtId="0" fontId="12" fillId="0" borderId="6" xfId="0" applyNumberFormat="1" applyFont="1" applyFill="1" applyBorder="1" applyAlignment="1" applyProtection="1">
      <alignment horizontal="centerContinuous" vertical="center"/>
    </xf>
    <xf numFmtId="0" fontId="12" fillId="0" borderId="4" xfId="0" applyNumberFormat="1" applyFont="1" applyFill="1" applyBorder="1" applyAlignment="1" applyProtection="1"/>
    <xf numFmtId="0" fontId="12" fillId="0" borderId="3" xfId="0" applyNumberFormat="1" applyFont="1" applyFill="1" applyBorder="1" applyAlignment="1" applyProtection="1">
      <alignment horizontal="center" vertical="top"/>
    </xf>
    <xf numFmtId="0" fontId="12" fillId="0" borderId="8" xfId="0" applyNumberFormat="1" applyFont="1" applyFill="1" applyBorder="1" applyAlignment="1" applyProtection="1">
      <alignment horizontal="center"/>
    </xf>
    <xf numFmtId="0" fontId="12" fillId="0" borderId="0" xfId="0" applyNumberFormat="1" applyFont="1" applyFill="1" applyAlignment="1" applyProtection="1">
      <alignment vertical="top"/>
    </xf>
    <xf numFmtId="0" fontId="12" fillId="0" borderId="9" xfId="0" applyNumberFormat="1" applyFont="1" applyFill="1" applyBorder="1" applyAlignment="1" applyProtection="1">
      <alignment horizontal="center" wrapText="1"/>
    </xf>
    <xf numFmtId="0" fontId="12" fillId="0" borderId="10" xfId="0" applyNumberFormat="1" applyFont="1" applyFill="1" applyBorder="1" applyAlignment="1" applyProtection="1">
      <alignment horizontal="center" wrapText="1"/>
    </xf>
    <xf numFmtId="0" fontId="12" fillId="0" borderId="2" xfId="0" applyNumberFormat="1" applyFont="1" applyFill="1" applyBorder="1" applyAlignment="1" applyProtection="1">
      <alignment wrapText="1"/>
    </xf>
    <xf numFmtId="0" fontId="12" fillId="0" borderId="9" xfId="0" applyNumberFormat="1" applyFont="1" applyFill="1" applyBorder="1" applyAlignment="1" applyProtection="1">
      <alignment horizontal="centerContinuous" wrapText="1"/>
    </xf>
    <xf numFmtId="0" fontId="12" fillId="0" borderId="0" xfId="0" applyNumberFormat="1" applyFont="1" applyFill="1" applyAlignment="1" applyProtection="1">
      <alignment horizontal="centerContinuous" wrapText="1"/>
    </xf>
    <xf numFmtId="0" fontId="12" fillId="0" borderId="1" xfId="0" applyNumberFormat="1" applyFont="1" applyFill="1" applyBorder="1" applyAlignment="1" applyProtection="1">
      <alignment wrapText="1"/>
    </xf>
    <xf numFmtId="0" fontId="12" fillId="0" borderId="4" xfId="0" applyNumberFormat="1" applyFont="1" applyFill="1" applyBorder="1" applyAlignment="1" applyProtection="1">
      <alignment horizontal="centerContinuous"/>
    </xf>
    <xf numFmtId="0" fontId="12" fillId="0" borderId="10" xfId="0" applyNumberFormat="1" applyFont="1" applyFill="1" applyBorder="1" applyAlignment="1" applyProtection="1">
      <alignment horizontal="centerContinuous" wrapText="1"/>
    </xf>
    <xf numFmtId="0" fontId="19" fillId="0" borderId="11" xfId="0" applyNumberFormat="1" applyFont="1" applyFill="1" applyBorder="1" applyAlignment="1" applyProtection="1">
      <alignment horizontal="center"/>
    </xf>
    <xf numFmtId="0" fontId="12" fillId="0" borderId="0" xfId="0" applyNumberFormat="1" applyFont="1" applyFill="1" applyAlignment="1" applyProtection="1">
      <alignment horizontal="centerContinuous"/>
    </xf>
    <xf numFmtId="0" fontId="19" fillId="0" borderId="9" xfId="0" applyNumberFormat="1" applyFont="1" applyFill="1" applyBorder="1" applyAlignment="1" applyProtection="1">
      <alignment horizontal="center"/>
    </xf>
    <xf numFmtId="0" fontId="12" fillId="0" borderId="1" xfId="0" applyNumberFormat="1" applyFont="1" applyFill="1" applyBorder="1" applyAlignment="1" applyProtection="1">
      <alignment horizontal="centerContinuous" wrapText="1"/>
    </xf>
    <xf numFmtId="0" fontId="12" fillId="0" borderId="11" xfId="0" applyNumberFormat="1" applyFont="1" applyFill="1" applyBorder="1" applyAlignment="1" applyProtection="1">
      <alignment horizontal="center"/>
    </xf>
    <xf numFmtId="0" fontId="12" fillId="0" borderId="9"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Continuous" wrapText="1"/>
    </xf>
    <xf numFmtId="0" fontId="12" fillId="0" borderId="3" xfId="0" applyNumberFormat="1" applyFont="1" applyFill="1" applyBorder="1" applyAlignment="1" applyProtection="1">
      <alignment horizontal="centerContinuous"/>
    </xf>
    <xf numFmtId="0" fontId="12" fillId="0" borderId="4" xfId="0" applyNumberFormat="1" applyFont="1" applyFill="1" applyBorder="1" applyAlignment="1" applyProtection="1">
      <alignment horizontal="center"/>
    </xf>
    <xf numFmtId="0" fontId="12" fillId="0" borderId="8" xfId="0" applyNumberFormat="1" applyFont="1" applyFill="1" applyBorder="1" applyAlignment="1" applyProtection="1">
      <alignment horizontal="center" wrapText="1"/>
    </xf>
    <xf numFmtId="0" fontId="12" fillId="0" borderId="0" xfId="0" applyNumberFormat="1" applyFont="1" applyFill="1" applyAlignment="1" applyProtection="1">
      <alignment horizontal="center" wrapText="1"/>
    </xf>
    <xf numFmtId="0" fontId="9" fillId="0" borderId="9" xfId="0" applyNumberFormat="1" applyFont="1" applyFill="1" applyBorder="1" applyAlignment="1" applyProtection="1"/>
    <xf numFmtId="0" fontId="12" fillId="0" borderId="9" xfId="0" applyNumberFormat="1" applyFont="1" applyFill="1" applyBorder="1" applyAlignment="1" applyProtection="1"/>
    <xf numFmtId="0" fontId="14" fillId="0" borderId="6"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Continuous"/>
    </xf>
    <xf numFmtId="0" fontId="12" fillId="0" borderId="11" xfId="0" applyNumberFormat="1" applyFont="1" applyFill="1" applyBorder="1" applyAlignment="1" applyProtection="1"/>
    <xf numFmtId="0" fontId="14" fillId="0" borderId="11" xfId="0" applyNumberFormat="1" applyFont="1" applyFill="1" applyBorder="1" applyAlignment="1" applyProtection="1"/>
    <xf numFmtId="0" fontId="9" fillId="0" borderId="11" xfId="0" applyNumberFormat="1" applyFont="1" applyFill="1" applyBorder="1" applyAlignment="1" applyProtection="1"/>
    <xf numFmtId="0" fontId="14" fillId="0" borderId="0" xfId="0" applyNumberFormat="1" applyFont="1" applyFill="1" applyAlignment="1" applyProtection="1">
      <alignment horizontal="center"/>
    </xf>
    <xf numFmtId="0" fontId="14" fillId="0" borderId="9" xfId="0" applyNumberFormat="1" applyFont="1" applyFill="1" applyBorder="1" applyAlignment="1" applyProtection="1">
      <alignment horizontal="center"/>
    </xf>
    <xf numFmtId="0" fontId="12" fillId="0" borderId="1" xfId="0" applyNumberFormat="1" applyFont="1" applyFill="1" applyBorder="1" applyAlignment="1" applyProtection="1">
      <alignment horizontal="centerContinuous" vertical="center"/>
    </xf>
    <xf numFmtId="0" fontId="12" fillId="0" borderId="9" xfId="0" applyNumberFormat="1" applyFont="1" applyFill="1" applyBorder="1" applyAlignment="1" applyProtection="1">
      <alignment horizontal="centerContinuous" vertical="center"/>
    </xf>
    <xf numFmtId="0" fontId="12" fillId="0" borderId="1" xfId="0" applyNumberFormat="1" applyFont="1" applyFill="1" applyBorder="1" applyAlignment="1" applyProtection="1">
      <alignment horizontal="centerContinuous" vertical="top"/>
    </xf>
    <xf numFmtId="0" fontId="12" fillId="0" borderId="9" xfId="0" applyNumberFormat="1" applyFont="1" applyFill="1" applyBorder="1" applyAlignment="1" applyProtection="1">
      <alignment horizontal="centerContinuous" vertical="top"/>
    </xf>
    <xf numFmtId="0" fontId="12" fillId="0" borderId="11" xfId="0" applyNumberFormat="1" applyFont="1" applyFill="1" applyBorder="1" applyAlignment="1" applyProtection="1">
      <alignment horizontal="center" vertical="top"/>
    </xf>
    <xf numFmtId="16" fontId="12" fillId="0" borderId="11" xfId="0" applyNumberFormat="1" applyFont="1" applyFill="1" applyBorder="1" applyAlignment="1" applyProtection="1">
      <alignment horizontal="center" vertical="top"/>
    </xf>
    <xf numFmtId="16" fontId="12" fillId="0" borderId="9"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Continuous" vertical="top"/>
    </xf>
    <xf numFmtId="0" fontId="12" fillId="0" borderId="10" xfId="0" applyNumberFormat="1" applyFont="1" applyFill="1" applyBorder="1" applyAlignment="1" applyProtection="1">
      <alignment horizontal="centerContinuous" vertical="top"/>
    </xf>
    <xf numFmtId="0" fontId="12" fillId="0" borderId="8" xfId="0" applyNumberFormat="1" applyFont="1" applyFill="1" applyBorder="1" applyAlignment="1" applyProtection="1">
      <alignment horizontal="center" vertical="top"/>
    </xf>
    <xf numFmtId="0" fontId="12" fillId="0" borderId="10" xfId="0" applyNumberFormat="1" applyFont="1" applyFill="1" applyBorder="1" applyAlignment="1" applyProtection="1">
      <alignment horizontal="center" vertical="top"/>
    </xf>
    <xf numFmtId="16" fontId="12" fillId="0" borderId="10" xfId="0" applyNumberFormat="1" applyFont="1" applyFill="1" applyBorder="1" applyAlignment="1" applyProtection="1">
      <alignment horizontal="center" vertical="top"/>
    </xf>
    <xf numFmtId="16" fontId="12" fillId="0" borderId="8" xfId="0" applyNumberFormat="1" applyFont="1" applyFill="1" applyBorder="1" applyAlignment="1" applyProtection="1">
      <alignment horizontal="center" vertical="top"/>
    </xf>
    <xf numFmtId="0" fontId="12" fillId="0" borderId="10" xfId="0" applyNumberFormat="1" applyFont="1" applyFill="1" applyBorder="1" applyAlignment="1" applyProtection="1">
      <alignment horizontal="center"/>
    </xf>
    <xf numFmtId="0" fontId="14" fillId="0" borderId="12" xfId="0" applyNumberFormat="1" applyFont="1" applyFill="1" applyBorder="1" applyAlignment="1" applyProtection="1">
      <alignment horizontal="center"/>
    </xf>
    <xf numFmtId="0" fontId="14" fillId="0" borderId="11" xfId="0" applyNumberFormat="1" applyFont="1" applyFill="1" applyBorder="1" applyAlignment="1" applyProtection="1">
      <alignment horizontal="center"/>
    </xf>
    <xf numFmtId="0" fontId="12" fillId="0" borderId="0" xfId="0" applyNumberFormat="1" applyFont="1" applyFill="1" applyAlignment="1" applyProtection="1">
      <alignment horizontal="center"/>
    </xf>
    <xf numFmtId="0" fontId="12" fillId="0" borderId="1" xfId="0" applyNumberFormat="1" applyFont="1" applyFill="1" applyBorder="1" applyAlignment="1" applyProtection="1">
      <alignment horizontal="centerContinuous"/>
    </xf>
    <xf numFmtId="0" fontId="12" fillId="0" borderId="10" xfId="0" applyNumberFormat="1" applyFont="1" applyFill="1" applyBorder="1" applyAlignment="1" applyProtection="1">
      <alignment horizontal="centerContinuous"/>
    </xf>
    <xf numFmtId="0" fontId="14" fillId="0" borderId="0" xfId="0" applyNumberFormat="1" applyFont="1" applyFill="1" applyAlignment="1" applyProtection="1">
      <alignment horizontal="centerContinuous" vertical="center"/>
    </xf>
    <xf numFmtId="0" fontId="12" fillId="0" borderId="0" xfId="0" applyNumberFormat="1" applyFont="1" applyFill="1" applyAlignment="1" applyProtection="1">
      <alignment horizontal="centerContinuous" vertical="center"/>
    </xf>
    <xf numFmtId="0" fontId="14" fillId="0" borderId="11" xfId="0" applyNumberFormat="1" applyFont="1" applyFill="1" applyBorder="1" applyAlignment="1" applyProtection="1">
      <alignment vertical="center"/>
    </xf>
    <xf numFmtId="0" fontId="12" fillId="0" borderId="3" xfId="0" applyNumberFormat="1" applyFont="1" applyFill="1" applyBorder="1" applyAlignment="1" applyProtection="1">
      <alignment horizontal="centerContinuous" vertical="center"/>
    </xf>
    <xf numFmtId="0" fontId="12" fillId="0" borderId="10" xfId="0" applyNumberFormat="1" applyFont="1" applyFill="1" applyBorder="1" applyAlignment="1" applyProtection="1">
      <alignment horizontal="centerContinuous" vertical="center"/>
    </xf>
    <xf numFmtId="0" fontId="12" fillId="0" borderId="9" xfId="0" applyNumberFormat="1" applyFont="1" applyFill="1" applyBorder="1" applyAlignment="1" applyProtection="1">
      <alignment vertical="center"/>
    </xf>
    <xf numFmtId="0" fontId="14" fillId="0" borderId="0" xfId="0" applyNumberFormat="1" applyFont="1" applyFill="1" applyAlignment="1" applyProtection="1">
      <alignment horizontal="center" vertical="center"/>
    </xf>
    <xf numFmtId="0" fontId="14" fillId="0" borderId="11"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 vertical="center"/>
    </xf>
    <xf numFmtId="0" fontId="14" fillId="0" borderId="0" xfId="0" applyNumberFormat="1" applyFont="1" applyFill="1" applyAlignment="1" applyProtection="1">
      <alignment horizontal="center" vertical="top"/>
    </xf>
    <xf numFmtId="0" fontId="12" fillId="0" borderId="0" xfId="0" applyNumberFormat="1" applyFont="1" applyFill="1" applyAlignment="1" applyProtection="1">
      <alignment horizontal="center" vertical="top"/>
    </xf>
    <xf numFmtId="0" fontId="12" fillId="0" borderId="9" xfId="0" applyNumberFormat="1" applyFont="1" applyFill="1" applyBorder="1" applyAlignment="1" applyProtection="1">
      <alignment horizontal="center" vertical="top"/>
    </xf>
    <xf numFmtId="0" fontId="12" fillId="0" borderId="4" xfId="0" applyNumberFormat="1" applyFont="1" applyFill="1" applyBorder="1" applyAlignment="1" applyProtection="1">
      <alignment vertical="top"/>
    </xf>
    <xf numFmtId="0" fontId="12" fillId="0" borderId="10" xfId="0" applyNumberFormat="1" applyFont="1" applyFill="1" applyBorder="1" applyAlignment="1" applyProtection="1">
      <alignment vertical="top"/>
    </xf>
    <xf numFmtId="0" fontId="12" fillId="0" borderId="6" xfId="0" applyNumberFormat="1" applyFont="1" applyFill="1" applyBorder="1" applyAlignment="1" applyProtection="1">
      <alignment horizontal="centerContinuous"/>
    </xf>
    <xf numFmtId="0" fontId="9" fillId="0" borderId="0" xfId="0" applyNumberFormat="1" applyFont="1" applyFill="1" applyAlignment="1" applyProtection="1">
      <alignment horizontal="centerContinuous"/>
    </xf>
    <xf numFmtId="0" fontId="9" fillId="0" borderId="9" xfId="0" applyNumberFormat="1" applyFont="1" applyFill="1" applyBorder="1" applyAlignment="1" applyProtection="1">
      <alignment horizontal="centerContinuous"/>
    </xf>
    <xf numFmtId="0" fontId="12" fillId="0" borderId="3" xfId="0" applyNumberFormat="1" applyFont="1" applyFill="1" applyBorder="1" applyAlignment="1" applyProtection="1"/>
    <xf numFmtId="0" fontId="12" fillId="0" borderId="10" xfId="0" applyNumberFormat="1" applyFont="1" applyFill="1" applyBorder="1" applyAlignment="1" applyProtection="1"/>
    <xf numFmtId="0" fontId="12" fillId="0" borderId="1" xfId="0" applyNumberFormat="1" applyFont="1" applyFill="1" applyBorder="1" applyAlignment="1" applyProtection="1">
      <alignment horizontal="centerContinuous" vertical="top" wrapText="1"/>
    </xf>
    <xf numFmtId="0" fontId="12" fillId="0" borderId="3" xfId="0" applyNumberFormat="1" applyFont="1" applyFill="1" applyBorder="1" applyAlignment="1" applyProtection="1">
      <alignment horizontal="center"/>
    </xf>
    <xf numFmtId="0" fontId="12" fillId="0" borderId="8" xfId="0" applyNumberFormat="1" applyFont="1" applyFill="1" applyBorder="1" applyAlignment="1" applyProtection="1">
      <alignment horizontal="center" vertical="center" wrapText="1"/>
    </xf>
    <xf numFmtId="0" fontId="12" fillId="0" borderId="10" xfId="0" applyNumberFormat="1" applyFont="1" applyFill="1" applyBorder="1" applyAlignment="1" applyProtection="1">
      <alignment horizontal="center" vertical="center" wrapText="1"/>
    </xf>
    <xf numFmtId="0" fontId="14" fillId="0" borderId="5" xfId="0" applyNumberFormat="1" applyFont="1" applyFill="1" applyBorder="1" applyAlignment="1" applyProtection="1">
      <alignment horizontal="centerContinuous" vertical="center"/>
    </xf>
    <xf numFmtId="0" fontId="12" fillId="0" borderId="5" xfId="0" applyNumberFormat="1" applyFont="1" applyFill="1" applyBorder="1" applyAlignment="1" applyProtection="1">
      <alignment vertical="center"/>
    </xf>
    <xf numFmtId="0" fontId="14" fillId="0" borderId="6" xfId="0" applyNumberFormat="1" applyFont="1" applyFill="1" applyBorder="1" applyAlignment="1" applyProtection="1">
      <alignment horizontal="center" wrapText="1"/>
    </xf>
    <xf numFmtId="0" fontId="12" fillId="0" borderId="0" xfId="0" applyNumberFormat="1" applyFont="1" applyFill="1" applyAlignment="1" applyProtection="1">
      <alignment horizontal="centerContinuous" vertical="top"/>
    </xf>
    <xf numFmtId="0" fontId="12" fillId="0" borderId="1" xfId="0" applyNumberFormat="1" applyFont="1" applyFill="1" applyBorder="1" applyAlignment="1" applyProtection="1">
      <alignment horizontal="center" vertical="top"/>
    </xf>
    <xf numFmtId="0" fontId="12" fillId="0" borderId="7" xfId="0" applyNumberFormat="1" applyFont="1" applyFill="1" applyBorder="1" applyAlignment="1" applyProtection="1"/>
    <xf numFmtId="0" fontId="14" fillId="0" borderId="13"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wrapText="1"/>
    </xf>
    <xf numFmtId="0" fontId="12" fillId="0" borderId="8" xfId="0" applyNumberFormat="1" applyFont="1" applyFill="1" applyBorder="1" applyAlignment="1" applyProtection="1"/>
    <xf numFmtId="0" fontId="9" fillId="0" borderId="10" xfId="0" applyNumberFormat="1" applyFont="1" applyFill="1" applyBorder="1" applyAlignment="1" applyProtection="1"/>
    <xf numFmtId="0" fontId="9" fillId="0" borderId="14" xfId="0" applyNumberFormat="1" applyFont="1" applyFill="1" applyBorder="1" applyAlignment="1" applyProtection="1"/>
    <xf numFmtId="0" fontId="12" fillId="0" borderId="5" xfId="0" applyNumberFormat="1" applyFont="1" applyFill="1" applyBorder="1" applyAlignment="1" applyProtection="1"/>
    <xf numFmtId="0" fontId="9" fillId="0" borderId="7" xfId="0" applyNumberFormat="1" applyFont="1" applyFill="1" applyBorder="1" applyAlignment="1" applyProtection="1"/>
    <xf numFmtId="0" fontId="9" fillId="0" borderId="5" xfId="0" applyNumberFormat="1" applyFont="1" applyFill="1" applyBorder="1" applyAlignment="1" applyProtection="1">
      <alignment horizontal="centerContinuous"/>
    </xf>
    <xf numFmtId="0" fontId="14" fillId="0" borderId="7" xfId="0" applyNumberFormat="1" applyFont="1" applyFill="1" applyBorder="1" applyAlignment="1" applyProtection="1">
      <alignment horizontal="centerContinuous" vertical="center"/>
    </xf>
    <xf numFmtId="0" fontId="9" fillId="0" borderId="6" xfId="0" applyNumberFormat="1" applyFont="1" applyFill="1" applyBorder="1" applyAlignment="1" applyProtection="1">
      <alignment horizontal="centerContinuous" vertical="center"/>
    </xf>
    <xf numFmtId="0" fontId="12" fillId="0" borderId="8" xfId="0" applyNumberFormat="1"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xf>
    <xf numFmtId="0" fontId="9" fillId="0" borderId="0" xfId="0" applyNumberFormat="1" applyFont="1" applyFill="1" applyAlignment="1" applyProtection="1"/>
    <xf numFmtId="0" fontId="14" fillId="0" borderId="7" xfId="0" applyNumberFormat="1" applyFont="1" applyFill="1" applyBorder="1" applyAlignment="1" applyProtection="1">
      <alignment horizontal="centerContinuous" wrapText="1"/>
    </xf>
    <xf numFmtId="0" fontId="12" fillId="0" borderId="1" xfId="0" applyNumberFormat="1" applyFont="1" applyFill="1" applyBorder="1" applyAlignment="1" applyProtection="1">
      <alignment horizontal="center" vertical="top" wrapText="1"/>
    </xf>
    <xf numFmtId="164" fontId="12" fillId="0" borderId="0" xfId="0" applyNumberFormat="1" applyFont="1" applyFill="1" applyAlignment="1" applyProtection="1">
      <alignment vertical="center"/>
    </xf>
    <xf numFmtId="164" fontId="12" fillId="0" borderId="0" xfId="0" applyNumberFormat="1" applyFont="1" applyFill="1" applyAlignment="1" applyProtection="1"/>
    <xf numFmtId="164" fontId="8" fillId="0" borderId="0" xfId="0" applyNumberFormat="1" applyFont="1" applyFill="1" applyAlignment="1" applyProtection="1">
      <alignment wrapText="1"/>
    </xf>
    <xf numFmtId="22" fontId="25" fillId="0" borderId="0" xfId="0" applyNumberFormat="1" applyFont="1" applyFill="1" applyAlignment="1" applyProtection="1">
      <alignment horizontal="centerContinuous"/>
    </xf>
    <xf numFmtId="0" fontId="25" fillId="0" borderId="0" xfId="0" applyNumberFormat="1" applyFont="1" applyFill="1" applyAlignment="1" applyProtection="1"/>
    <xf numFmtId="166" fontId="6" fillId="0" borderId="0" xfId="0" applyFont="1" applyFill="1" applyAlignment="1">
      <protection locked="0" hidden="1"/>
    </xf>
    <xf numFmtId="166" fontId="8" fillId="0" borderId="0" xfId="0" applyFont="1" applyFill="1" applyAlignment="1">
      <protection locked="0" hidden="1"/>
    </xf>
    <xf numFmtId="170" fontId="5" fillId="0" borderId="0" xfId="0" applyNumberFormat="1" applyFont="1" applyFill="1" applyAlignment="1" applyProtection="1">
      <alignment horizontal="centerContinuous"/>
    </xf>
    <xf numFmtId="170" fontId="15" fillId="0" borderId="0" xfId="0" applyNumberFormat="1" applyFont="1" applyFill="1" applyAlignment="1" applyProtection="1"/>
    <xf numFmtId="170" fontId="14" fillId="0" borderId="9" xfId="0" applyNumberFormat="1" applyFont="1" applyFill="1" applyBorder="1" applyAlignment="1" applyProtection="1">
      <alignment horizontal="center"/>
    </xf>
    <xf numFmtId="170" fontId="12" fillId="0" borderId="9" xfId="0" applyNumberFormat="1" applyFont="1" applyFill="1" applyBorder="1" applyAlignment="1" applyProtection="1">
      <alignment horizontal="center"/>
    </xf>
    <xf numFmtId="170" fontId="12" fillId="0" borderId="11" xfId="0" applyNumberFormat="1" applyFont="1" applyFill="1" applyBorder="1" applyAlignment="1" applyProtection="1">
      <alignment horizontal="center" vertical="top"/>
    </xf>
    <xf numFmtId="170" fontId="12" fillId="0" borderId="10" xfId="0" applyNumberFormat="1" applyFont="1" applyFill="1" applyBorder="1" applyAlignment="1" applyProtection="1">
      <alignment horizontal="center" vertical="top"/>
    </xf>
    <xf numFmtId="170" fontId="5" fillId="0" borderId="0" xfId="0" applyNumberFormat="1" applyFont="1" applyFill="1" applyAlignment="1" applyProtection="1"/>
    <xf numFmtId="170" fontId="25" fillId="0" borderId="0" xfId="0" applyNumberFormat="1" applyFont="1" applyFill="1" applyAlignment="1" applyProtection="1">
      <alignment horizontal="right"/>
    </xf>
    <xf numFmtId="0" fontId="14" fillId="0" borderId="1" xfId="0" applyNumberFormat="1" applyFont="1" applyFill="1" applyBorder="1" applyAlignment="1" applyProtection="1">
      <alignment vertical="center"/>
    </xf>
    <xf numFmtId="166" fontId="12" fillId="0" borderId="7" xfId="0" applyFont="1" applyFill="1" applyBorder="1" applyAlignment="1">
      <alignment vertical="center"/>
      <protection locked="0" hidden="1"/>
    </xf>
    <xf numFmtId="166" fontId="12" fillId="0" borderId="5" xfId="0" applyFont="1" applyFill="1" applyBorder="1" applyAlignment="1">
      <alignment vertical="center"/>
      <protection locked="0" hidden="1"/>
    </xf>
    <xf numFmtId="166" fontId="12" fillId="0" borderId="0" xfId="0" applyFont="1" applyFill="1" applyAlignment="1">
      <alignment vertical="center"/>
      <protection locked="0" hidden="1"/>
    </xf>
    <xf numFmtId="166" fontId="14" fillId="0" borderId="11" xfId="0" applyFont="1" applyFill="1" applyBorder="1" applyAlignment="1">
      <alignment horizontal="center"/>
      <protection locked="0" hidden="1"/>
    </xf>
    <xf numFmtId="166" fontId="14" fillId="0" borderId="1" xfId="0" applyFont="1" applyFill="1" applyBorder="1" applyAlignment="1">
      <alignment horizontal="centerContinuous" wrapText="1"/>
      <protection locked="0" hidden="1"/>
    </xf>
    <xf numFmtId="166" fontId="12" fillId="0" borderId="0" xfId="0" applyFont="1" applyFill="1" applyAlignment="1">
      <protection locked="0" hidden="1"/>
    </xf>
    <xf numFmtId="166" fontId="12" fillId="0" borderId="0" xfId="0" applyFont="1" applyFill="1" applyAlignment="1">
      <alignment horizontal="centerContinuous"/>
      <protection locked="0" hidden="1"/>
    </xf>
    <xf numFmtId="166" fontId="12" fillId="0" borderId="11" xfId="0" applyFont="1" applyFill="1" applyBorder="1" applyAlignment="1">
      <alignment horizontal="center" wrapText="1"/>
      <protection locked="0" hidden="1"/>
    </xf>
    <xf numFmtId="166" fontId="12" fillId="0" borderId="0" xfId="0" applyFont="1" applyFill="1" applyAlignment="1">
      <alignment horizontal="centerContinuous" vertical="center"/>
      <protection locked="0" hidden="1"/>
    </xf>
    <xf numFmtId="166" fontId="12" fillId="0" borderId="11" xfId="0" applyFont="1" applyFill="1" applyBorder="1" applyAlignment="1">
      <alignment horizontal="center" vertical="center" wrapText="1"/>
      <protection locked="0" hidden="1"/>
    </xf>
    <xf numFmtId="166" fontId="12" fillId="0" borderId="9" xfId="0" applyFont="1" applyFill="1" applyBorder="1" applyAlignment="1">
      <alignment horizontal="center" vertical="center" wrapText="1"/>
      <protection locked="0" hidden="1"/>
    </xf>
    <xf numFmtId="166" fontId="12" fillId="0" borderId="3" xfId="0" applyFont="1" applyFill="1" applyBorder="1" applyAlignment="1">
      <alignment horizontal="centerContinuous"/>
      <protection locked="0" hidden="1"/>
    </xf>
    <xf numFmtId="166" fontId="12" fillId="0" borderId="2" xfId="0" applyFont="1" applyFill="1" applyBorder="1" applyAlignment="1">
      <alignment vertical="center" wrapText="1"/>
      <protection locked="0" hidden="1"/>
    </xf>
    <xf numFmtId="0" fontId="6" fillId="0" borderId="3" xfId="0" applyNumberFormat="1" applyFont="1" applyFill="1" applyBorder="1" applyAlignment="1" applyProtection="1"/>
    <xf numFmtId="0" fontId="12" fillId="0" borderId="15" xfId="0" applyNumberFormat="1" applyFont="1" applyFill="1" applyBorder="1" applyAlignment="1" applyProtection="1">
      <alignment horizontal="center" vertical="top"/>
    </xf>
    <xf numFmtId="166" fontId="12" fillId="0" borderId="5" xfId="0" applyFont="1" applyFill="1" applyBorder="1" applyAlignment="1">
      <alignment horizontal="centerContinuous" vertical="center"/>
      <protection locked="0" hidden="1"/>
    </xf>
    <xf numFmtId="166" fontId="12" fillId="0" borderId="1" xfId="0" applyFont="1" applyFill="1" applyBorder="1" applyAlignment="1">
      <alignment horizontal="center" wrapText="1"/>
      <protection locked="0" hidden="1"/>
    </xf>
    <xf numFmtId="166" fontId="12" fillId="0" borderId="0" xfId="0" applyFont="1" applyFill="1" applyAlignment="1">
      <alignment horizontal="center"/>
      <protection locked="0" hidden="1"/>
    </xf>
    <xf numFmtId="166" fontId="14" fillId="0" borderId="11" xfId="0" applyFont="1" applyFill="1" applyBorder="1" applyAlignment="1">
      <alignment horizontal="center" wrapText="1"/>
      <protection locked="0" hidden="1"/>
    </xf>
    <xf numFmtId="166" fontId="12" fillId="0" borderId="1" xfId="0" applyFont="1" applyFill="1" applyBorder="1" applyAlignment="1">
      <alignment horizontal="centerContinuous" vertical="top" wrapText="1"/>
      <protection locked="0" hidden="1"/>
    </xf>
    <xf numFmtId="166" fontId="12" fillId="0" borderId="4" xfId="0" applyFont="1" applyFill="1" applyBorder="1" applyAlignment="1">
      <alignment horizontal="centerContinuous" vertical="top" wrapText="1"/>
      <protection locked="0" hidden="1"/>
    </xf>
    <xf numFmtId="166" fontId="16" fillId="0" borderId="0" xfId="0" applyFont="1" applyFill="1" applyAlignment="1">
      <protection locked="0" hidden="1"/>
    </xf>
    <xf numFmtId="166" fontId="12" fillId="0" borderId="5" xfId="0" applyFont="1" applyFill="1" applyBorder="1" applyAlignment="1">
      <alignment vertical="center" wrapText="1"/>
      <protection locked="0" hidden="1"/>
    </xf>
    <xf numFmtId="166" fontId="14" fillId="0" borderId="1" xfId="0" applyFont="1" applyFill="1" applyBorder="1" applyAlignment="1">
      <alignment horizontal="center"/>
      <protection locked="0" hidden="1"/>
    </xf>
    <xf numFmtId="0" fontId="14" fillId="0" borderId="16" xfId="0" applyNumberFormat="1" applyFont="1" applyFill="1" applyBorder="1" applyAlignment="1" applyProtection="1">
      <alignment horizontal="center"/>
    </xf>
    <xf numFmtId="0" fontId="12" fillId="0" borderId="11" xfId="0" applyNumberFormat="1" applyFont="1" applyFill="1" applyBorder="1" applyAlignment="1" applyProtection="1">
      <alignment horizontal="centerContinuous" vertical="center"/>
    </xf>
    <xf numFmtId="0" fontId="14" fillId="0" borderId="0" xfId="0" applyNumberFormat="1" applyFont="1" applyFill="1" applyAlignment="1" applyProtection="1">
      <alignment vertical="center"/>
    </xf>
    <xf numFmtId="0" fontId="14" fillId="0" borderId="11" xfId="0" applyNumberFormat="1" applyFont="1" applyFill="1" applyBorder="1" applyAlignment="1" applyProtection="1">
      <alignment horizontal="centerContinuous"/>
    </xf>
    <xf numFmtId="0" fontId="14" fillId="0" borderId="11" xfId="0" applyNumberFormat="1" applyFont="1" applyFill="1" applyBorder="1" applyAlignment="1" applyProtection="1">
      <alignment horizontal="center" wrapText="1"/>
    </xf>
    <xf numFmtId="0" fontId="14" fillId="0" borderId="9" xfId="0" applyNumberFormat="1" applyFont="1" applyFill="1" applyBorder="1" applyAlignment="1" applyProtection="1">
      <alignment horizontal="centerContinuous"/>
    </xf>
    <xf numFmtId="0" fontId="12" fillId="0" borderId="3" xfId="0" applyNumberFormat="1" applyFont="1" applyFill="1" applyBorder="1" applyAlignment="1" applyProtection="1">
      <alignment horizontal="centerContinuous" wrapText="1"/>
    </xf>
    <xf numFmtId="0" fontId="12" fillId="0" borderId="17" xfId="0" applyNumberFormat="1" applyFont="1" applyFill="1" applyBorder="1" applyAlignment="1" applyProtection="1">
      <alignment horizontal="center" wrapText="1"/>
    </xf>
    <xf numFmtId="166" fontId="12" fillId="0" borderId="1" xfId="0" applyFont="1" applyFill="1" applyBorder="1" applyAlignment="1">
      <alignment horizontal="center"/>
      <protection locked="0" hidden="1"/>
    </xf>
    <xf numFmtId="166" fontId="12" fillId="0" borderId="4" xfId="0" applyFont="1" applyFill="1" applyBorder="1" applyAlignment="1">
      <alignment horizontal="center" vertical="center"/>
      <protection locked="0" hidden="1"/>
    </xf>
    <xf numFmtId="166" fontId="14" fillId="0" borderId="15" xfId="0" applyFont="1" applyFill="1" applyBorder="1" applyAlignment="1">
      <alignment horizontal="center"/>
      <protection locked="0" hidden="1"/>
    </xf>
    <xf numFmtId="166" fontId="12" fillId="0" borderId="15" xfId="0" applyFont="1" applyFill="1" applyBorder="1" applyAlignment="1">
      <alignment horizontal="center"/>
      <protection locked="0" hidden="1"/>
    </xf>
    <xf numFmtId="166" fontId="12" fillId="0" borderId="15" xfId="0" applyFont="1" applyFill="1" applyBorder="1" applyAlignment="1">
      <alignment horizontal="center" vertical="center"/>
      <protection locked="0" hidden="1"/>
    </xf>
    <xf numFmtId="166" fontId="12" fillId="0" borderId="18" xfId="0" applyFont="1" applyFill="1" applyBorder="1" applyAlignment="1">
      <alignment horizontal="center" vertical="center"/>
      <protection locked="0" hidden="1"/>
    </xf>
    <xf numFmtId="0" fontId="18" fillId="0" borderId="0" xfId="0" applyNumberFormat="1" applyFont="1" applyFill="1" applyAlignment="1" applyProtection="1">
      <alignment horizontal="center"/>
    </xf>
    <xf numFmtId="166" fontId="12" fillId="0" borderId="8" xfId="0" applyFont="1" applyFill="1" applyBorder="1" applyAlignment="1">
      <alignment horizontal="center" vertical="center"/>
      <protection locked="0" hidden="1"/>
    </xf>
    <xf numFmtId="166" fontId="12" fillId="0" borderId="3" xfId="0" applyFont="1" applyFill="1" applyBorder="1" applyAlignment="1">
      <alignment horizontal="center" vertical="center"/>
      <protection locked="0" hidden="1"/>
    </xf>
    <xf numFmtId="0" fontId="19" fillId="0" borderId="3" xfId="0" applyNumberFormat="1" applyFont="1" applyFill="1" applyBorder="1" applyAlignment="1" applyProtection="1">
      <alignment horizontal="center" vertical="top" wrapText="1"/>
    </xf>
    <xf numFmtId="0" fontId="12" fillId="0" borderId="11" xfId="0" applyNumberFormat="1" applyFont="1" applyFill="1" applyBorder="1" applyAlignment="1" applyProtection="1">
      <alignment wrapText="1"/>
    </xf>
    <xf numFmtId="0" fontId="19" fillId="0" borderId="0" xfId="0" applyNumberFormat="1" applyFont="1" applyFill="1" applyAlignment="1" applyProtection="1">
      <alignment horizontal="center" vertical="top"/>
    </xf>
    <xf numFmtId="0" fontId="12" fillId="0" borderId="3" xfId="0" applyNumberFormat="1" applyFont="1" applyFill="1" applyBorder="1" applyAlignment="1" applyProtection="1">
      <alignment horizontal="centerContinuous" vertical="top" wrapText="1"/>
    </xf>
    <xf numFmtId="0" fontId="19" fillId="0" borderId="11" xfId="0" applyNumberFormat="1" applyFont="1" applyFill="1" applyBorder="1" applyAlignment="1" applyProtection="1">
      <alignment horizontal="center" vertical="top"/>
    </xf>
    <xf numFmtId="0" fontId="19" fillId="0" borderId="9" xfId="0" applyNumberFormat="1" applyFont="1" applyFill="1" applyBorder="1" applyAlignment="1" applyProtection="1">
      <alignment horizontal="center" vertical="top"/>
    </xf>
    <xf numFmtId="0" fontId="6" fillId="0" borderId="1" xfId="0" applyNumberFormat="1" applyFont="1" applyFill="1" applyBorder="1" applyAlignment="1" applyProtection="1"/>
    <xf numFmtId="0" fontId="12" fillId="0" borderId="4" xfId="0" applyNumberFormat="1" applyFont="1" applyFill="1" applyBorder="1" applyAlignment="1" applyProtection="1">
      <alignment horizontal="center" vertical="top"/>
    </xf>
    <xf numFmtId="0" fontId="14" fillId="0" borderId="3" xfId="0" applyNumberFormat="1" applyFont="1" applyFill="1" applyBorder="1" applyAlignment="1" applyProtection="1">
      <alignment horizontal="centerContinuous" vertical="top"/>
    </xf>
    <xf numFmtId="0" fontId="12" fillId="0" borderId="3" xfId="0" applyNumberFormat="1" applyFont="1" applyFill="1" applyBorder="1" applyAlignment="1" applyProtection="1">
      <alignment horizontal="center" vertical="center"/>
    </xf>
    <xf numFmtId="0" fontId="6" fillId="0" borderId="15" xfId="0" applyNumberFormat="1" applyFont="1" applyFill="1" applyBorder="1" applyAlignment="1" applyProtection="1"/>
    <xf numFmtId="0" fontId="12" fillId="0" borderId="15" xfId="0" applyNumberFormat="1" applyFont="1" applyFill="1" applyBorder="1" applyAlignment="1" applyProtection="1">
      <alignment wrapText="1"/>
    </xf>
    <xf numFmtId="0" fontId="12" fillId="0" borderId="18" xfId="0" applyNumberFormat="1" applyFont="1" applyFill="1" applyBorder="1" applyAlignment="1" applyProtection="1">
      <alignment horizontal="center" vertical="top"/>
    </xf>
    <xf numFmtId="0" fontId="12" fillId="0" borderId="5" xfId="0" applyNumberFormat="1" applyFont="1" applyFill="1" applyBorder="1" applyAlignment="1" applyProtection="1">
      <alignment horizontal="right" vertical="center"/>
    </xf>
    <xf numFmtId="170" fontId="12" fillId="0" borderId="6" xfId="0" applyNumberFormat="1" applyFont="1" applyFill="1" applyBorder="1" applyAlignment="1" applyProtection="1">
      <alignment horizontal="center" vertical="center"/>
    </xf>
    <xf numFmtId="0" fontId="8" fillId="0" borderId="7" xfId="0" applyNumberFormat="1" applyFont="1" applyFill="1" applyBorder="1" applyAlignment="1" applyProtection="1"/>
    <xf numFmtId="0" fontId="17" fillId="0" borderId="7" xfId="0" applyNumberFormat="1" applyFont="1" applyFill="1" applyBorder="1" applyAlignment="1" applyProtection="1"/>
    <xf numFmtId="0" fontId="8" fillId="0" borderId="7" xfId="0" applyNumberFormat="1" applyFont="1" applyFill="1" applyBorder="1" applyAlignment="1" applyProtection="1">
      <alignment wrapText="1"/>
    </xf>
    <xf numFmtId="0" fontId="25" fillId="0" borderId="7" xfId="0" applyNumberFormat="1" applyFont="1" applyFill="1" applyBorder="1" applyAlignment="1" applyProtection="1">
      <alignment horizontal="right"/>
    </xf>
    <xf numFmtId="0" fontId="4" fillId="0" borderId="7" xfId="0" applyNumberFormat="1" applyFont="1" applyFill="1" applyBorder="1" applyAlignment="1" applyProtection="1">
      <alignment horizontal="right"/>
    </xf>
    <xf numFmtId="0" fontId="5" fillId="0" borderId="7" xfId="0" applyNumberFormat="1" applyFont="1" applyFill="1" applyBorder="1" applyAlignment="1" applyProtection="1"/>
    <xf numFmtId="0" fontId="26" fillId="0" borderId="7" xfId="0" applyNumberFormat="1" applyFont="1" applyFill="1" applyBorder="1" applyAlignment="1" applyProtection="1"/>
    <xf numFmtId="0" fontId="24" fillId="0" borderId="5" xfId="0" applyNumberFormat="1" applyFont="1" applyFill="1" applyBorder="1" applyAlignment="1" applyProtection="1">
      <alignment vertical="center"/>
    </xf>
    <xf numFmtId="0" fontId="25" fillId="0" borderId="7" xfId="0" applyNumberFormat="1" applyFont="1" applyFill="1" applyBorder="1" applyAlignment="1" applyProtection="1"/>
    <xf numFmtId="0" fontId="12" fillId="0" borderId="16" xfId="0" applyNumberFormat="1" applyFont="1" applyFill="1" applyBorder="1" applyAlignment="1" applyProtection="1">
      <alignment horizontal="center" wrapText="1"/>
    </xf>
    <xf numFmtId="0" fontId="12" fillId="0" borderId="9" xfId="0" applyNumberFormat="1" applyFont="1" applyFill="1" applyBorder="1" applyAlignment="1" applyProtection="1">
      <alignment horizontal="center" vertical="center" wrapText="1"/>
    </xf>
    <xf numFmtId="0" fontId="12" fillId="0" borderId="11"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Continuous" vertical="center"/>
    </xf>
    <xf numFmtId="0" fontId="12" fillId="0" borderId="11" xfId="0" applyNumberFormat="1" applyFont="1" applyFill="1" applyBorder="1" applyAlignment="1" applyProtection="1">
      <alignment horizontal="center" vertical="center"/>
    </xf>
    <xf numFmtId="0" fontId="12" fillId="0" borderId="3"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xf>
    <xf numFmtId="0" fontId="12" fillId="0" borderId="4"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wrapText="1"/>
    </xf>
    <xf numFmtId="0" fontId="14" fillId="0" borderId="19" xfId="0" applyNumberFormat="1" applyFont="1" applyFill="1" applyBorder="1" applyAlignment="1" applyProtection="1">
      <alignment horizontal="center"/>
    </xf>
    <xf numFmtId="165" fontId="6" fillId="0" borderId="0" xfId="0" applyNumberFormat="1" applyFont="1" applyFill="1" applyAlignment="1" applyProtection="1">
      <alignment horizontal="right"/>
    </xf>
    <xf numFmtId="170" fontId="27" fillId="0" borderId="7" xfId="0" applyNumberFormat="1" applyFont="1" applyFill="1" applyBorder="1" applyAlignment="1" applyProtection="1">
      <alignment horizontal="right" readingOrder="2"/>
    </xf>
    <xf numFmtId="0" fontId="10" fillId="0" borderId="7" xfId="0" applyNumberFormat="1" applyFont="1" applyFill="1" applyBorder="1" applyAlignment="1" applyProtection="1">
      <alignment horizontal="right" readingOrder="2"/>
    </xf>
    <xf numFmtId="0" fontId="10" fillId="0" borderId="0" xfId="0" applyNumberFormat="1" applyFont="1" applyFill="1" applyAlignment="1" applyProtection="1">
      <alignment horizontal="right" readingOrder="2"/>
    </xf>
    <xf numFmtId="0" fontId="12" fillId="0" borderId="5" xfId="0" applyNumberFormat="1" applyFont="1" applyFill="1" applyBorder="1" applyAlignment="1" applyProtection="1">
      <alignment horizontal="left"/>
    </xf>
    <xf numFmtId="0" fontId="12" fillId="0" borderId="7" xfId="0" applyNumberFormat="1" applyFont="1" applyFill="1" applyBorder="1" applyAlignment="1" applyProtection="1">
      <alignment horizontal="left"/>
    </xf>
    <xf numFmtId="165" fontId="12" fillId="0" borderId="0" xfId="0" applyNumberFormat="1" applyFont="1" applyFill="1" applyAlignment="1" applyProtection="1">
      <alignment horizontal="right" wrapText="1"/>
    </xf>
    <xf numFmtId="165" fontId="12" fillId="0" borderId="0" xfId="0" applyNumberFormat="1" applyFont="1" applyFill="1" applyAlignment="1" applyProtection="1">
      <alignment horizontal="right"/>
    </xf>
    <xf numFmtId="165" fontId="8" fillId="0" borderId="0" xfId="0" applyNumberFormat="1" applyFont="1" applyFill="1" applyAlignment="1" applyProtection="1">
      <alignment horizontal="center" wrapText="1"/>
    </xf>
    <xf numFmtId="0" fontId="9" fillId="0" borderId="5" xfId="0" applyNumberFormat="1" applyFont="1" applyFill="1" applyBorder="1" applyAlignment="1" applyProtection="1">
      <alignment vertical="center"/>
    </xf>
    <xf numFmtId="0" fontId="12" fillId="0" borderId="5" xfId="0" applyNumberFormat="1" applyFont="1" applyFill="1" applyBorder="1" applyAlignment="1" applyProtection="1">
      <alignment horizontal="right" readingOrder="2"/>
    </xf>
    <xf numFmtId="0" fontId="9" fillId="0" borderId="5" xfId="0" applyNumberFormat="1" applyFont="1" applyFill="1" applyBorder="1" applyAlignment="1" applyProtection="1">
      <alignment horizontal="right" readingOrder="2"/>
    </xf>
    <xf numFmtId="166" fontId="15" fillId="0" borderId="0" xfId="0" applyFont="1" applyFill="1" applyAlignment="1">
      <alignment horizontal="right"/>
      <protection locked="0" hidden="1"/>
    </xf>
    <xf numFmtId="22" fontId="25" fillId="0" borderId="0" xfId="0" applyNumberFormat="1" applyFont="1" applyFill="1" applyAlignment="1">
      <alignment horizontal="centerContinuous"/>
      <protection locked="0" hidden="1"/>
    </xf>
    <xf numFmtId="0" fontId="25" fillId="0" borderId="0" xfId="0" applyNumberFormat="1" applyFont="1" applyFill="1" applyAlignment="1" applyProtection="1">
      <alignment horizontal="right"/>
    </xf>
    <xf numFmtId="0" fontId="25" fillId="0" borderId="0" xfId="0" applyNumberFormat="1" applyFont="1" applyFill="1" applyAlignment="1" applyProtection="1">
      <alignment horizontal="centerContinuous"/>
    </xf>
    <xf numFmtId="0" fontId="6" fillId="0" borderId="0" xfId="0" applyNumberFormat="1" applyFont="1" applyFill="1" applyAlignment="1" applyProtection="1">
      <alignment horizontal="centerContinuous" vertical="top"/>
    </xf>
    <xf numFmtId="22" fontId="8" fillId="0" borderId="7" xfId="0" applyNumberFormat="1" applyFont="1" applyFill="1" applyBorder="1" applyAlignment="1">
      <alignment horizontal="centerContinuous"/>
      <protection locked="0" hidden="1"/>
    </xf>
    <xf numFmtId="166" fontId="18" fillId="0" borderId="7" xfId="0" applyFont="1" applyFill="1" applyBorder="1" applyAlignment="1">
      <alignment horizontal="right" readingOrder="2"/>
      <protection locked="0" hidden="1"/>
    </xf>
    <xf numFmtId="166" fontId="18" fillId="0" borderId="7" xfId="0" applyFont="1" applyFill="1" applyBorder="1" applyAlignment="1">
      <protection locked="0" hidden="1"/>
    </xf>
    <xf numFmtId="166" fontId="21" fillId="0" borderId="1" xfId="0" applyFont="1" applyFill="1" applyBorder="1" applyAlignment="1">
      <alignment horizontal="center"/>
      <protection locked="0" hidden="1"/>
    </xf>
    <xf numFmtId="166" fontId="21" fillId="0" borderId="8" xfId="0" applyFont="1" applyFill="1" applyBorder="1" applyAlignment="1">
      <alignment horizontal="center"/>
      <protection locked="0" hidden="1"/>
    </xf>
    <xf numFmtId="166" fontId="21" fillId="0" borderId="11" xfId="0" applyFont="1" applyFill="1" applyBorder="1" applyAlignment="1">
      <alignment horizontal="center"/>
      <protection locked="0" hidden="1"/>
    </xf>
    <xf numFmtId="166" fontId="21" fillId="0" borderId="9" xfId="0" applyFont="1" applyFill="1" applyBorder="1" applyAlignment="1">
      <alignment horizontal="center" wrapText="1"/>
      <protection locked="0" hidden="1"/>
    </xf>
    <xf numFmtId="166" fontId="21" fillId="0" borderId="11" xfId="0" applyFont="1" applyFill="1" applyBorder="1" applyAlignment="1">
      <alignment horizontal="center" wrapText="1"/>
      <protection locked="0" hidden="1"/>
    </xf>
    <xf numFmtId="166" fontId="21" fillId="0" borderId="15" xfId="0" applyFont="1" applyFill="1" applyBorder="1" applyAlignment="1">
      <alignment horizontal="center"/>
      <protection locked="0" hidden="1"/>
    </xf>
    <xf numFmtId="166" fontId="21" fillId="0" borderId="0" xfId="0" applyFont="1" applyFill="1" applyAlignment="1">
      <alignment horizontal="center"/>
      <protection locked="0" hidden="1"/>
    </xf>
    <xf numFmtId="166" fontId="21" fillId="0" borderId="3" xfId="0" applyFont="1" applyFill="1" applyBorder="1" applyAlignment="1">
      <alignment horizontal="center" wrapText="1"/>
      <protection locked="0" hidden="1"/>
    </xf>
    <xf numFmtId="166" fontId="21" fillId="0" borderId="8" xfId="0" applyFont="1" applyFill="1" applyBorder="1" applyAlignment="1">
      <alignment horizontal="center" wrapText="1"/>
      <protection locked="0" hidden="1"/>
    </xf>
    <xf numFmtId="166" fontId="21" fillId="0" borderId="18" xfId="0" applyFont="1" applyFill="1" applyBorder="1" applyAlignment="1">
      <alignment horizontal="center"/>
      <protection locked="0" hidden="1"/>
    </xf>
    <xf numFmtId="0" fontId="12" fillId="0" borderId="21" xfId="0" applyNumberFormat="1" applyFont="1" applyFill="1" applyBorder="1" applyAlignment="1" applyProtection="1">
      <alignment horizontal="left" vertical="center" indent="2" readingOrder="1"/>
    </xf>
    <xf numFmtId="0" fontId="12" fillId="0" borderId="21" xfId="0" applyNumberFormat="1" applyFont="1" applyFill="1" applyBorder="1" applyAlignment="1" applyProtection="1">
      <alignment horizontal="left" vertical="center" indent="1"/>
    </xf>
    <xf numFmtId="0" fontId="24" fillId="0" borderId="22" xfId="0" applyNumberFormat="1" applyFont="1" applyFill="1" applyBorder="1" applyAlignment="1" applyProtection="1">
      <alignment horizontal="right" vertical="center" indent="1" readingOrder="2"/>
    </xf>
    <xf numFmtId="0" fontId="24" fillId="0" borderId="22" xfId="0" applyNumberFormat="1" applyFont="1" applyFill="1" applyBorder="1" applyAlignment="1" applyProtection="1">
      <alignment horizontal="right" vertical="center" indent="2" readingOrder="2"/>
    </xf>
    <xf numFmtId="0" fontId="12" fillId="0" borderId="9" xfId="0" applyNumberFormat="1" applyFont="1" applyFill="1" applyBorder="1" applyAlignment="1" applyProtection="1">
      <alignment horizontal="center" readingOrder="1"/>
    </xf>
    <xf numFmtId="0" fontId="12" fillId="0" borderId="11" xfId="0" applyNumberFormat="1" applyFont="1" applyFill="1" applyBorder="1" applyAlignment="1" applyProtection="1">
      <alignment horizontal="center" vertical="top" readingOrder="1"/>
    </xf>
    <xf numFmtId="0" fontId="14" fillId="0" borderId="11" xfId="0" applyNumberFormat="1" applyFont="1" applyFill="1" applyBorder="1" applyAlignment="1" applyProtection="1">
      <alignment horizontal="center" readingOrder="2"/>
    </xf>
    <xf numFmtId="0" fontId="14" fillId="0" borderId="9" xfId="0" applyNumberFormat="1" applyFont="1" applyFill="1" applyBorder="1" applyAlignment="1" applyProtection="1">
      <alignment horizontal="center" readingOrder="2"/>
    </xf>
    <xf numFmtId="0" fontId="12" fillId="0" borderId="3" xfId="0" applyNumberFormat="1" applyFont="1" applyFill="1" applyBorder="1" applyAlignment="1" applyProtection="1">
      <alignment vertical="center" wrapText="1"/>
    </xf>
    <xf numFmtId="0" fontId="19" fillId="0" borderId="1" xfId="0" applyNumberFormat="1" applyFont="1" applyFill="1" applyBorder="1" applyAlignment="1" applyProtection="1">
      <alignment horizontal="centerContinuous" vertical="center" wrapText="1"/>
    </xf>
    <xf numFmtId="0" fontId="19" fillId="0" borderId="11" xfId="0" applyNumberFormat="1" applyFont="1" applyFill="1" applyBorder="1" applyAlignment="1" applyProtection="1">
      <alignment horizontal="center" vertical="center"/>
    </xf>
    <xf numFmtId="166" fontId="16" fillId="0" borderId="0" xfId="0" applyFont="1" applyFill="1" applyAlignment="1">
      <alignment horizontal="centerContinuous" wrapText="1"/>
      <protection locked="0" hidden="1"/>
    </xf>
    <xf numFmtId="166" fontId="16" fillId="0" borderId="0" xfId="0" applyFont="1" applyFill="1" applyAlignment="1">
      <alignment horizontal="centerContinuous"/>
      <protection locked="0" hidden="1"/>
    </xf>
    <xf numFmtId="166" fontId="7" fillId="0" borderId="0" xfId="0" applyFont="1" applyFill="1" applyAlignment="1">
      <alignment horizontal="centerContinuous"/>
      <protection locked="0" hidden="1"/>
    </xf>
    <xf numFmtId="166" fontId="16" fillId="0" borderId="0" xfId="0" applyFont="1" applyFill="1" applyAlignment="1">
      <alignment wrapText="1"/>
      <protection locked="0" hidden="1"/>
    </xf>
    <xf numFmtId="166" fontId="8" fillId="0" borderId="7" xfId="0" applyFont="1" applyFill="1" applyBorder="1" applyAlignment="1">
      <protection locked="0" hidden="1"/>
    </xf>
    <xf numFmtId="166" fontId="17" fillId="0" borderId="7" xfId="0" applyFont="1" applyFill="1" applyBorder="1" applyAlignment="1">
      <protection locked="0" hidden="1"/>
    </xf>
    <xf numFmtId="166" fontId="17" fillId="0" borderId="0" xfId="0" applyFont="1" applyFill="1" applyAlignment="1">
      <protection locked="0" hidden="1"/>
    </xf>
    <xf numFmtId="166" fontId="25" fillId="0" borderId="0" xfId="0" applyFont="1" applyFill="1" applyAlignment="1">
      <alignment horizontal="centerContinuous"/>
      <protection locked="0" hidden="1"/>
    </xf>
    <xf numFmtId="166" fontId="6" fillId="0" borderId="0" xfId="0" applyFont="1" applyFill="1" applyAlignment="1">
      <alignment horizontal="centerContinuous" vertical="top"/>
      <protection locked="0" hidden="1"/>
    </xf>
    <xf numFmtId="166" fontId="6" fillId="0" borderId="0" xfId="0" applyFont="1" applyFill="1" applyAlignment="1">
      <alignment horizontal="centerContinuous" vertical="top" wrapText="1"/>
      <protection locked="0" hidden="1"/>
    </xf>
    <xf numFmtId="166" fontId="12" fillId="0" borderId="0" xfId="0" applyFont="1" applyFill="1" applyAlignment="1">
      <alignment wrapText="1"/>
      <protection locked="0" hidden="1"/>
    </xf>
    <xf numFmtId="166" fontId="14" fillId="0" borderId="2" xfId="0" applyFont="1" applyFill="1" applyBorder="1" applyAlignment="1">
      <alignment horizontal="centerContinuous" wrapText="1"/>
      <protection locked="0" hidden="1"/>
    </xf>
    <xf numFmtId="166" fontId="12" fillId="0" borderId="6" xfId="0" applyFont="1" applyFill="1" applyBorder="1" applyAlignment="1">
      <alignment horizontal="centerContinuous" wrapText="1"/>
      <protection locked="0" hidden="1"/>
    </xf>
    <xf numFmtId="0" fontId="14" fillId="0" borderId="6" xfId="0" applyNumberFormat="1" applyFont="1" applyFill="1" applyBorder="1" applyAlignment="1" applyProtection="1">
      <alignment horizontal="center" wrapText="1" readingOrder="2"/>
    </xf>
    <xf numFmtId="0" fontId="12" fillId="0" borderId="1" xfId="0" applyNumberFormat="1" applyFont="1" applyFill="1" applyBorder="1" applyAlignment="1" applyProtection="1"/>
    <xf numFmtId="0" fontId="12" fillId="0" borderId="2" xfId="0" applyNumberFormat="1" applyFont="1" applyFill="1" applyBorder="1" applyAlignment="1" applyProtection="1">
      <alignment horizontal="center"/>
    </xf>
    <xf numFmtId="0" fontId="12" fillId="0" borderId="12" xfId="0" applyNumberFormat="1" applyFont="1" applyFill="1" applyBorder="1" applyAlignment="1" applyProtection="1">
      <alignment horizontal="center"/>
    </xf>
    <xf numFmtId="0" fontId="8" fillId="0" borderId="7" xfId="0" applyNumberFormat="1" applyFont="1" applyFill="1" applyBorder="1" applyAlignment="1" applyProtection="1">
      <alignment horizontal="centerContinuous"/>
    </xf>
    <xf numFmtId="0" fontId="8" fillId="0" borderId="7" xfId="0" applyNumberFormat="1" applyFont="1" applyFill="1" applyBorder="1" applyAlignment="1" applyProtection="1">
      <alignment horizontal="right"/>
    </xf>
    <xf numFmtId="0" fontId="8" fillId="0" borderId="7" xfId="0" applyNumberFormat="1" applyFont="1" applyFill="1" applyBorder="1" applyAlignment="1" applyProtection="1">
      <alignment horizontal="right" readingOrder="2"/>
    </xf>
    <xf numFmtId="0" fontId="12" fillId="0" borderId="8" xfId="0" applyNumberFormat="1" applyFont="1" applyFill="1" applyBorder="1" applyAlignment="1" applyProtection="1">
      <alignment horizontal="left" wrapText="1"/>
    </xf>
    <xf numFmtId="0" fontId="14" fillId="0" borderId="22" xfId="0" applyNumberFormat="1" applyFont="1" applyFill="1" applyBorder="1" applyAlignment="1" applyProtection="1">
      <alignment horizontal="right" vertical="center" indent="2" readingOrder="2"/>
    </xf>
    <xf numFmtId="0" fontId="12" fillId="0" borderId="23" xfId="0" applyNumberFormat="1" applyFont="1" applyFill="1" applyBorder="1" applyAlignment="1" applyProtection="1">
      <alignment horizontal="left" vertical="center" indent="2" readingOrder="1"/>
    </xf>
    <xf numFmtId="0" fontId="12" fillId="0" borderId="4" xfId="0" applyNumberFormat="1" applyFont="1" applyFill="1" applyBorder="1" applyAlignment="1" applyProtection="1">
      <alignment horizontal="left" indent="1"/>
    </xf>
    <xf numFmtId="0" fontId="14" fillId="0" borderId="10" xfId="0" applyNumberFormat="1" applyFont="1" applyFill="1" applyBorder="1" applyAlignment="1" applyProtection="1">
      <alignment horizontal="left" indent="1" readingOrder="2"/>
    </xf>
    <xf numFmtId="0" fontId="12" fillId="0" borderId="21" xfId="0" applyNumberFormat="1" applyFont="1" applyFill="1" applyBorder="1" applyAlignment="1" applyProtection="1">
      <alignment horizontal="left" vertical="center" indent="3"/>
    </xf>
    <xf numFmtId="0" fontId="14" fillId="0" borderId="22" xfId="0" applyNumberFormat="1" applyFont="1" applyFill="1" applyBorder="1" applyAlignment="1" applyProtection="1">
      <alignment horizontal="right" vertical="center" indent="3"/>
    </xf>
    <xf numFmtId="0" fontId="12" fillId="0" borderId="23" xfId="0" applyNumberFormat="1" applyFont="1" applyFill="1" applyBorder="1" applyAlignment="1" applyProtection="1">
      <alignment horizontal="left" vertical="center" indent="3"/>
    </xf>
    <xf numFmtId="0" fontId="12" fillId="0" borderId="12" xfId="0" applyNumberFormat="1" applyFont="1" applyFill="1" applyBorder="1" applyAlignment="1" applyProtection="1">
      <alignment vertical="center"/>
    </xf>
    <xf numFmtId="181" fontId="5" fillId="0" borderId="0" xfId="0" applyNumberFormat="1" applyFont="1" applyFill="1" applyAlignment="1" applyProtection="1">
      <alignment horizontal="centerContinuous"/>
    </xf>
    <xf numFmtId="166" fontId="20" fillId="0" borderId="0" xfId="0" applyFont="1" applyFill="1" applyAlignment="1">
      <alignment horizontal="right" readingOrder="2"/>
      <protection locked="0" hidden="1"/>
    </xf>
    <xf numFmtId="166" fontId="18" fillId="0" borderId="0" xfId="0" applyFont="1" applyFill="1" applyAlignment="1">
      <protection locked="0" hidden="1"/>
    </xf>
    <xf numFmtId="0" fontId="19" fillId="0" borderId="1" xfId="0" applyNumberFormat="1" applyFont="1" applyFill="1" applyBorder="1" applyAlignment="1" applyProtection="1">
      <alignment horizontal="center"/>
    </xf>
    <xf numFmtId="0" fontId="19" fillId="0" borderId="0" xfId="0" applyNumberFormat="1" applyFont="1" applyFill="1" applyAlignment="1" applyProtection="1">
      <alignment horizontal="center"/>
    </xf>
    <xf numFmtId="0" fontId="19" fillId="0" borderId="0" xfId="0" applyNumberFormat="1" applyFont="1" applyFill="1" applyAlignment="1" applyProtection="1">
      <alignment horizontal="centerContinuous"/>
    </xf>
    <xf numFmtId="0" fontId="19" fillId="0" borderId="9" xfId="0" applyNumberFormat="1" applyFont="1" applyFill="1" applyBorder="1" applyAlignment="1" applyProtection="1">
      <alignment horizontal="centerContinuous"/>
    </xf>
    <xf numFmtId="0" fontId="14" fillId="0" borderId="10" xfId="0" applyNumberFormat="1" applyFont="1" applyFill="1" applyBorder="1" applyAlignment="1" applyProtection="1">
      <alignment horizontal="centerContinuous"/>
    </xf>
    <xf numFmtId="0" fontId="19" fillId="0" borderId="11" xfId="0" applyNumberFormat="1" applyFont="1" applyFill="1" applyBorder="1" applyAlignment="1" applyProtection="1">
      <alignment horizontal="center" wrapText="1"/>
    </xf>
    <xf numFmtId="0" fontId="19" fillId="0" borderId="15" xfId="0" applyNumberFormat="1" applyFont="1" applyFill="1" applyBorder="1" applyAlignment="1" applyProtection="1">
      <alignment horizontal="center"/>
    </xf>
    <xf numFmtId="165" fontId="18" fillId="0" borderId="0" xfId="0" applyNumberFormat="1" applyFont="1" applyFill="1" applyAlignment="1">
      <protection locked="0" hidden="1"/>
    </xf>
    <xf numFmtId="164" fontId="18" fillId="0" borderId="0" xfId="0" applyNumberFormat="1" applyFont="1" applyFill="1" applyAlignment="1">
      <protection locked="0" hidden="1"/>
    </xf>
    <xf numFmtId="22" fontId="18" fillId="0" borderId="0" xfId="0" applyNumberFormat="1" applyFont="1" applyFill="1" applyAlignment="1" applyProtection="1">
      <alignment horizontal="centerContinuous"/>
    </xf>
    <xf numFmtId="0" fontId="18" fillId="0" borderId="0" xfId="0" applyNumberFormat="1" applyFont="1" applyFill="1" applyAlignment="1" applyProtection="1">
      <alignment horizontal="centerContinuous"/>
    </xf>
    <xf numFmtId="0" fontId="22" fillId="0" borderId="0" xfId="0" applyNumberFormat="1" applyFont="1" applyFill="1" applyAlignment="1" applyProtection="1">
      <alignment horizontal="centerContinuous"/>
    </xf>
    <xf numFmtId="166" fontId="18" fillId="0" borderId="0" xfId="0" applyFont="1" applyFill="1" applyAlignment="1">
      <alignment horizontal="centerContinuous"/>
      <protection locked="0" hidden="1"/>
    </xf>
    <xf numFmtId="166" fontId="17" fillId="0" borderId="0" xfId="0" applyFont="1" applyFill="1" applyAlignment="1">
      <alignment horizontal="centerContinuous"/>
      <protection locked="0" hidden="1"/>
    </xf>
    <xf numFmtId="166" fontId="22" fillId="0" borderId="0" xfId="0" applyFont="1" applyFill="1" applyAlignment="1">
      <protection locked="0" hidden="1"/>
    </xf>
    <xf numFmtId="166" fontId="8" fillId="0" borderId="0" xfId="0" applyFont="1" applyFill="1" applyAlignment="1">
      <alignment horizontal="centerContinuous" wrapText="1"/>
      <protection locked="0" hidden="1"/>
    </xf>
    <xf numFmtId="166" fontId="8" fillId="0" borderId="0" xfId="0" applyFont="1" applyFill="1" applyAlignment="1">
      <alignment wrapText="1"/>
      <protection locked="0" hidden="1"/>
    </xf>
    <xf numFmtId="166" fontId="10" fillId="0" borderId="0" xfId="0" applyFont="1" applyFill="1" applyAlignment="1">
      <alignment horizontal="right"/>
      <protection locked="0" hidden="1"/>
    </xf>
    <xf numFmtId="166" fontId="19" fillId="0" borderId="2" xfId="0" applyFont="1" applyFill="1" applyBorder="1" applyAlignment="1">
      <alignment horizontal="centerContinuous" vertical="center"/>
      <protection locked="0" hidden="1"/>
    </xf>
    <xf numFmtId="166" fontId="21" fillId="0" borderId="7" xfId="0" applyFont="1" applyFill="1" applyBorder="1" applyAlignment="1">
      <alignment horizontal="centerContinuous" vertical="center"/>
      <protection locked="0" hidden="1"/>
    </xf>
    <xf numFmtId="166" fontId="21" fillId="0" borderId="21" xfId="0" applyFont="1" applyFill="1" applyBorder="1" applyAlignment="1">
      <alignment horizontal="left" vertical="center" indent="2"/>
      <protection locked="0" hidden="1"/>
    </xf>
    <xf numFmtId="166" fontId="21" fillId="0" borderId="5" xfId="0" applyFont="1" applyFill="1" applyBorder="1" applyAlignment="1">
      <alignment vertical="center"/>
      <protection locked="0" hidden="1"/>
    </xf>
    <xf numFmtId="166" fontId="19" fillId="0" borderId="5" xfId="0" applyFont="1" applyFill="1" applyBorder="1" applyAlignment="1">
      <alignment vertical="center"/>
      <protection locked="0" hidden="1"/>
    </xf>
    <xf numFmtId="166" fontId="19" fillId="0" borderId="6" xfId="0" applyFont="1" applyFill="1" applyBorder="1" applyAlignment="1">
      <alignment horizontal="right" vertical="center" indent="2"/>
      <protection locked="0" hidden="1"/>
    </xf>
    <xf numFmtId="166" fontId="19" fillId="0" borderId="22" xfId="0" applyFont="1" applyFill="1" applyBorder="1" applyAlignment="1">
      <alignment horizontal="right" vertical="center" indent="2"/>
      <protection locked="0" hidden="1"/>
    </xf>
    <xf numFmtId="166" fontId="19" fillId="0" borderId="12" xfId="0" applyFont="1" applyFill="1" applyBorder="1" applyAlignment="1">
      <alignment horizontal="center" vertical="center"/>
      <protection locked="0" hidden="1"/>
    </xf>
    <xf numFmtId="166" fontId="14" fillId="0" borderId="1" xfId="0" applyFont="1" applyFill="1" applyBorder="1" applyAlignment="1">
      <alignment horizontal="centerContinuous"/>
      <protection locked="0" hidden="1"/>
    </xf>
    <xf numFmtId="166" fontId="12" fillId="0" borderId="9" xfId="0" applyFont="1" applyFill="1" applyBorder="1" applyAlignment="1">
      <alignment horizontal="centerContinuous"/>
      <protection locked="0" hidden="1"/>
    </xf>
    <xf numFmtId="166" fontId="19" fillId="0" borderId="11" xfId="0" applyFont="1" applyFill="1" applyBorder="1" applyAlignment="1">
      <alignment horizontal="center"/>
      <protection locked="0" hidden="1"/>
    </xf>
    <xf numFmtId="166" fontId="19" fillId="0" borderId="9" xfId="0" applyFont="1" applyFill="1" applyBorder="1" applyAlignment="1">
      <alignment horizontal="center"/>
      <protection locked="0" hidden="1"/>
    </xf>
    <xf numFmtId="166" fontId="19" fillId="0" borderId="12" xfId="0" applyFont="1" applyFill="1" applyBorder="1" applyAlignment="1">
      <alignment horizontal="center"/>
      <protection locked="0" hidden="1"/>
    </xf>
    <xf numFmtId="166" fontId="19" fillId="0" borderId="6" xfId="0" applyFont="1" applyFill="1" applyBorder="1" applyAlignment="1">
      <alignment horizontal="center" wrapText="1"/>
      <protection locked="0" hidden="1"/>
    </xf>
    <xf numFmtId="166" fontId="19" fillId="0" borderId="9" xfId="0" applyFont="1" applyFill="1" applyBorder="1" applyAlignment="1">
      <alignment horizontal="center" wrapText="1"/>
      <protection locked="0" hidden="1"/>
    </xf>
    <xf numFmtId="166" fontId="21" fillId="0" borderId="4" xfId="0" applyFont="1" applyFill="1" applyBorder="1" applyAlignment="1">
      <alignment horizontal="centerContinuous" vertical="top"/>
      <protection locked="0" hidden="1"/>
    </xf>
    <xf numFmtId="166" fontId="21" fillId="0" borderId="3" xfId="0" applyFont="1" applyFill="1" applyBorder="1" applyAlignment="1">
      <alignment horizontal="centerContinuous" vertical="top"/>
      <protection locked="0" hidden="1"/>
    </xf>
    <xf numFmtId="166" fontId="21" fillId="0" borderId="8" xfId="0" applyFont="1" applyFill="1" applyBorder="1" applyAlignment="1">
      <alignment horizontal="center" vertical="center" wrapText="1"/>
      <protection locked="0" hidden="1"/>
    </xf>
    <xf numFmtId="166" fontId="21" fillId="0" borderId="10" xfId="0" applyFont="1" applyFill="1" applyBorder="1" applyAlignment="1">
      <alignment horizontal="center" vertical="center" wrapText="1"/>
      <protection locked="0" hidden="1"/>
    </xf>
    <xf numFmtId="166" fontId="21" fillId="0" borderId="4" xfId="0" applyFont="1" applyFill="1" applyBorder="1" applyAlignment="1">
      <alignment horizontal="centerContinuous" vertical="center"/>
      <protection locked="0" hidden="1"/>
    </xf>
    <xf numFmtId="166" fontId="8" fillId="0" borderId="0" xfId="0" applyFont="1" applyFill="1" applyAlignment="1">
      <alignment horizontal="center" vertical="center"/>
      <protection locked="0" hidden="1"/>
    </xf>
    <xf numFmtId="166" fontId="8" fillId="0" borderId="7" xfId="0" applyFont="1" applyFill="1" applyBorder="1" applyAlignment="1">
      <alignment wrapText="1"/>
      <protection locked="0" hidden="1"/>
    </xf>
    <xf numFmtId="166" fontId="8" fillId="0" borderId="7" xfId="0" applyFont="1" applyFill="1" applyBorder="1" applyAlignment="1">
      <alignment horizontal="right" wrapText="1"/>
      <protection locked="0" hidden="1"/>
    </xf>
    <xf numFmtId="206" fontId="16" fillId="0" borderId="0" xfId="0" applyNumberFormat="1" applyFont="1" applyFill="1" applyAlignment="1">
      <protection locked="0" hidden="1"/>
    </xf>
    <xf numFmtId="166" fontId="30" fillId="0" borderId="0" xfId="0" applyFont="1" applyFill="1" applyAlignment="1">
      <alignment horizontal="centerContinuous"/>
      <protection locked="0" hidden="1"/>
    </xf>
    <xf numFmtId="166" fontId="25" fillId="0" borderId="0" xfId="0" applyFont="1" applyFill="1" applyAlignment="1">
      <alignment horizontal="left"/>
      <protection locked="0" hidden="1"/>
    </xf>
    <xf numFmtId="22" fontId="25" fillId="0" borderId="0" xfId="0" applyNumberFormat="1" applyFont="1" applyFill="1" applyAlignment="1">
      <alignment horizontal="left"/>
      <protection locked="0" hidden="1"/>
    </xf>
    <xf numFmtId="164" fontId="16" fillId="0" borderId="0" xfId="0" applyNumberFormat="1" applyFont="1" applyFill="1" applyAlignment="1">
      <protection locked="0" hidden="1"/>
    </xf>
    <xf numFmtId="198" fontId="16" fillId="0" borderId="0" xfId="0" applyNumberFormat="1" applyFont="1" applyFill="1" applyAlignment="1">
      <protection locked="0" hidden="1"/>
    </xf>
    <xf numFmtId="0" fontId="6" fillId="0" borderId="7" xfId="0" applyNumberFormat="1" applyFont="1" applyFill="1" applyBorder="1" applyAlignment="1" applyProtection="1"/>
    <xf numFmtId="166" fontId="8" fillId="0" borderId="0" xfId="0" applyFont="1" applyFill="1" applyAlignment="1">
      <alignment horizontal="left" indent="1"/>
      <protection locked="0" hidden="1"/>
    </xf>
    <xf numFmtId="166" fontId="21" fillId="0" borderId="1" xfId="0" applyFont="1" applyFill="1" applyBorder="1" applyAlignment="1">
      <alignment horizontal="left" vertical="top"/>
      <protection locked="0" hidden="1"/>
    </xf>
    <xf numFmtId="166" fontId="18" fillId="0" borderId="0" xfId="0" applyFont="1" applyFill="1" applyAlignment="1">
      <alignment horizontal="left"/>
      <protection locked="0" hidden="1"/>
    </xf>
    <xf numFmtId="166" fontId="22" fillId="0" borderId="0" xfId="0" applyFont="1" applyFill="1" applyAlignment="1">
      <alignment horizontal="centerContinuous" wrapText="1"/>
      <protection locked="0" hidden="1"/>
    </xf>
    <xf numFmtId="166" fontId="22" fillId="0" borderId="0" xfId="0" applyFont="1" applyFill="1" applyAlignment="1">
      <alignment wrapText="1"/>
      <protection locked="0" hidden="1"/>
    </xf>
    <xf numFmtId="166" fontId="20" fillId="0" borderId="0" xfId="0" applyFont="1" applyFill="1" applyAlignment="1">
      <protection locked="0" hidden="1"/>
    </xf>
    <xf numFmtId="166" fontId="7" fillId="0" borderId="21" xfId="0" applyFont="1" applyFill="1" applyBorder="1" applyAlignment="1">
      <alignment horizontal="left" vertical="center" indent="4"/>
      <protection locked="0" hidden="1"/>
    </xf>
    <xf numFmtId="166" fontId="11" fillId="0" borderId="5" xfId="0" applyFont="1" applyFill="1" applyBorder="1" applyAlignment="1">
      <alignment horizontal="right" vertical="center" indent="4"/>
      <protection locked="0" hidden="1"/>
    </xf>
    <xf numFmtId="166" fontId="12" fillId="0" borderId="24" xfId="0" applyFont="1" applyFill="1" applyBorder="1" applyAlignment="1">
      <alignment vertical="center"/>
      <protection locked="0" hidden="1"/>
    </xf>
    <xf numFmtId="166" fontId="11" fillId="0" borderId="22" xfId="0" applyFont="1" applyFill="1" applyBorder="1" applyAlignment="1">
      <alignment horizontal="right" vertical="center" indent="4"/>
      <protection locked="0" hidden="1"/>
    </xf>
    <xf numFmtId="166" fontId="18" fillId="0" borderId="0" xfId="0" applyFont="1" applyFill="1" applyAlignment="1">
      <alignment horizontal="right" readingOrder="2"/>
      <protection locked="0" hidden="1"/>
    </xf>
    <xf numFmtId="166" fontId="11" fillId="0" borderId="5" xfId="0" applyFont="1" applyFill="1" applyBorder="1" applyAlignment="1">
      <alignment horizontal="right" vertical="center" indent="4" readingOrder="2"/>
      <protection locked="0" hidden="1"/>
    </xf>
    <xf numFmtId="166" fontId="12" fillId="0" borderId="24" xfId="0" applyFont="1" applyFill="1" applyBorder="1" applyAlignment="1">
      <alignment vertical="center" readingOrder="2"/>
      <protection locked="0" hidden="1"/>
    </xf>
    <xf numFmtId="166" fontId="7" fillId="0" borderId="5" xfId="0" applyFont="1" applyFill="1" applyBorder="1" applyAlignment="1">
      <alignment horizontal="left" vertical="center" indent="4"/>
      <protection locked="0" hidden="1"/>
    </xf>
    <xf numFmtId="166" fontId="11" fillId="0" borderId="22" xfId="0" applyFont="1" applyFill="1" applyBorder="1" applyAlignment="1">
      <alignment horizontal="right" vertical="center" indent="4" readingOrder="2"/>
      <protection locked="0" hidden="1"/>
    </xf>
    <xf numFmtId="0" fontId="14" fillId="0" borderId="1" xfId="0" applyNumberFormat="1" applyFont="1" applyFill="1" applyBorder="1" applyAlignment="1" applyProtection="1">
      <alignment horizontal="centerContinuous" vertical="center" readingOrder="2"/>
    </xf>
    <xf numFmtId="0" fontId="12" fillId="0" borderId="12" xfId="0" applyNumberFormat="1" applyFont="1" applyFill="1" applyBorder="1" applyAlignment="1" applyProtection="1"/>
    <xf numFmtId="166" fontId="14" fillId="0" borderId="9" xfId="0" applyFont="1" applyFill="1" applyBorder="1" applyAlignment="1">
      <alignment horizontal="center" vertical="top"/>
      <protection locked="0" hidden="1"/>
    </xf>
    <xf numFmtId="0" fontId="14" fillId="0" borderId="1" xfId="0" applyNumberFormat="1" applyFont="1" applyFill="1" applyBorder="1" applyAlignment="1" applyProtection="1">
      <alignment horizontal="center" readingOrder="2"/>
    </xf>
    <xf numFmtId="0" fontId="12" fillId="0" borderId="11" xfId="0" applyNumberFormat="1" applyFont="1" applyFill="1" applyBorder="1" applyAlignment="1" applyProtection="1">
      <alignment horizontal="center" vertical="center" readingOrder="1"/>
    </xf>
    <xf numFmtId="166" fontId="12" fillId="0" borderId="9" xfId="0" applyFont="1" applyFill="1" applyBorder="1" applyAlignment="1">
      <alignment horizontal="center" vertical="top"/>
      <protection locked="0" hidden="1"/>
    </xf>
    <xf numFmtId="0" fontId="12" fillId="0" borderId="1" xfId="0" applyNumberFormat="1" applyFont="1" applyFill="1" applyBorder="1" applyAlignment="1" applyProtection="1">
      <alignment horizontal="center" vertical="center" readingOrder="1"/>
    </xf>
    <xf numFmtId="0" fontId="12" fillId="0" borderId="1"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readingOrder="1"/>
    </xf>
    <xf numFmtId="167" fontId="12" fillId="0" borderId="8" xfId="0" applyNumberFormat="1" applyFont="1" applyFill="1" applyBorder="1" applyAlignment="1" applyProtection="1">
      <alignment horizontal="center"/>
    </xf>
    <xf numFmtId="166" fontId="5" fillId="0" borderId="7" xfId="0" applyFont="1" applyFill="1" applyBorder="1" applyAlignment="1">
      <protection locked="0" hidden="1"/>
    </xf>
    <xf numFmtId="166" fontId="5" fillId="0" borderId="0" xfId="0" applyFont="1" applyFill="1" applyAlignment="1">
      <protection locked="0" hidden="1"/>
    </xf>
    <xf numFmtId="166" fontId="5" fillId="0" borderId="0" xfId="0" applyFont="1" applyFill="1" applyAlignment="1">
      <alignment horizontal="centerContinuous"/>
      <protection locked="0" hidden="1"/>
    </xf>
    <xf numFmtId="0" fontId="12" fillId="0" borderId="9" xfId="0" applyNumberFormat="1" applyFont="1" applyFill="1" applyBorder="1" applyAlignment="1" applyProtection="1">
      <alignment horizontal="center" vertical="center" readingOrder="1"/>
    </xf>
    <xf numFmtId="167" fontId="12" fillId="0" borderId="10" xfId="0" applyNumberFormat="1" applyFont="1" applyFill="1" applyBorder="1" applyAlignment="1" applyProtection="1">
      <alignment horizontal="center"/>
    </xf>
    <xf numFmtId="165" fontId="16" fillId="0" borderId="1" xfId="0" applyNumberFormat="1" applyFont="1" applyFill="1" applyBorder="1" applyAlignment="1">
      <alignment horizontal="right"/>
      <protection locked="0" hidden="1"/>
    </xf>
    <xf numFmtId="165" fontId="16" fillId="0" borderId="11" xfId="0" applyNumberFormat="1" applyFont="1" applyFill="1" applyBorder="1" applyAlignment="1">
      <alignment horizontal="right"/>
      <protection locked="0" hidden="1"/>
    </xf>
    <xf numFmtId="166" fontId="6" fillId="0" borderId="0" xfId="0" applyFont="1" applyFill="1" applyAlignment="1">
      <alignment horizontal="centerContinuous"/>
      <protection locked="0" hidden="1"/>
    </xf>
    <xf numFmtId="166" fontId="8" fillId="0" borderId="3" xfId="0" applyFont="1" applyFill="1" applyBorder="1" applyAlignment="1">
      <protection locked="0" hidden="1"/>
    </xf>
    <xf numFmtId="166" fontId="6" fillId="0" borderId="3" xfId="0" applyFont="1" applyFill="1" applyBorder="1" applyAlignment="1">
      <protection locked="0" hidden="1"/>
    </xf>
    <xf numFmtId="166" fontId="6" fillId="0" borderId="3" xfId="0" applyFont="1" applyFill="1" applyBorder="1" applyAlignment="1">
      <alignment horizontal="centerContinuous"/>
      <protection locked="0" hidden="1"/>
    </xf>
    <xf numFmtId="166" fontId="10" fillId="0" borderId="3" xfId="0" applyFont="1" applyFill="1" applyBorder="1" applyAlignment="1">
      <alignment horizontal="right"/>
      <protection locked="0" hidden="1"/>
    </xf>
    <xf numFmtId="166" fontId="12" fillId="0" borderId="1" xfId="0" applyFont="1" applyFill="1" applyBorder="1" applyAlignment="1">
      <alignment horizontal="centerContinuous" vertical="center"/>
      <protection locked="0" hidden="1"/>
    </xf>
    <xf numFmtId="166" fontId="14" fillId="0" borderId="0" xfId="0" applyFont="1" applyFill="1" applyAlignment="1">
      <alignment horizontal="centerContinuous" vertical="center"/>
      <protection locked="0" hidden="1"/>
    </xf>
    <xf numFmtId="166" fontId="14" fillId="0" borderId="0" xfId="0" applyFont="1" applyFill="1" applyAlignment="1">
      <alignment vertical="center"/>
      <protection locked="0" hidden="1"/>
    </xf>
    <xf numFmtId="166" fontId="14" fillId="0" borderId="9" xfId="0" applyFont="1" applyFill="1" applyBorder="1" applyAlignment="1">
      <alignment horizontal="right" vertical="center" readingOrder="2"/>
      <protection locked="0" hidden="1"/>
    </xf>
    <xf numFmtId="166" fontId="14" fillId="0" borderId="1" xfId="0" applyFont="1" applyFill="1" applyBorder="1" applyAlignment="1">
      <alignment horizontal="centerContinuous" vertical="center" readingOrder="2"/>
      <protection locked="0" hidden="1"/>
    </xf>
    <xf numFmtId="166" fontId="12" fillId="0" borderId="9" xfId="0" applyFont="1" applyFill="1" applyBorder="1" applyAlignment="1">
      <alignment horizontal="centerContinuous" vertical="center"/>
      <protection locked="0" hidden="1"/>
    </xf>
    <xf numFmtId="166" fontId="14" fillId="0" borderId="2" xfId="0" applyFont="1" applyFill="1" applyBorder="1" applyAlignment="1">
      <alignment horizontal="center"/>
      <protection locked="0" hidden="1"/>
    </xf>
    <xf numFmtId="166" fontId="14" fillId="0" borderId="12" xfId="0" applyFont="1" applyFill="1" applyBorder="1" applyAlignment="1">
      <alignment horizontal="center"/>
      <protection locked="0" hidden="1"/>
    </xf>
    <xf numFmtId="166" fontId="14" fillId="0" borderId="6" xfId="0" applyFont="1" applyFill="1" applyBorder="1" applyAlignment="1">
      <alignment horizontal="center"/>
      <protection locked="0" hidden="1"/>
    </xf>
    <xf numFmtId="166" fontId="12" fillId="0" borderId="3" xfId="0" applyFont="1" applyFill="1" applyBorder="1" applyAlignment="1">
      <alignment horizontal="centerContinuous" vertical="center" wrapText="1"/>
      <protection locked="0" hidden="1"/>
    </xf>
    <xf numFmtId="166" fontId="12" fillId="0" borderId="8" xfId="0" applyFont="1" applyFill="1" applyBorder="1" applyAlignment="1">
      <alignment horizontal="center" vertical="center" wrapText="1"/>
      <protection locked="0" hidden="1"/>
    </xf>
    <xf numFmtId="166" fontId="12" fillId="0" borderId="10" xfId="0" applyFont="1" applyFill="1" applyBorder="1" applyAlignment="1">
      <alignment horizontal="center" vertical="center" wrapText="1"/>
      <protection locked="0" hidden="1"/>
    </xf>
    <xf numFmtId="166" fontId="12" fillId="0" borderId="0" xfId="0" applyFont="1" applyFill="1" applyAlignment="1">
      <alignment vertical="center" wrapText="1"/>
      <protection locked="0" hidden="1"/>
    </xf>
    <xf numFmtId="166" fontId="21" fillId="0" borderId="1" xfId="0" applyFont="1" applyFill="1" applyBorder="1" applyAlignment="1">
      <alignment horizontal="left"/>
      <protection locked="0" hidden="1"/>
    </xf>
    <xf numFmtId="166" fontId="21" fillId="0" borderId="9" xfId="0" applyFont="1" applyFill="1" applyBorder="1" applyAlignment="1">
      <alignment horizontal="left"/>
      <protection locked="0" hidden="1"/>
    </xf>
    <xf numFmtId="166" fontId="21" fillId="0" borderId="9" xfId="0" applyFont="1" applyFill="1" applyBorder="1" applyAlignment="1">
      <alignment horizontal="left" vertical="top"/>
      <protection locked="0" hidden="1"/>
    </xf>
    <xf numFmtId="166" fontId="18" fillId="0" borderId="0" xfId="0" applyFont="1" applyFill="1" applyAlignment="1">
      <alignment vertical="top"/>
      <protection locked="0" hidden="1"/>
    </xf>
    <xf numFmtId="166" fontId="10" fillId="0" borderId="7" xfId="0" applyFont="1" applyFill="1" applyBorder="1" applyAlignment="1">
      <alignment horizontal="right" readingOrder="2"/>
      <protection locked="0" hidden="1"/>
    </xf>
    <xf numFmtId="166" fontId="8" fillId="0" borderId="0" xfId="0" applyFont="1" applyFill="1" applyAlignment="1">
      <alignment horizontal="center"/>
      <protection locked="0" hidden="1"/>
    </xf>
    <xf numFmtId="166" fontId="8" fillId="0" borderId="0" xfId="0" applyFont="1" applyFill="1" applyAlignment="1">
      <alignment horizontal="right"/>
      <protection locked="0" hidden="1"/>
    </xf>
    <xf numFmtId="166" fontId="10" fillId="0" borderId="0" xfId="0" applyFont="1" applyFill="1" applyAlignment="1">
      <alignment horizontal="right" readingOrder="2"/>
      <protection locked="0" hidden="1"/>
    </xf>
    <xf numFmtId="22" fontId="8" fillId="0" borderId="0" xfId="0" applyNumberFormat="1" applyFont="1" applyFill="1" applyAlignment="1">
      <alignment horizontal="center"/>
      <protection locked="0" hidden="1"/>
    </xf>
    <xf numFmtId="166" fontId="6" fillId="0" borderId="0" xfId="0" applyFont="1" applyFill="1" applyAlignment="1">
      <alignment horizontal="center"/>
      <protection locked="0" hidden="1"/>
    </xf>
    <xf numFmtId="166" fontId="6" fillId="0" borderId="0" xfId="0" applyFont="1" applyFill="1" applyAlignment="1">
      <alignment horizontal="centerContinuous" wrapText="1"/>
      <protection locked="0" hidden="1"/>
    </xf>
    <xf numFmtId="166" fontId="6" fillId="0" borderId="0" xfId="0" applyFont="1" applyFill="1" applyAlignment="1">
      <alignment wrapText="1"/>
      <protection locked="0" hidden="1"/>
    </xf>
    <xf numFmtId="166" fontId="8" fillId="0" borderId="3" xfId="0" applyFont="1" applyFill="1" applyBorder="1" applyAlignment="1">
      <alignment horizontal="left"/>
      <protection locked="0" hidden="1"/>
    </xf>
    <xf numFmtId="166" fontId="6" fillId="0" borderId="3" xfId="0" applyFont="1" applyFill="1" applyBorder="1" applyAlignment="1">
      <alignment horizontal="centerContinuous" wrapText="1"/>
      <protection locked="0" hidden="1"/>
    </xf>
    <xf numFmtId="166" fontId="10" fillId="0" borderId="0" xfId="0" applyFont="1" applyFill="1" applyAlignment="1">
      <alignment horizontal="right" wrapText="1"/>
      <protection locked="0" hidden="1"/>
    </xf>
    <xf numFmtId="166" fontId="12" fillId="0" borderId="5" xfId="0" applyFont="1" applyFill="1" applyBorder="1" applyAlignment="1">
      <alignment horizontal="left" vertical="center"/>
      <protection locked="0" hidden="1"/>
    </xf>
    <xf numFmtId="166" fontId="14" fillId="0" borderId="5" xfId="0" applyFont="1" applyFill="1" applyBorder="1" applyAlignment="1">
      <alignment horizontal="centerContinuous" vertical="center"/>
      <protection locked="0" hidden="1"/>
    </xf>
    <xf numFmtId="166" fontId="12" fillId="0" borderId="21" xfId="0" applyFont="1" applyFill="1" applyBorder="1" applyAlignment="1">
      <alignment vertical="center"/>
      <protection locked="0" hidden="1"/>
    </xf>
    <xf numFmtId="166" fontId="12" fillId="0" borderId="5" xfId="0" applyFont="1" applyFill="1" applyBorder="1" applyAlignment="1">
      <alignment horizontal="right" vertical="center"/>
      <protection locked="0" hidden="1"/>
    </xf>
    <xf numFmtId="166" fontId="14" fillId="0" borderId="22" xfId="0" applyFont="1" applyFill="1" applyBorder="1" applyAlignment="1">
      <alignment horizontal="right" vertical="center" readingOrder="2"/>
      <protection locked="0" hidden="1"/>
    </xf>
    <xf numFmtId="166" fontId="14" fillId="0" borderId="5" xfId="0" applyFont="1" applyFill="1" applyBorder="1" applyAlignment="1">
      <alignment horizontal="left" vertical="center"/>
      <protection locked="0" hidden="1"/>
    </xf>
    <xf numFmtId="166" fontId="14" fillId="0" borderId="5" xfId="0" applyFont="1" applyFill="1" applyBorder="1" applyAlignment="1">
      <alignment horizontal="right" vertical="center"/>
      <protection locked="0" hidden="1"/>
    </xf>
    <xf numFmtId="166" fontId="14" fillId="0" borderId="0" xfId="0" applyFont="1" applyFill="1" applyAlignment="1">
      <alignment horizontal="center" vertical="center" wrapText="1"/>
      <protection locked="0" hidden="1"/>
    </xf>
    <xf numFmtId="166" fontId="12" fillId="0" borderId="4" xfId="0" applyFont="1" applyFill="1" applyBorder="1" applyAlignment="1">
      <alignment horizontal="left" vertical="center"/>
      <protection locked="0" hidden="1"/>
    </xf>
    <xf numFmtId="166" fontId="12" fillId="0" borderId="0" xfId="0" applyFont="1" applyFill="1" applyAlignment="1">
      <alignment horizontal="center" vertical="center"/>
      <protection locked="0" hidden="1"/>
    </xf>
    <xf numFmtId="166" fontId="12" fillId="0" borderId="11" xfId="0" applyFont="1" applyFill="1" applyBorder="1" applyAlignment="1">
      <alignment vertical="center"/>
      <protection locked="0" hidden="1"/>
    </xf>
    <xf numFmtId="166" fontId="12" fillId="0" borderId="21" xfId="0" applyFont="1" applyFill="1" applyBorder="1" applyAlignment="1">
      <alignment horizontal="left" vertical="center"/>
      <protection locked="0" hidden="1"/>
    </xf>
    <xf numFmtId="166" fontId="12" fillId="0" borderId="12" xfId="0" applyFont="1" applyFill="1" applyBorder="1" applyAlignment="1">
      <alignment vertical="center" wrapText="1"/>
      <protection locked="0" hidden="1"/>
    </xf>
    <xf numFmtId="166" fontId="14" fillId="0" borderId="1" xfId="0" applyFont="1" applyFill="1" applyBorder="1" applyAlignment="1">
      <alignment horizontal="center" vertical="center" wrapText="1"/>
      <protection locked="0" hidden="1"/>
    </xf>
    <xf numFmtId="1" fontId="14" fillId="0" borderId="11" xfId="0" applyNumberFormat="1" applyFont="1" applyFill="1" applyBorder="1" applyAlignment="1">
      <alignment horizontal="center" vertical="center" wrapText="1" readingOrder="2"/>
      <protection locked="0" hidden="1"/>
    </xf>
    <xf numFmtId="166" fontId="14" fillId="0" borderId="11" xfId="0" applyFont="1" applyFill="1" applyBorder="1" applyAlignment="1">
      <alignment horizontal="center" vertical="center" wrapText="1"/>
      <protection locked="0" hidden="1"/>
    </xf>
    <xf numFmtId="166" fontId="12" fillId="0" borderId="10" xfId="0" applyFont="1" applyFill="1" applyBorder="1" applyAlignment="1">
      <alignment horizontal="centerContinuous" vertical="top" wrapText="1"/>
      <protection locked="0" hidden="1"/>
    </xf>
    <xf numFmtId="166" fontId="12" fillId="0" borderId="3" xfId="0" applyFont="1" applyFill="1" applyBorder="1" applyAlignment="1">
      <alignment horizontal="center" vertical="center" wrapText="1"/>
      <protection locked="0" hidden="1"/>
    </xf>
    <xf numFmtId="166" fontId="12" fillId="0" borderId="0" xfId="0" applyFont="1" applyFill="1" applyAlignment="1">
      <alignment horizontal="center" vertical="center" wrapText="1"/>
      <protection locked="0" hidden="1"/>
    </xf>
    <xf numFmtId="209" fontId="12" fillId="0" borderId="1" xfId="0" applyNumberFormat="1" applyFont="1" applyFill="1" applyBorder="1" applyAlignment="1">
      <alignment horizontal="left"/>
      <protection locked="0" hidden="1"/>
    </xf>
    <xf numFmtId="166" fontId="12" fillId="0" borderId="0" xfId="0" applyFont="1" applyFill="1" applyAlignment="1">
      <alignment horizontal="left"/>
      <protection locked="0" hidden="1"/>
    </xf>
    <xf numFmtId="166" fontId="18" fillId="0" borderId="0" xfId="0" applyFont="1" applyFill="1" applyAlignment="1">
      <alignment horizontal="center"/>
      <protection locked="0" hidden="1"/>
    </xf>
    <xf numFmtId="166" fontId="18" fillId="0" borderId="0" xfId="0" applyFont="1" applyFill="1" applyAlignment="1">
      <alignment horizontal="right"/>
      <protection locked="0" hidden="1"/>
    </xf>
    <xf numFmtId="211" fontId="6" fillId="0" borderId="0" xfId="0" applyNumberFormat="1" applyFont="1" applyFill="1" applyAlignment="1">
      <protection locked="0" hidden="1"/>
    </xf>
    <xf numFmtId="0" fontId="8" fillId="0" borderId="0" xfId="22" applyFont="1" applyAlignment="1">
      <alignment horizontal="centerContinuous"/>
    </xf>
    <xf numFmtId="0" fontId="8" fillId="0" borderId="0" xfId="22" applyFont="1"/>
    <xf numFmtId="0" fontId="7" fillId="0" borderId="0" xfId="22" applyFont="1" applyAlignment="1">
      <alignment horizontal="centerContinuous" vertical="top"/>
    </xf>
    <xf numFmtId="0" fontId="8" fillId="0" borderId="0" xfId="22" applyFont="1" applyAlignment="1">
      <alignment horizontal="centerContinuous" vertical="top"/>
    </xf>
    <xf numFmtId="0" fontId="8" fillId="0" borderId="0" xfId="22" applyFont="1" applyAlignment="1">
      <alignment vertical="top"/>
    </xf>
    <xf numFmtId="0" fontId="14" fillId="0" borderId="2" xfId="22" applyFont="1" applyBorder="1" applyAlignment="1">
      <alignment horizontal="center" vertical="center"/>
    </xf>
    <xf numFmtId="0" fontId="14" fillId="0" borderId="12" xfId="22" applyFont="1" applyBorder="1" applyAlignment="1">
      <alignment horizontal="center"/>
    </xf>
    <xf numFmtId="0" fontId="14" fillId="0" borderId="6" xfId="22" applyFont="1" applyBorder="1" applyAlignment="1">
      <alignment horizontal="center"/>
    </xf>
    <xf numFmtId="0" fontId="14" fillId="0" borderId="1" xfId="22" applyFont="1" applyBorder="1" applyAlignment="1">
      <alignment horizontal="center" vertical="center"/>
    </xf>
    <xf numFmtId="0" fontId="14" fillId="0" borderId="11" xfId="22" applyFont="1" applyBorder="1" applyAlignment="1">
      <alignment horizontal="center" vertical="center"/>
    </xf>
    <xf numFmtId="0" fontId="14" fillId="0" borderId="9" xfId="22" applyFont="1" applyBorder="1" applyAlignment="1">
      <alignment horizontal="center" vertical="center"/>
    </xf>
    <xf numFmtId="0" fontId="12" fillId="0" borderId="1" xfId="22" applyFont="1" applyBorder="1" applyAlignment="1">
      <alignment horizontal="center" vertical="top"/>
    </xf>
    <xf numFmtId="0" fontId="12" fillId="0" borderId="11" xfId="22" applyFont="1" applyBorder="1" applyAlignment="1">
      <alignment horizontal="center" vertical="top"/>
    </xf>
    <xf numFmtId="0" fontId="12" fillId="0" borderId="9" xfId="22" applyFont="1" applyBorder="1" applyAlignment="1">
      <alignment horizontal="center" vertical="top"/>
    </xf>
    <xf numFmtId="0" fontId="12" fillId="0" borderId="4" xfId="22" applyFont="1" applyBorder="1" applyAlignment="1">
      <alignment horizontal="center" vertical="center"/>
    </xf>
    <xf numFmtId="0" fontId="12" fillId="0" borderId="8" xfId="22" applyFont="1" applyBorder="1" applyAlignment="1">
      <alignment horizontal="center"/>
    </xf>
    <xf numFmtId="0" fontId="12" fillId="0" borderId="10" xfId="22" applyFont="1" applyBorder="1" applyAlignment="1">
      <alignment horizontal="center"/>
    </xf>
    <xf numFmtId="0" fontId="8" fillId="0" borderId="0" xfId="22" applyFont="1" applyAlignment="1">
      <alignment vertical="center"/>
    </xf>
    <xf numFmtId="0" fontId="8" fillId="0" borderId="7" xfId="22" applyFont="1" applyBorder="1"/>
    <xf numFmtId="0" fontId="8" fillId="0" borderId="0" xfId="20" applyFont="1" applyAlignment="1">
      <alignment horizontal="left"/>
    </xf>
    <xf numFmtId="0" fontId="34" fillId="0" borderId="0" xfId="22" applyFont="1" applyAlignment="1">
      <alignment horizontal="centerContinuous" vertical="top"/>
    </xf>
    <xf numFmtId="0" fontId="19" fillId="0" borderId="2" xfId="22" applyFont="1" applyBorder="1" applyAlignment="1">
      <alignment horizontal="center" vertical="center"/>
    </xf>
    <xf numFmtId="0" fontId="19" fillId="0" borderId="6" xfId="22" applyFont="1" applyBorder="1" applyAlignment="1">
      <alignment horizontal="center" vertical="center"/>
    </xf>
    <xf numFmtId="0" fontId="19" fillId="0" borderId="12" xfId="22" applyFont="1" applyBorder="1" applyAlignment="1">
      <alignment horizontal="center"/>
    </xf>
    <xf numFmtId="0" fontId="18" fillId="0" borderId="0" xfId="22" applyFont="1"/>
    <xf numFmtId="0" fontId="19" fillId="0" borderId="11" xfId="22" applyFont="1" applyBorder="1" applyAlignment="1">
      <alignment horizontal="center" vertical="center"/>
    </xf>
    <xf numFmtId="0" fontId="19" fillId="0" borderId="11" xfId="22" applyFont="1" applyBorder="1" applyAlignment="1">
      <alignment horizontal="center" vertical="center" readingOrder="2"/>
    </xf>
    <xf numFmtId="0" fontId="21" fillId="0" borderId="1" xfId="22" applyFont="1" applyBorder="1" applyAlignment="1">
      <alignment horizontal="centerContinuous" vertical="top"/>
    </xf>
    <xf numFmtId="0" fontId="21" fillId="0" borderId="9" xfId="22" applyFont="1" applyBorder="1" applyAlignment="1">
      <alignment horizontal="centerContinuous" vertical="top"/>
    </xf>
    <xf numFmtId="0" fontId="21" fillId="0" borderId="11" xfId="22" applyFont="1" applyBorder="1" applyAlignment="1">
      <alignment horizontal="center" vertical="top"/>
    </xf>
    <xf numFmtId="0" fontId="21" fillId="0" borderId="9" xfId="22" applyFont="1" applyBorder="1" applyAlignment="1">
      <alignment horizontal="center" vertical="top"/>
    </xf>
    <xf numFmtId="0" fontId="21" fillId="0" borderId="1" xfId="22" applyFont="1" applyBorder="1" applyAlignment="1">
      <alignment horizontal="center" vertical="top"/>
    </xf>
    <xf numFmtId="0" fontId="21" fillId="0" borderId="4" xfId="22" applyFont="1" applyBorder="1" applyAlignment="1">
      <alignment horizontal="center" vertical="center"/>
    </xf>
    <xf numFmtId="0" fontId="21" fillId="0" borderId="10" xfId="22" applyFont="1" applyBorder="1" applyAlignment="1">
      <alignment horizontal="center" vertical="center"/>
    </xf>
    <xf numFmtId="0" fontId="21" fillId="0" borderId="8" xfId="22" applyFont="1" applyBorder="1" applyAlignment="1">
      <alignment horizontal="center"/>
    </xf>
    <xf numFmtId="0" fontId="21" fillId="0" borderId="8" xfId="22" applyFont="1" applyBorder="1" applyAlignment="1">
      <alignment horizontal="center" readingOrder="1"/>
    </xf>
    <xf numFmtId="0" fontId="18" fillId="0" borderId="8" xfId="22" applyFont="1" applyBorder="1" applyAlignment="1">
      <alignment horizontal="center"/>
    </xf>
    <xf numFmtId="0" fontId="21" fillId="0" borderId="4" xfId="22" applyFont="1" applyBorder="1" applyAlignment="1">
      <alignment horizontal="center" readingOrder="1"/>
    </xf>
    <xf numFmtId="0" fontId="18" fillId="0" borderId="0" xfId="22" applyFont="1" applyAlignment="1">
      <alignment vertical="center"/>
    </xf>
    <xf numFmtId="0" fontId="18" fillId="0" borderId="9" xfId="22" applyFont="1" applyBorder="1" applyAlignment="1">
      <alignment horizontal="center"/>
    </xf>
    <xf numFmtId="166" fontId="18" fillId="0" borderId="12" xfId="0" applyFont="1" applyFill="1" applyBorder="1" applyAlignment="1">
      <alignment horizontal="right" indent="3"/>
      <protection locked="0" hidden="1"/>
    </xf>
    <xf numFmtId="3" fontId="18" fillId="0" borderId="12" xfId="0" applyNumberFormat="1" applyFont="1" applyFill="1" applyBorder="1" applyAlignment="1">
      <alignment horizontal="right" indent="2"/>
      <protection locked="0" hidden="1"/>
    </xf>
    <xf numFmtId="3" fontId="18" fillId="0" borderId="12" xfId="0" applyNumberFormat="1" applyFont="1" applyFill="1" applyBorder="1" applyAlignment="1">
      <alignment horizontal="right" indent="3"/>
      <protection locked="0" hidden="1"/>
    </xf>
    <xf numFmtId="3" fontId="18" fillId="0" borderId="11" xfId="0" applyNumberFormat="1" applyFont="1" applyFill="1" applyBorder="1" applyAlignment="1">
      <alignment horizontal="right" indent="2"/>
      <protection locked="0" hidden="1"/>
    </xf>
    <xf numFmtId="4" fontId="18" fillId="0" borderId="11" xfId="0" applyNumberFormat="1" applyFont="1" applyFill="1" applyBorder="1" applyAlignment="1">
      <alignment horizontal="right" indent="2"/>
      <protection locked="0" hidden="1"/>
    </xf>
    <xf numFmtId="4" fontId="18" fillId="0" borderId="11" xfId="0" applyNumberFormat="1" applyFont="1" applyFill="1" applyBorder="1" applyAlignment="1">
      <alignment horizontal="center"/>
      <protection locked="0" hidden="1"/>
    </xf>
    <xf numFmtId="4" fontId="18" fillId="0" borderId="12" xfId="0" applyNumberFormat="1" applyFont="1" applyFill="1" applyBorder="1" applyAlignment="1">
      <alignment horizontal="right" indent="2"/>
      <protection locked="0" hidden="1"/>
    </xf>
    <xf numFmtId="2" fontId="18" fillId="0" borderId="12" xfId="0" applyNumberFormat="1" applyFont="1" applyFill="1" applyBorder="1" applyAlignment="1">
      <alignment horizontal="right" indent="3"/>
      <protection locked="0" hidden="1"/>
    </xf>
    <xf numFmtId="166" fontId="18" fillId="0" borderId="11" xfId="0" applyFont="1" applyFill="1" applyBorder="1" applyAlignment="1">
      <alignment horizontal="right" indent="3"/>
      <protection locked="0" hidden="1"/>
    </xf>
    <xf numFmtId="3" fontId="18" fillId="0" borderId="11" xfId="0" applyNumberFormat="1" applyFont="1" applyFill="1" applyBorder="1" applyAlignment="1">
      <alignment horizontal="right" indent="3"/>
      <protection locked="0" hidden="1"/>
    </xf>
    <xf numFmtId="2" fontId="18" fillId="0" borderId="11" xfId="0" applyNumberFormat="1" applyFont="1" applyFill="1" applyBorder="1" applyAlignment="1">
      <alignment horizontal="right" indent="3"/>
      <protection locked="0" hidden="1"/>
    </xf>
    <xf numFmtId="0" fontId="18" fillId="0" borderId="0" xfId="22" applyFont="1" applyAlignment="1">
      <alignment horizontal="center"/>
    </xf>
    <xf numFmtId="4" fontId="18" fillId="0" borderId="12" xfId="0" applyNumberFormat="1" applyFont="1" applyFill="1" applyBorder="1" applyAlignment="1">
      <alignment horizontal="center"/>
      <protection locked="0" hidden="1"/>
    </xf>
    <xf numFmtId="166" fontId="21" fillId="0" borderId="0" xfId="0" applyFont="1" applyFill="1" applyAlignment="1">
      <alignment horizontal="left"/>
      <protection locked="0" hidden="1"/>
    </xf>
    <xf numFmtId="2" fontId="18" fillId="0" borderId="7" xfId="22" applyNumberFormat="1" applyFont="1" applyBorder="1" applyAlignment="1">
      <alignment horizontal="right" readingOrder="2"/>
    </xf>
    <xf numFmtId="2" fontId="18" fillId="0" borderId="0" xfId="22" applyNumberFormat="1" applyFont="1" applyAlignment="1">
      <alignment horizontal="right" readingOrder="2"/>
    </xf>
    <xf numFmtId="0" fontId="20" fillId="0" borderId="0" xfId="20" applyFont="1" applyAlignment="1">
      <alignment horizontal="right" readingOrder="2"/>
    </xf>
    <xf numFmtId="0" fontId="18" fillId="0" borderId="0" xfId="22" applyFont="1" applyAlignment="1">
      <alignment horizontal="centerContinuous"/>
    </xf>
    <xf numFmtId="0" fontId="8" fillId="0" borderId="0" xfId="22" applyFont="1" applyAlignment="1">
      <alignment horizontal="left" vertical="top"/>
    </xf>
    <xf numFmtId="0" fontId="8" fillId="0" borderId="0" xfId="22" applyFont="1" applyAlignment="1">
      <alignment horizontal="right" vertical="top"/>
    </xf>
    <xf numFmtId="0" fontId="18" fillId="0" borderId="2" xfId="22" applyFont="1" applyBorder="1" applyAlignment="1">
      <alignment horizontal="left" vertical="top"/>
    </xf>
    <xf numFmtId="0" fontId="21" fillId="0" borderId="7" xfId="22" applyFont="1" applyBorder="1" applyAlignment="1">
      <alignment horizontal="centerContinuous" vertical="top"/>
    </xf>
    <xf numFmtId="0" fontId="18" fillId="0" borderId="12" xfId="22" applyFont="1" applyBorder="1" applyAlignment="1">
      <alignment horizontal="centerContinuous" vertical="top"/>
    </xf>
    <xf numFmtId="0" fontId="18" fillId="0" borderId="12" xfId="22" applyFont="1" applyBorder="1" applyAlignment="1">
      <alignment horizontal="right" vertical="top"/>
    </xf>
    <xf numFmtId="0" fontId="18" fillId="0" borderId="0" xfId="22" applyFont="1" applyAlignment="1">
      <alignment vertical="top"/>
    </xf>
    <xf numFmtId="0" fontId="19" fillId="0" borderId="1" xfId="22" applyFont="1" applyBorder="1" applyAlignment="1">
      <alignment horizontal="centerContinuous" vertical="top"/>
    </xf>
    <xf numFmtId="0" fontId="19" fillId="0" borderId="9" xfId="22" applyFont="1" applyBorder="1" applyAlignment="1">
      <alignment horizontal="centerContinuous" vertical="top"/>
    </xf>
    <xf numFmtId="0" fontId="19" fillId="0" borderId="9" xfId="22" applyFont="1" applyBorder="1" applyAlignment="1">
      <alignment horizontal="center"/>
    </xf>
    <xf numFmtId="0" fontId="20" fillId="0" borderId="4" xfId="22" applyFont="1" applyBorder="1"/>
    <xf numFmtId="0" fontId="20" fillId="0" borderId="3" xfId="22" applyFont="1" applyBorder="1"/>
    <xf numFmtId="0" fontId="21" fillId="0" borderId="8" xfId="22" applyFont="1" applyBorder="1" applyAlignment="1">
      <alignment horizontal="center" vertical="top"/>
    </xf>
    <xf numFmtId="0" fontId="21" fillId="0" borderId="10" xfId="22" applyFont="1" applyBorder="1" applyAlignment="1">
      <alignment horizontal="center" vertical="top"/>
    </xf>
    <xf numFmtId="166" fontId="9" fillId="0" borderId="2" xfId="0" applyFont="1" applyFill="1" applyBorder="1" applyAlignment="1">
      <alignment horizontal="left"/>
      <protection locked="0" hidden="1"/>
    </xf>
    <xf numFmtId="0" fontId="9" fillId="0" borderId="9" xfId="22" applyFont="1" applyBorder="1" applyAlignment="1">
      <alignment horizontal="center"/>
    </xf>
    <xf numFmtId="3" fontId="8" fillId="0" borderId="12" xfId="0" applyNumberFormat="1" applyFont="1" applyFill="1" applyBorder="1" applyAlignment="1">
      <alignment horizontal="right" indent="2" readingOrder="1"/>
      <protection locked="0" hidden="1"/>
    </xf>
    <xf numFmtId="3" fontId="8" fillId="0" borderId="12" xfId="22" applyNumberFormat="1" applyFont="1" applyBorder="1" applyAlignment="1">
      <alignment horizontal="right" indent="2" readingOrder="1"/>
    </xf>
    <xf numFmtId="3" fontId="8" fillId="0" borderId="11" xfId="22" applyNumberFormat="1" applyFont="1" applyBorder="1" applyAlignment="1">
      <alignment horizontal="right" indent="2" readingOrder="1"/>
    </xf>
    <xf numFmtId="166" fontId="9" fillId="0" borderId="1" xfId="0" applyFont="1" applyFill="1" applyBorder="1" applyAlignment="1">
      <alignment horizontal="left"/>
      <protection locked="0" hidden="1"/>
    </xf>
    <xf numFmtId="0" fontId="9" fillId="0" borderId="0" xfId="22" applyFont="1" applyAlignment="1">
      <alignment horizontal="center"/>
    </xf>
    <xf numFmtId="166" fontId="9" fillId="0" borderId="0" xfId="0" applyFont="1" applyFill="1" applyAlignment="1">
      <alignment horizontal="left"/>
      <protection locked="0" hidden="1"/>
    </xf>
    <xf numFmtId="0" fontId="36" fillId="0" borderId="7" xfId="20" applyFont="1" applyBorder="1" applyAlignment="1">
      <alignment horizontal="left"/>
    </xf>
    <xf numFmtId="0" fontId="10" fillId="0" borderId="7" xfId="20" applyFont="1" applyBorder="1" applyAlignment="1">
      <alignment horizontal="right" readingOrder="2"/>
    </xf>
    <xf numFmtId="0" fontId="36" fillId="0" borderId="0" xfId="20" applyFont="1" applyAlignment="1">
      <alignment horizontal="left"/>
    </xf>
    <xf numFmtId="0" fontId="10" fillId="0" borderId="0" xfId="20" applyFont="1" applyAlignment="1">
      <alignment horizontal="right" readingOrder="2"/>
    </xf>
    <xf numFmtId="0" fontId="9" fillId="0" borderId="0" xfId="22" applyFont="1"/>
    <xf numFmtId="0" fontId="18" fillId="0" borderId="0" xfId="22" applyFont="1" applyAlignment="1">
      <alignment horizontal="right" vertical="top"/>
    </xf>
    <xf numFmtId="0" fontId="21" fillId="0" borderId="4" xfId="22" applyFont="1" applyBorder="1" applyAlignment="1">
      <alignment horizontal="centerContinuous" vertical="top"/>
    </xf>
    <xf numFmtId="0" fontId="19" fillId="0" borderId="10" xfId="22" applyFont="1" applyBorder="1" applyAlignment="1">
      <alignment horizontal="centerContinuous" vertical="top"/>
    </xf>
    <xf numFmtId="0" fontId="6" fillId="0" borderId="0" xfId="22" applyFont="1"/>
    <xf numFmtId="0" fontId="12" fillId="0" borderId="1" xfId="22" applyFont="1" applyBorder="1" applyAlignment="1">
      <alignment horizontal="centerContinuous"/>
    </xf>
    <xf numFmtId="0" fontId="12" fillId="0" borderId="0" xfId="22" applyFont="1" applyAlignment="1">
      <alignment horizontal="centerContinuous"/>
    </xf>
    <xf numFmtId="0" fontId="12" fillId="0" borderId="4" xfId="22" applyFont="1" applyBorder="1" applyAlignment="1">
      <alignment horizontal="centerContinuous" vertical="center" readingOrder="1"/>
    </xf>
    <xf numFmtId="0" fontId="14" fillId="0" borderId="3" xfId="22" applyFont="1" applyBorder="1" applyAlignment="1">
      <alignment horizontal="centerContinuous" vertical="center" readingOrder="1"/>
    </xf>
    <xf numFmtId="0" fontId="14" fillId="0" borderId="10" xfId="22" applyFont="1" applyBorder="1" applyAlignment="1">
      <alignment horizontal="centerContinuous" vertical="center" readingOrder="1"/>
    </xf>
    <xf numFmtId="0" fontId="6" fillId="0" borderId="1" xfId="22" applyFont="1" applyBorder="1"/>
    <xf numFmtId="0" fontId="6" fillId="0" borderId="0" xfId="22" applyFont="1" applyAlignment="1">
      <alignment horizontal="centerContinuous"/>
    </xf>
    <xf numFmtId="0" fontId="12" fillId="0" borderId="10" xfId="22" applyFont="1" applyBorder="1" applyAlignment="1">
      <alignment horizontal="centerContinuous" vertical="top"/>
    </xf>
    <xf numFmtId="0" fontId="18" fillId="0" borderId="0" xfId="20" applyFont="1" applyAlignment="1">
      <alignment horizontal="left"/>
    </xf>
    <xf numFmtId="0" fontId="9" fillId="0" borderId="0" xfId="0" applyNumberFormat="1" applyFont="1" applyFill="1" applyAlignment="1">
      <alignment horizontal="center" readingOrder="2"/>
      <protection locked="0" hidden="1"/>
    </xf>
    <xf numFmtId="166" fontId="9" fillId="0" borderId="11" xfId="0" applyFont="1" applyFill="1" applyBorder="1" applyAlignment="1">
      <alignment horizontal="center" vertical="center" wrapText="1"/>
      <protection locked="0" hidden="1"/>
    </xf>
    <xf numFmtId="166" fontId="8" fillId="0" borderId="0" xfId="0" applyFont="1" applyFill="1" applyAlignment="1">
      <alignment horizontal="center" vertical="center" wrapText="1"/>
      <protection locked="0" hidden="1"/>
    </xf>
    <xf numFmtId="2" fontId="18" fillId="0" borderId="0" xfId="22" applyNumberFormat="1" applyFont="1" applyAlignment="1">
      <alignment horizontal="right" indent="3"/>
    </xf>
    <xf numFmtId="197" fontId="22" fillId="0" borderId="9" xfId="0" applyNumberFormat="1" applyFont="1" applyFill="1" applyBorder="1" applyAlignment="1">
      <protection locked="0" hidden="1"/>
    </xf>
    <xf numFmtId="166" fontId="31" fillId="0" borderId="2" xfId="0" applyFont="1" applyFill="1" applyBorder="1" applyAlignment="1">
      <alignment horizontal="left"/>
      <protection locked="0" hidden="1"/>
    </xf>
    <xf numFmtId="166" fontId="31" fillId="0" borderId="7" xfId="0" applyFont="1" applyFill="1" applyBorder="1" applyAlignment="1">
      <alignment horizontal="left"/>
      <protection locked="0" hidden="1"/>
    </xf>
    <xf numFmtId="196" fontId="22" fillId="0" borderId="12" xfId="0" applyNumberFormat="1" applyFont="1" applyFill="1" applyBorder="1" applyAlignment="1">
      <alignment horizontal="right"/>
      <protection locked="0" hidden="1"/>
    </xf>
    <xf numFmtId="197" fontId="22" fillId="0" borderId="6" xfId="0" applyNumberFormat="1" applyFont="1" applyFill="1" applyBorder="1" applyAlignment="1">
      <protection locked="0" hidden="1"/>
    </xf>
    <xf numFmtId="166" fontId="21" fillId="0" borderId="0" xfId="0" applyFont="1" applyFill="1" applyAlignment="1">
      <alignment horizontal="left" vertical="top"/>
      <protection locked="0" hidden="1"/>
    </xf>
    <xf numFmtId="196" fontId="18" fillId="0" borderId="11" xfId="0" applyNumberFormat="1" applyFont="1" applyFill="1" applyBorder="1" applyAlignment="1">
      <alignment horizontal="right"/>
      <protection locked="0" hidden="1"/>
    </xf>
    <xf numFmtId="197" fontId="18" fillId="0" borderId="9" xfId="0" applyNumberFormat="1" applyFont="1" applyFill="1" applyBorder="1" applyAlignment="1">
      <protection locked="0" hidden="1"/>
    </xf>
    <xf numFmtId="166" fontId="29" fillId="0" borderId="8" xfId="0" applyFont="1" applyFill="1" applyBorder="1" applyAlignment="1">
      <alignment horizontal="center" vertical="center"/>
      <protection locked="0" hidden="1"/>
    </xf>
    <xf numFmtId="2" fontId="18" fillId="0" borderId="11" xfId="22" applyNumberFormat="1" applyFont="1" applyBorder="1" applyAlignment="1">
      <alignment horizontal="right" indent="3"/>
    </xf>
    <xf numFmtId="2" fontId="8" fillId="0" borderId="7" xfId="22" applyNumberFormat="1" applyFont="1" applyBorder="1" applyAlignment="1">
      <alignment horizontal="right" readingOrder="2"/>
    </xf>
    <xf numFmtId="166" fontId="29" fillId="0" borderId="11" xfId="0" applyFont="1" applyFill="1" applyBorder="1" applyAlignment="1">
      <alignment horizontal="right" indent="1"/>
      <protection locked="0" hidden="1"/>
    </xf>
    <xf numFmtId="166" fontId="31" fillId="0" borderId="11" xfId="0" applyFont="1" applyFill="1" applyBorder="1" applyAlignment="1">
      <alignment horizontal="left" wrapText="1" indent="1"/>
      <protection locked="0" hidden="1"/>
    </xf>
    <xf numFmtId="170" fontId="31" fillId="0" borderId="9" xfId="0" applyNumberFormat="1" applyFont="1" applyFill="1" applyBorder="1" applyAlignment="1">
      <alignment horizontal="right"/>
      <protection locked="0" hidden="1"/>
    </xf>
    <xf numFmtId="166" fontId="22" fillId="0" borderId="11" xfId="0" applyFont="1" applyFill="1" applyBorder="1" applyAlignment="1">
      <alignment horizontal="left" wrapText="1" indent="2"/>
      <protection locked="0" hidden="1"/>
    </xf>
    <xf numFmtId="170" fontId="22" fillId="0" borderId="11" xfId="0" applyNumberFormat="1" applyFont="1" applyFill="1" applyBorder="1" applyAlignment="1">
      <alignment horizontal="right"/>
      <protection locked="0" hidden="1"/>
    </xf>
    <xf numFmtId="166" fontId="16" fillId="0" borderId="11" xfId="0" applyFont="1" applyFill="1" applyBorder="1" applyAlignment="1">
      <alignment horizontal="right" indent="2"/>
      <protection locked="0" hidden="1"/>
    </xf>
    <xf numFmtId="166" fontId="22" fillId="0" borderId="1" xfId="0" applyFont="1" applyFill="1" applyBorder="1" applyAlignment="1">
      <alignment horizontal="left" wrapText="1" indent="2"/>
      <protection locked="0" hidden="1"/>
    </xf>
    <xf numFmtId="166" fontId="31" fillId="0" borderId="1" xfId="0" applyFont="1" applyFill="1" applyBorder="1" applyAlignment="1">
      <alignment horizontal="left" wrapText="1" indent="1"/>
      <protection locked="0" hidden="1"/>
    </xf>
    <xf numFmtId="170" fontId="31" fillId="0" borderId="11" xfId="0" applyNumberFormat="1" applyFont="1" applyFill="1" applyBorder="1" applyAlignment="1">
      <alignment horizontal="right"/>
      <protection locked="0" hidden="1"/>
    </xf>
    <xf numFmtId="170" fontId="22" fillId="0" borderId="8" xfId="0" applyNumberFormat="1" applyFont="1" applyFill="1" applyBorder="1" applyAlignment="1">
      <alignment horizontal="right"/>
      <protection locked="0" hidden="1"/>
    </xf>
    <xf numFmtId="166" fontId="37" fillId="0" borderId="0" xfId="0" applyFont="1" applyFill="1" applyAlignment="1">
      <protection locked="0" hidden="1"/>
    </xf>
    <xf numFmtId="166" fontId="22" fillId="0" borderId="7" xfId="0" applyFont="1" applyFill="1" applyBorder="1" applyAlignment="1">
      <alignment horizontal="right" readingOrder="2"/>
      <protection locked="0" hidden="1"/>
    </xf>
    <xf numFmtId="166" fontId="33" fillId="0" borderId="0" xfId="0" applyFont="1" applyFill="1" applyAlignment="1">
      <protection locked="0" hidden="1"/>
    </xf>
    <xf numFmtId="166" fontId="14" fillId="0" borderId="11" xfId="0" applyFont="1" applyFill="1" applyBorder="1" applyAlignment="1">
      <alignment horizontal="center" vertical="center" wrapText="1" readingOrder="2"/>
      <protection locked="0" hidden="1"/>
    </xf>
    <xf numFmtId="166" fontId="12" fillId="0" borderId="8" xfId="0" applyFont="1" applyFill="1" applyBorder="1" applyAlignment="1">
      <alignment horizontal="center" vertical="center" wrapText="1" readingOrder="1"/>
      <protection locked="0" hidden="1"/>
    </xf>
    <xf numFmtId="0" fontId="12" fillId="0" borderId="3" xfId="0" applyNumberFormat="1" applyFont="1" applyFill="1" applyBorder="1" applyAlignment="1" applyProtection="1">
      <alignment horizontal="left" vertical="center" indent="2"/>
    </xf>
    <xf numFmtId="0" fontId="19" fillId="0" borderId="10" xfId="0" applyNumberFormat="1" applyFont="1" applyFill="1" applyBorder="1" applyAlignment="1" applyProtection="1">
      <alignment horizontal="right" indent="2" readingOrder="2"/>
    </xf>
    <xf numFmtId="0" fontId="25" fillId="0" borderId="0" xfId="0" applyNumberFormat="1" applyFont="1" applyFill="1" applyAlignment="1" applyProtection="1">
      <alignment horizontal="left"/>
    </xf>
    <xf numFmtId="22" fontId="25" fillId="0" borderId="0" xfId="0" applyNumberFormat="1" applyFont="1" applyFill="1" applyAlignment="1" applyProtection="1">
      <alignment horizontal="left"/>
    </xf>
    <xf numFmtId="164" fontId="16" fillId="0" borderId="0" xfId="0" applyNumberFormat="1" applyFont="1" applyFill="1" applyAlignment="1" applyProtection="1">
      <alignment horizontal="centerContinuous"/>
    </xf>
    <xf numFmtId="164" fontId="16" fillId="0" borderId="0" xfId="0" applyNumberFormat="1" applyFont="1" applyFill="1" applyAlignment="1" applyProtection="1"/>
    <xf numFmtId="164" fontId="15" fillId="0" borderId="0" xfId="0" applyNumberFormat="1" applyFont="1" applyFill="1" applyAlignment="1" applyProtection="1">
      <alignment horizontal="right"/>
    </xf>
    <xf numFmtId="164" fontId="28" fillId="0" borderId="0" xfId="0" applyNumberFormat="1" applyFont="1" applyFill="1" applyAlignment="1" applyProtection="1"/>
    <xf numFmtId="164" fontId="8" fillId="0" borderId="0" xfId="0" applyNumberFormat="1" applyFont="1" applyFill="1" applyAlignment="1" applyProtection="1"/>
    <xf numFmtId="164" fontId="6" fillId="0" borderId="0" xfId="0" applyNumberFormat="1" applyFont="1" applyFill="1" applyAlignment="1" applyProtection="1"/>
    <xf numFmtId="164" fontId="5" fillId="0" borderId="0" xfId="0" applyNumberFormat="1" applyFont="1" applyFill="1" applyAlignment="1" applyProtection="1"/>
    <xf numFmtId="0" fontId="17" fillId="0" borderId="2" xfId="0" applyNumberFormat="1" applyFont="1" applyFill="1" applyBorder="1" applyAlignment="1" applyProtection="1"/>
    <xf numFmtId="0" fontId="8" fillId="0" borderId="2" xfId="0" applyNumberFormat="1" applyFont="1" applyFill="1" applyBorder="1" applyAlignment="1" applyProtection="1">
      <alignment wrapText="1"/>
    </xf>
    <xf numFmtId="165" fontId="5" fillId="0" borderId="11" xfId="0" applyNumberFormat="1" applyFont="1" applyFill="1" applyBorder="1" applyAlignment="1">
      <alignment horizontal="right" indent="2"/>
      <protection locked="0" hidden="1"/>
    </xf>
    <xf numFmtId="166" fontId="14" fillId="0" borderId="5" xfId="0" applyFont="1" applyFill="1" applyBorder="1" applyAlignment="1">
      <alignment horizontal="right" vertical="center" readingOrder="2"/>
      <protection locked="0" hidden="1"/>
    </xf>
    <xf numFmtId="166" fontId="14" fillId="0" borderId="12" xfId="0" applyFont="1" applyFill="1" applyBorder="1" applyAlignment="1">
      <alignment horizontal="center" vertical="center" wrapText="1"/>
      <protection locked="0" hidden="1"/>
    </xf>
    <xf numFmtId="166" fontId="14" fillId="0" borderId="12" xfId="0" applyFont="1" applyFill="1" applyBorder="1" applyAlignment="1">
      <alignment horizontal="right" vertical="center" readingOrder="2"/>
      <protection locked="0" hidden="1"/>
    </xf>
    <xf numFmtId="166" fontId="15" fillId="0" borderId="0" xfId="0" applyFont="1" applyFill="1" applyAlignment="1">
      <protection locked="0" hidden="1"/>
    </xf>
    <xf numFmtId="166" fontId="29" fillId="0" borderId="2" xfId="0" applyFont="1" applyFill="1" applyBorder="1" applyAlignment="1">
      <protection locked="0" hidden="1"/>
    </xf>
    <xf numFmtId="166" fontId="29" fillId="0" borderId="6" xfId="0" applyFont="1" applyFill="1" applyBorder="1" applyAlignment="1">
      <alignment horizontal="centerContinuous"/>
      <protection locked="0" hidden="1"/>
    </xf>
    <xf numFmtId="166" fontId="29" fillId="0" borderId="21" xfId="0" applyFont="1" applyFill="1" applyBorder="1" applyAlignment="1">
      <alignment horizontal="left" vertical="center" indent="1"/>
      <protection locked="0" hidden="1"/>
    </xf>
    <xf numFmtId="166" fontId="29" fillId="0" borderId="21" xfId="0" applyFont="1" applyFill="1" applyBorder="1" applyAlignment="1">
      <alignment horizontal="left" vertical="center" indent="2"/>
      <protection locked="0" hidden="1"/>
    </xf>
    <xf numFmtId="166" fontId="29" fillId="0" borderId="5" xfId="0" applyFont="1" applyFill="1" applyBorder="1" applyAlignment="1">
      <alignment horizontal="left" vertical="center" indent="2"/>
      <protection locked="0" hidden="1"/>
    </xf>
    <xf numFmtId="166" fontId="29" fillId="0" borderId="22" xfId="0" applyFont="1" applyFill="1" applyBorder="1" applyAlignment="1">
      <alignment horizontal="right" vertical="center" indent="1"/>
      <protection locked="0" hidden="1"/>
    </xf>
    <xf numFmtId="166" fontId="29" fillId="0" borderId="12" xfId="0" applyFont="1" applyFill="1" applyBorder="1" applyAlignment="1">
      <alignment horizontal="right" vertical="center" indent="2"/>
      <protection locked="0" hidden="1"/>
    </xf>
    <xf numFmtId="166" fontId="29" fillId="0" borderId="0" xfId="0" applyFont="1" applyFill="1" applyAlignment="1">
      <protection locked="0" hidden="1"/>
    </xf>
    <xf numFmtId="166" fontId="29" fillId="0" borderId="1" xfId="0" applyFont="1" applyFill="1" applyBorder="1" applyAlignment="1">
      <protection locked="0" hidden="1"/>
    </xf>
    <xf numFmtId="0" fontId="29" fillId="0" borderId="2" xfId="0" applyNumberFormat="1" applyFont="1" applyFill="1" applyBorder="1" applyAlignment="1">
      <alignment horizontal="centerContinuous" vertical="center"/>
      <protection locked="0" hidden="1"/>
    </xf>
    <xf numFmtId="166" fontId="29" fillId="0" borderId="7" xfId="0" applyFont="1" applyFill="1" applyBorder="1" applyAlignment="1">
      <alignment horizontal="centerContinuous" vertical="center"/>
      <protection locked="0" hidden="1"/>
    </xf>
    <xf numFmtId="166" fontId="29" fillId="0" borderId="6" xfId="0" applyFont="1" applyFill="1" applyBorder="1" applyAlignment="1">
      <alignment horizontal="centerContinuous" vertical="center"/>
      <protection locked="0" hidden="1"/>
    </xf>
    <xf numFmtId="166" fontId="29" fillId="0" borderId="12" xfId="0" applyFont="1" applyFill="1" applyBorder="1" applyAlignment="1">
      <alignment horizontal="centerContinuous" vertical="center" readingOrder="2"/>
      <protection locked="0" hidden="1"/>
    </xf>
    <xf numFmtId="166" fontId="29" fillId="0" borderId="2" xfId="0" applyFont="1" applyFill="1" applyBorder="1" applyAlignment="1">
      <alignment horizontal="centerContinuous" vertical="center" readingOrder="2"/>
      <protection locked="0" hidden="1"/>
    </xf>
    <xf numFmtId="166" fontId="29" fillId="0" borderId="8" xfId="0" applyFont="1" applyFill="1" applyBorder="1" applyAlignment="1">
      <alignment horizontal="centerContinuous" vertical="center"/>
      <protection locked="0" hidden="1"/>
    </xf>
    <xf numFmtId="166" fontId="29" fillId="0" borderId="3" xfId="0" applyFont="1" applyFill="1" applyBorder="1" applyAlignment="1">
      <alignment horizontal="centerContinuous" vertical="center"/>
      <protection locked="0" hidden="1"/>
    </xf>
    <xf numFmtId="0" fontId="29" fillId="0" borderId="3" xfId="0" applyNumberFormat="1" applyFont="1" applyFill="1" applyBorder="1" applyAlignment="1">
      <alignment horizontal="centerContinuous" vertical="center"/>
      <protection locked="0" hidden="1"/>
    </xf>
    <xf numFmtId="166" fontId="29" fillId="0" borderId="3" xfId="0" applyFont="1" applyFill="1" applyBorder="1" applyAlignment="1">
      <alignment horizontal="centerContinuous" vertical="center" readingOrder="2"/>
      <protection locked="0" hidden="1"/>
    </xf>
    <xf numFmtId="166" fontId="29" fillId="0" borderId="1" xfId="0" applyFont="1" applyFill="1" applyBorder="1" applyAlignment="1">
      <alignment horizontal="center" vertical="center" readingOrder="1"/>
      <protection locked="0" hidden="1"/>
    </xf>
    <xf numFmtId="166" fontId="29" fillId="0" borderId="4" xfId="0" applyFont="1" applyFill="1" applyBorder="1" applyAlignment="1">
      <alignment horizontal="centerContinuous" vertical="center"/>
      <protection locked="0" hidden="1"/>
    </xf>
    <xf numFmtId="166" fontId="29" fillId="0" borderId="3" xfId="0" applyFont="1" applyFill="1" applyBorder="1" applyAlignment="1">
      <alignment horizontal="centerContinuous"/>
      <protection locked="0" hidden="1"/>
    </xf>
    <xf numFmtId="0" fontId="29" fillId="0" borderId="10" xfId="0" applyNumberFormat="1" applyFont="1" applyFill="1" applyBorder="1" applyAlignment="1">
      <alignment horizontal="centerContinuous" vertical="center"/>
      <protection locked="0" hidden="1"/>
    </xf>
    <xf numFmtId="166" fontId="29" fillId="0" borderId="11" xfId="0" applyFont="1" applyFill="1" applyBorder="1" applyAlignment="1">
      <alignment horizontal="center" vertical="center" readingOrder="1"/>
      <protection locked="0" hidden="1"/>
    </xf>
    <xf numFmtId="166" fontId="12" fillId="0" borderId="1" xfId="0" applyFont="1" applyFill="1" applyBorder="1" applyAlignment="1">
      <alignment horizontal="centerContinuous" vertical="top"/>
      <protection locked="0" hidden="1"/>
    </xf>
    <xf numFmtId="166" fontId="12" fillId="0" borderId="9" xfId="0" applyFont="1" applyFill="1" applyBorder="1" applyAlignment="1">
      <alignment horizontal="centerContinuous" vertical="top"/>
      <protection locked="0" hidden="1"/>
    </xf>
    <xf numFmtId="166" fontId="29" fillId="0" borderId="9" xfId="0" applyFont="1" applyFill="1" applyBorder="1" applyAlignment="1">
      <protection locked="0" hidden="1"/>
    </xf>
    <xf numFmtId="166" fontId="29" fillId="0" borderId="11" xfId="0" applyFont="1" applyFill="1" applyBorder="1" applyAlignment="1">
      <alignment horizontal="center" vertical="top"/>
      <protection locked="0" hidden="1"/>
    </xf>
    <xf numFmtId="166" fontId="29" fillId="0" borderId="8" xfId="0" applyFont="1" applyFill="1" applyBorder="1" applyAlignment="1">
      <alignment horizontal="center" vertical="top"/>
      <protection locked="0" hidden="1"/>
    </xf>
    <xf numFmtId="164" fontId="6" fillId="0" borderId="12" xfId="0" applyNumberFormat="1" applyFont="1" applyFill="1" applyBorder="1" applyAlignment="1">
      <alignment horizontal="right" indent="1" readingOrder="1"/>
      <protection locked="0" hidden="1"/>
    </xf>
    <xf numFmtId="165" fontId="6" fillId="0" borderId="12" xfId="0" applyNumberFormat="1" applyFont="1" applyFill="1" applyBorder="1" applyAlignment="1">
      <alignment horizontal="right" indent="1"/>
      <protection locked="0" hidden="1"/>
    </xf>
    <xf numFmtId="165" fontId="6" fillId="0" borderId="12" xfId="0" applyNumberFormat="1" applyFont="1" applyFill="1" applyBorder="1" applyAlignment="1">
      <alignment horizontal="right" indent="1" readingOrder="1"/>
      <protection locked="0" hidden="1"/>
    </xf>
    <xf numFmtId="164" fontId="6" fillId="0" borderId="11" xfId="0" applyNumberFormat="1" applyFont="1" applyFill="1" applyBorder="1" applyAlignment="1">
      <alignment horizontal="right" indent="1" readingOrder="1"/>
      <protection locked="0" hidden="1"/>
    </xf>
    <xf numFmtId="165" fontId="6" fillId="0" borderId="11" xfId="0" applyNumberFormat="1" applyFont="1" applyFill="1" applyBorder="1" applyAlignment="1">
      <alignment horizontal="right" indent="1"/>
      <protection locked="0" hidden="1"/>
    </xf>
    <xf numFmtId="165" fontId="6" fillId="0" borderId="11" xfId="0" applyNumberFormat="1" applyFont="1" applyFill="1" applyBorder="1" applyAlignment="1">
      <alignment horizontal="right" indent="1" readingOrder="1"/>
      <protection locked="0" hidden="1"/>
    </xf>
    <xf numFmtId="166" fontId="40" fillId="0" borderId="0" xfId="0" applyFont="1" applyFill="1" applyAlignment="1">
      <alignment horizontal="centerContinuous"/>
      <protection locked="0" hidden="1"/>
    </xf>
    <xf numFmtId="166" fontId="22" fillId="0" borderId="0" xfId="0" applyFont="1" applyFill="1" applyAlignment="1">
      <alignment horizontal="centerContinuous"/>
      <protection locked="0" hidden="1"/>
    </xf>
    <xf numFmtId="187" fontId="22" fillId="0" borderId="11" xfId="0" applyNumberFormat="1" applyFont="1" applyFill="1" applyBorder="1" applyAlignment="1">
      <protection locked="0" hidden="1"/>
    </xf>
    <xf numFmtId="166" fontId="16" fillId="0" borderId="0" xfId="0" applyFont="1" applyFill="1" applyAlignment="1">
      <alignment horizontal="right" readingOrder="2"/>
      <protection locked="0" hidden="1"/>
    </xf>
    <xf numFmtId="0" fontId="21" fillId="0" borderId="0" xfId="22" applyFont="1" applyAlignment="1">
      <alignment horizontal="center"/>
    </xf>
    <xf numFmtId="0" fontId="21" fillId="0" borderId="0" xfId="22" applyFont="1" applyAlignment="1">
      <alignment horizontal="left"/>
    </xf>
    <xf numFmtId="165" fontId="22" fillId="0" borderId="11" xfId="0" applyNumberFormat="1" applyFont="1" applyFill="1" applyBorder="1" applyAlignment="1">
      <alignment horizontal="right" indent="1"/>
      <protection locked="0" hidden="1"/>
    </xf>
    <xf numFmtId="164" fontId="18" fillId="0" borderId="7" xfId="0" applyNumberFormat="1" applyFont="1" applyFill="1" applyBorder="1" applyAlignment="1" applyProtection="1"/>
    <xf numFmtId="164" fontId="18" fillId="0" borderId="7" xfId="0" applyNumberFormat="1" applyFont="1" applyFill="1" applyBorder="1" applyAlignment="1" applyProtection="1">
      <alignment horizontal="centerContinuous"/>
    </xf>
    <xf numFmtId="164" fontId="18" fillId="0" borderId="7" xfId="0" applyNumberFormat="1" applyFont="1" applyFill="1" applyBorder="1" applyAlignment="1" applyProtection="1">
      <alignment horizontal="right"/>
    </xf>
    <xf numFmtId="165" fontId="16" fillId="0" borderId="15" xfId="0" applyNumberFormat="1" applyFont="1" applyFill="1" applyBorder="1" applyAlignment="1">
      <alignment horizontal="right"/>
      <protection locked="0" hidden="1"/>
    </xf>
    <xf numFmtId="206" fontId="18" fillId="0" borderId="0" xfId="0" applyNumberFormat="1" applyFont="1" applyFill="1" applyAlignment="1">
      <alignment horizontal="right" readingOrder="2"/>
      <protection locked="0" hidden="1"/>
    </xf>
    <xf numFmtId="164" fontId="8" fillId="0" borderId="0" xfId="0" applyNumberFormat="1" applyFont="1" applyFill="1" applyAlignment="1" applyProtection="1">
      <alignment horizontal="right"/>
    </xf>
    <xf numFmtId="206" fontId="17" fillId="0" borderId="0" xfId="0" applyNumberFormat="1" applyFont="1" applyFill="1" applyAlignment="1">
      <protection locked="0" hidden="1"/>
    </xf>
    <xf numFmtId="16" fontId="14" fillId="0" borderId="9" xfId="0" applyNumberFormat="1" applyFont="1" applyFill="1" applyBorder="1" applyAlignment="1" applyProtection="1">
      <alignment horizontal="center"/>
    </xf>
    <xf numFmtId="0" fontId="21" fillId="0" borderId="11" xfId="22" applyFont="1" applyBorder="1" applyAlignment="1">
      <alignment horizontal="center"/>
    </xf>
    <xf numFmtId="189" fontId="18" fillId="0" borderId="11" xfId="0" applyNumberFormat="1" applyFont="1" applyFill="1" applyBorder="1" applyAlignment="1">
      <alignment horizontal="right"/>
      <protection locked="0" hidden="1"/>
    </xf>
    <xf numFmtId="172" fontId="18" fillId="0" borderId="11" xfId="0" applyNumberFormat="1" applyFont="1" applyFill="1" applyBorder="1" applyAlignment="1">
      <alignment horizontal="right"/>
      <protection locked="0" hidden="1"/>
    </xf>
    <xf numFmtId="188" fontId="18" fillId="0" borderId="11" xfId="0" applyNumberFormat="1" applyFont="1" applyFill="1" applyBorder="1" applyAlignment="1">
      <alignment horizontal="right"/>
      <protection locked="0" hidden="1"/>
    </xf>
    <xf numFmtId="179" fontId="18" fillId="0" borderId="9" xfId="0" applyNumberFormat="1" applyFont="1" applyFill="1" applyBorder="1" applyAlignment="1">
      <alignment horizontal="right"/>
      <protection locked="0" hidden="1"/>
    </xf>
    <xf numFmtId="165" fontId="16" fillId="0" borderId="0" xfId="0" applyNumberFormat="1" applyFont="1" applyFill="1" applyAlignment="1">
      <alignment horizontal="right"/>
      <protection locked="0" hidden="1"/>
    </xf>
    <xf numFmtId="172" fontId="22" fillId="0" borderId="11" xfId="0" applyNumberFormat="1" applyFont="1" applyFill="1" applyBorder="1" applyAlignment="1">
      <protection locked="0" hidden="1"/>
    </xf>
    <xf numFmtId="177" fontId="22" fillId="0" borderId="11" xfId="0" applyNumberFormat="1" applyFont="1" applyFill="1" applyBorder="1" applyAlignment="1">
      <protection locked="0" hidden="1"/>
    </xf>
    <xf numFmtId="202" fontId="22" fillId="0" borderId="11" xfId="0" applyNumberFormat="1" applyFont="1" applyFill="1" applyBorder="1" applyAlignment="1">
      <protection locked="0" hidden="1"/>
    </xf>
    <xf numFmtId="178" fontId="22" fillId="0" borderId="19" xfId="0" applyNumberFormat="1" applyFont="1" applyFill="1" applyBorder="1" applyAlignment="1">
      <protection locked="0" hidden="1"/>
    </xf>
    <xf numFmtId="165" fontId="6" fillId="0" borderId="15" xfId="0" applyNumberFormat="1" applyFont="1" applyFill="1" applyBorder="1" applyAlignment="1">
      <alignment horizontal="right"/>
      <protection locked="0" hidden="1"/>
    </xf>
    <xf numFmtId="165" fontId="5" fillId="0" borderId="8" xfId="0" applyNumberFormat="1" applyFont="1" applyFill="1" applyBorder="1" applyAlignment="1" applyProtection="1">
      <protection locked="0"/>
    </xf>
    <xf numFmtId="165" fontId="18" fillId="0" borderId="11" xfId="0" applyNumberFormat="1" applyFont="1" applyFill="1" applyBorder="1" applyAlignment="1">
      <alignment horizontal="center" vertical="top"/>
      <protection locked="0" hidden="1"/>
    </xf>
    <xf numFmtId="165" fontId="22" fillId="0" borderId="11" xfId="0" applyNumberFormat="1" applyFont="1" applyFill="1" applyBorder="1" applyAlignment="1">
      <alignment horizontal="center"/>
      <protection locked="0" hidden="1"/>
    </xf>
    <xf numFmtId="165" fontId="6" fillId="0" borderId="1" xfId="0" applyNumberFormat="1" applyFont="1" applyFill="1" applyBorder="1" applyAlignment="1">
      <alignment horizontal="right"/>
      <protection locked="0" hidden="1"/>
    </xf>
    <xf numFmtId="190" fontId="18" fillId="0" borderId="11" xfId="0" applyNumberFormat="1" applyFont="1" applyFill="1" applyBorder="1" applyAlignment="1">
      <protection locked="0" hidden="1"/>
    </xf>
    <xf numFmtId="193" fontId="18" fillId="0" borderId="11" xfId="0" applyNumberFormat="1" applyFont="1" applyFill="1" applyBorder="1" applyAlignment="1">
      <protection locked="0" hidden="1"/>
    </xf>
    <xf numFmtId="192" fontId="18" fillId="0" borderId="11" xfId="0" applyNumberFormat="1" applyFont="1" applyFill="1" applyBorder="1" applyAlignment="1">
      <protection locked="0" hidden="1"/>
    </xf>
    <xf numFmtId="182" fontId="18" fillId="0" borderId="11" xfId="0" applyNumberFormat="1" applyFont="1" applyFill="1" applyBorder="1" applyAlignment="1">
      <protection locked="0" hidden="1"/>
    </xf>
    <xf numFmtId="177" fontId="18" fillId="0" borderId="40" xfId="0" applyNumberFormat="1" applyFont="1" applyFill="1" applyBorder="1" applyAlignment="1">
      <alignment horizontal="right"/>
      <protection locked="0" hidden="1"/>
    </xf>
    <xf numFmtId="179" fontId="18" fillId="0" borderId="11" xfId="0" applyNumberFormat="1" applyFont="1" applyFill="1" applyBorder="1" applyAlignment="1">
      <alignment horizontal="right"/>
      <protection locked="0" hidden="1"/>
    </xf>
    <xf numFmtId="172" fontId="18" fillId="0" borderId="1" xfId="0" applyNumberFormat="1" applyFont="1" applyFill="1" applyBorder="1" applyAlignment="1">
      <alignment horizontal="right"/>
      <protection locked="0" hidden="1"/>
    </xf>
    <xf numFmtId="187" fontId="18" fillId="0" borderId="0" xfId="0" applyNumberFormat="1" applyFont="1" applyFill="1" applyAlignment="1">
      <alignment horizontal="right"/>
      <protection locked="0" hidden="1"/>
    </xf>
    <xf numFmtId="178" fontId="22" fillId="0" borderId="11" xfId="0" applyNumberFormat="1" applyFont="1" applyFill="1" applyBorder="1" applyAlignment="1">
      <protection locked="0" hidden="1"/>
    </xf>
    <xf numFmtId="165" fontId="6" fillId="0" borderId="11" xfId="0" applyNumberFormat="1" applyFont="1" applyFill="1" applyBorder="1" applyAlignment="1">
      <alignment horizontal="right"/>
      <protection locked="0" hidden="1"/>
    </xf>
    <xf numFmtId="177" fontId="18" fillId="0" borderId="11" xfId="0" applyNumberFormat="1" applyFont="1" applyFill="1" applyBorder="1" applyAlignment="1">
      <alignment horizontal="right"/>
      <protection locked="0" hidden="1"/>
    </xf>
    <xf numFmtId="165" fontId="5" fillId="0" borderId="11" xfId="0" applyNumberFormat="1" applyFont="1" applyFill="1" applyBorder="1" applyAlignment="1">
      <alignment horizontal="right"/>
      <protection locked="0" hidden="1"/>
    </xf>
    <xf numFmtId="169" fontId="18" fillId="0" borderId="11" xfId="0" applyNumberFormat="1" applyFont="1" applyFill="1" applyBorder="1" applyAlignment="1">
      <alignment horizontal="right"/>
      <protection locked="0" hidden="1"/>
    </xf>
    <xf numFmtId="177" fontId="18" fillId="0" borderId="41" xfId="0" applyNumberFormat="1" applyFont="1" applyFill="1" applyBorder="1" applyAlignment="1">
      <alignment horizontal="right"/>
      <protection locked="0" hidden="1"/>
    </xf>
    <xf numFmtId="183" fontId="22" fillId="0" borderId="11" xfId="0" applyNumberFormat="1" applyFont="1" applyFill="1" applyBorder="1" applyAlignment="1">
      <protection locked="0" hidden="1"/>
    </xf>
    <xf numFmtId="192" fontId="18" fillId="0" borderId="9" xfId="0" applyNumberFormat="1" applyFont="1" applyFill="1" applyBorder="1" applyAlignment="1">
      <protection locked="0" hidden="1"/>
    </xf>
    <xf numFmtId="178" fontId="18" fillId="0" borderId="11" xfId="0" applyNumberFormat="1" applyFont="1" applyFill="1" applyBorder="1" applyAlignment="1">
      <alignment horizontal="right"/>
      <protection locked="0" hidden="1"/>
    </xf>
    <xf numFmtId="208" fontId="18" fillId="0" borderId="15" xfId="0" applyNumberFormat="1" applyFont="1" applyFill="1" applyBorder="1" applyAlignment="1">
      <alignment horizontal="right"/>
      <protection locked="0" hidden="1"/>
    </xf>
    <xf numFmtId="171" fontId="18" fillId="0" borderId="11" xfId="0" applyNumberFormat="1" applyFont="1" applyFill="1" applyBorder="1" applyAlignment="1">
      <alignment horizontal="right"/>
      <protection locked="0" hidden="1"/>
    </xf>
    <xf numFmtId="167" fontId="18" fillId="0" borderId="11" xfId="0" applyNumberFormat="1" applyFont="1" applyFill="1" applyBorder="1" applyAlignment="1">
      <alignment horizontal="right"/>
      <protection locked="0" hidden="1"/>
    </xf>
    <xf numFmtId="179" fontId="22" fillId="0" borderId="11" xfId="0" applyNumberFormat="1" applyFont="1" applyFill="1" applyBorder="1" applyAlignment="1">
      <protection locked="0" hidden="1"/>
    </xf>
    <xf numFmtId="176" fontId="18" fillId="0" borderId="11" xfId="0" applyNumberFormat="1" applyFont="1" applyFill="1" applyBorder="1" applyAlignment="1">
      <alignment horizontal="right"/>
      <protection locked="0" hidden="1"/>
    </xf>
    <xf numFmtId="186" fontId="18" fillId="0" borderId="11" xfId="0" applyNumberFormat="1" applyFont="1" applyFill="1" applyBorder="1" applyAlignment="1">
      <protection locked="0" hidden="1"/>
    </xf>
    <xf numFmtId="194" fontId="18" fillId="0" borderId="11" xfId="0" applyNumberFormat="1" applyFont="1" applyFill="1" applyBorder="1" applyAlignment="1">
      <protection locked="0" hidden="1"/>
    </xf>
    <xf numFmtId="167" fontId="18" fillId="0" borderId="0" xfId="0" applyNumberFormat="1" applyFont="1" applyFill="1" applyAlignment="1">
      <alignment horizontal="right"/>
      <protection locked="0" hidden="1"/>
    </xf>
    <xf numFmtId="170" fontId="22" fillId="0" borderId="11" xfId="0" applyNumberFormat="1" applyFont="1" applyFill="1" applyBorder="1" applyAlignment="1">
      <protection locked="0" hidden="1"/>
    </xf>
    <xf numFmtId="172" fontId="18" fillId="0" borderId="0" xfId="0" applyNumberFormat="1" applyFont="1" applyFill="1" applyAlignment="1">
      <alignment horizontal="right"/>
      <protection locked="0" hidden="1"/>
    </xf>
    <xf numFmtId="172" fontId="18" fillId="0" borderId="1" xfId="0" applyNumberFormat="1" applyFont="1" applyFill="1" applyBorder="1" applyAlignment="1">
      <protection locked="0" hidden="1"/>
    </xf>
    <xf numFmtId="187" fontId="18" fillId="0" borderId="11" xfId="0" applyNumberFormat="1" applyFont="1" applyFill="1" applyBorder="1" applyAlignment="1">
      <protection locked="0" hidden="1"/>
    </xf>
    <xf numFmtId="185" fontId="18" fillId="0" borderId="11" xfId="0" applyNumberFormat="1" applyFont="1" applyFill="1" applyBorder="1" applyAlignment="1">
      <protection locked="0" hidden="1"/>
    </xf>
    <xf numFmtId="167" fontId="18" fillId="0" borderId="11" xfId="0" applyNumberFormat="1" applyFont="1" applyFill="1" applyBorder="1" applyAlignment="1">
      <protection locked="0" hidden="1"/>
    </xf>
    <xf numFmtId="167" fontId="18" fillId="0" borderId="16" xfId="0" applyNumberFormat="1" applyFont="1" applyFill="1" applyBorder="1" applyAlignment="1">
      <protection locked="0" hidden="1"/>
    </xf>
    <xf numFmtId="0" fontId="16" fillId="0" borderId="0" xfId="0" applyNumberFormat="1" applyFont="1" applyFill="1" applyAlignment="1" applyProtection="1">
      <alignment readingOrder="1"/>
    </xf>
    <xf numFmtId="0" fontId="42" fillId="0" borderId="2" xfId="0" applyNumberFormat="1" applyFont="1" applyFill="1" applyBorder="1" applyAlignment="1" applyProtection="1">
      <alignment horizontal="centerContinuous" readingOrder="1"/>
    </xf>
    <xf numFmtId="0" fontId="42" fillId="0" borderId="7" xfId="0" applyNumberFormat="1" applyFont="1" applyFill="1" applyBorder="1" applyAlignment="1" applyProtection="1">
      <alignment horizontal="centerContinuous" vertical="center" readingOrder="1"/>
    </xf>
    <xf numFmtId="0" fontId="42" fillId="0" borderId="7" xfId="0" applyNumberFormat="1" applyFont="1" applyFill="1" applyBorder="1" applyAlignment="1" applyProtection="1">
      <alignment horizontal="centerContinuous" vertical="center" readingOrder="2"/>
    </xf>
    <xf numFmtId="0" fontId="42" fillId="0" borderId="6" xfId="0" applyNumberFormat="1" applyFont="1" applyFill="1" applyBorder="1" applyAlignment="1" applyProtection="1">
      <alignment horizontal="centerContinuous" vertical="center" readingOrder="1"/>
    </xf>
    <xf numFmtId="0" fontId="42" fillId="0" borderId="2" xfId="0" applyNumberFormat="1" applyFont="1" applyFill="1" applyBorder="1" applyAlignment="1" applyProtection="1">
      <alignment horizontal="center" readingOrder="1"/>
    </xf>
    <xf numFmtId="0" fontId="42" fillId="0" borderId="12" xfId="0" applyNumberFormat="1" applyFont="1" applyFill="1" applyBorder="1" applyAlignment="1" applyProtection="1">
      <alignment horizontal="center" readingOrder="1"/>
    </xf>
    <xf numFmtId="0" fontId="29" fillId="0" borderId="0" xfId="0" applyNumberFormat="1" applyFont="1" applyFill="1" applyAlignment="1" applyProtection="1">
      <alignment readingOrder="1"/>
    </xf>
    <xf numFmtId="0" fontId="42" fillId="0" borderId="4" xfId="0" applyNumberFormat="1" applyFont="1" applyFill="1" applyBorder="1" applyAlignment="1" applyProtection="1">
      <alignment horizontal="centerContinuous" vertical="top" readingOrder="1"/>
    </xf>
    <xf numFmtId="0" fontId="42" fillId="0" borderId="3" xfId="0" applyNumberFormat="1" applyFont="1" applyFill="1" applyBorder="1" applyAlignment="1" applyProtection="1">
      <alignment horizontal="centerContinuous" vertical="center" readingOrder="1"/>
    </xf>
    <xf numFmtId="0" fontId="42" fillId="0" borderId="1" xfId="0" applyNumberFormat="1" applyFont="1" applyFill="1" applyBorder="1" applyAlignment="1" applyProtection="1">
      <alignment horizontal="centerContinuous" vertical="top" readingOrder="1"/>
    </xf>
    <xf numFmtId="0" fontId="42" fillId="0" borderId="10" xfId="0" applyNumberFormat="1" applyFont="1" applyFill="1" applyBorder="1" applyAlignment="1" applyProtection="1">
      <alignment horizontal="centerContinuous" vertical="center" readingOrder="1"/>
    </xf>
    <xf numFmtId="0" fontId="42" fillId="0" borderId="9" xfId="0" applyNumberFormat="1" applyFont="1" applyFill="1" applyBorder="1" applyAlignment="1" applyProtection="1">
      <alignment horizontal="center" vertical="top" wrapText="1" readingOrder="1"/>
    </xf>
    <xf numFmtId="0" fontId="42" fillId="0" borderId="11" xfId="0" applyNumberFormat="1" applyFont="1" applyFill="1" applyBorder="1" applyAlignment="1" applyProtection="1">
      <alignment horizontal="center" vertical="top" wrapText="1" readingOrder="1"/>
    </xf>
    <xf numFmtId="0" fontId="42" fillId="0" borderId="6" xfId="0" applyNumberFormat="1" applyFont="1" applyFill="1" applyBorder="1" applyAlignment="1" applyProtection="1">
      <alignment horizontal="centerContinuous" readingOrder="1"/>
    </xf>
    <xf numFmtId="0" fontId="42" fillId="0" borderId="0" xfId="0" applyNumberFormat="1" applyFont="1" applyFill="1" applyAlignment="1" applyProtection="1">
      <alignment horizontal="centerContinuous" readingOrder="1"/>
    </xf>
    <xf numFmtId="0" fontId="42" fillId="0" borderId="12" xfId="0" applyNumberFormat="1" applyFont="1" applyFill="1" applyBorder="1" applyAlignment="1" applyProtection="1">
      <alignment horizontal="centerContinuous" readingOrder="1"/>
    </xf>
    <xf numFmtId="0" fontId="42" fillId="0" borderId="4" xfId="0" applyNumberFormat="1" applyFont="1" applyFill="1" applyBorder="1" applyAlignment="1" applyProtection="1">
      <alignment horizontal="centerContinuous" vertical="top" wrapText="1" readingOrder="1"/>
    </xf>
    <xf numFmtId="0" fontId="42" fillId="0" borderId="10" xfId="0" applyNumberFormat="1" applyFont="1" applyFill="1" applyBorder="1" applyAlignment="1" applyProtection="1">
      <alignment horizontal="centerContinuous" vertical="center" wrapText="1" readingOrder="1"/>
    </xf>
    <xf numFmtId="0" fontId="42" fillId="0" borderId="9" xfId="0" applyNumberFormat="1" applyFont="1" applyFill="1" applyBorder="1" applyAlignment="1" applyProtection="1">
      <alignment horizontal="centerContinuous" vertical="center" wrapText="1" readingOrder="1"/>
    </xf>
    <xf numFmtId="0" fontId="42" fillId="0" borderId="11" xfId="0" applyNumberFormat="1" applyFont="1" applyFill="1" applyBorder="1" applyAlignment="1" applyProtection="1">
      <alignment horizontal="center" vertical="center" readingOrder="1"/>
    </xf>
    <xf numFmtId="0" fontId="42" fillId="0" borderId="11" xfId="0" applyNumberFormat="1" applyFont="1" applyFill="1" applyBorder="1" applyAlignment="1" applyProtection="1">
      <alignment horizontal="center" wrapText="1" readingOrder="2"/>
    </xf>
    <xf numFmtId="0" fontId="42" fillId="0" borderId="12" xfId="0" applyNumberFormat="1" applyFont="1" applyFill="1" applyBorder="1" applyAlignment="1" applyProtection="1">
      <alignment horizontal="center" vertical="center" readingOrder="1"/>
    </xf>
    <xf numFmtId="0" fontId="42" fillId="0" borderId="8" xfId="0" applyNumberFormat="1" applyFont="1" applyFill="1" applyBorder="1" applyAlignment="1" applyProtection="1">
      <alignment horizontal="center" vertical="center" readingOrder="1"/>
    </xf>
    <xf numFmtId="0" fontId="42" fillId="0" borderId="10" xfId="0" applyNumberFormat="1" applyFont="1" applyFill="1" applyBorder="1" applyAlignment="1" applyProtection="1">
      <alignment horizontal="center" vertical="center" readingOrder="1"/>
    </xf>
    <xf numFmtId="0" fontId="42" fillId="0" borderId="10" xfId="0" applyNumberFormat="1" applyFont="1" applyFill="1" applyBorder="1" applyAlignment="1" applyProtection="1">
      <alignment horizontal="center" vertical="center" wrapText="1" readingOrder="1"/>
    </xf>
    <xf numFmtId="0" fontId="16" fillId="0" borderId="0" xfId="0" applyNumberFormat="1" applyFont="1" applyFill="1" applyAlignment="1" applyProtection="1">
      <alignment horizontal="center" readingOrder="1"/>
    </xf>
    <xf numFmtId="166" fontId="21" fillId="0" borderId="4" xfId="0" applyFont="1" applyFill="1" applyBorder="1" applyAlignment="1">
      <alignment horizontal="left"/>
      <protection locked="0" hidden="1"/>
    </xf>
    <xf numFmtId="0" fontId="18" fillId="0" borderId="3" xfId="22" applyFont="1" applyBorder="1" applyAlignment="1">
      <alignment horizontal="center"/>
    </xf>
    <xf numFmtId="2" fontId="18" fillId="0" borderId="8" xfId="0" applyNumberFormat="1" applyFont="1" applyFill="1" applyBorder="1" applyAlignment="1">
      <alignment horizontal="right" indent="3"/>
      <protection locked="0" hidden="1"/>
    </xf>
    <xf numFmtId="3" fontId="5" fillId="0" borderId="11" xfId="22" applyNumberFormat="1" applyFont="1" applyBorder="1" applyAlignment="1">
      <alignment horizontal="right" indent="2" readingOrder="1"/>
    </xf>
    <xf numFmtId="166" fontId="12" fillId="0" borderId="11" xfId="0" applyFont="1" applyFill="1" applyBorder="1" applyAlignment="1">
      <alignment horizontal="center" vertical="center"/>
      <protection locked="0" hidden="1"/>
    </xf>
    <xf numFmtId="166" fontId="14" fillId="0" borderId="12" xfId="0" applyFont="1" applyFill="1" applyBorder="1" applyAlignment="1">
      <alignment horizontal="center" vertical="center"/>
      <protection locked="0" hidden="1"/>
    </xf>
    <xf numFmtId="209" fontId="21" fillId="0" borderId="2" xfId="0" applyNumberFormat="1" applyFont="1" applyFill="1" applyBorder="1" applyAlignment="1">
      <alignment horizontal="left"/>
      <protection locked="0" hidden="1"/>
    </xf>
    <xf numFmtId="209" fontId="21" fillId="0" borderId="1" xfId="0" applyNumberFormat="1" applyFont="1" applyFill="1" applyBorder="1" applyAlignment="1">
      <alignment horizontal="left"/>
      <protection locked="0" hidden="1"/>
    </xf>
    <xf numFmtId="177" fontId="18" fillId="0" borderId="8" xfId="0" applyNumberFormat="1" applyFont="1" applyFill="1" applyBorder="1" applyAlignment="1">
      <alignment horizontal="right"/>
      <protection locked="0" hidden="1"/>
    </xf>
    <xf numFmtId="166" fontId="21" fillId="0" borderId="6" xfId="0" applyFont="1" applyFill="1" applyBorder="1" applyAlignment="1">
      <alignment horizontal="left"/>
      <protection locked="0" hidden="1"/>
    </xf>
    <xf numFmtId="167" fontId="22" fillId="0" borderId="11" xfId="0" applyNumberFormat="1" applyFont="1" applyFill="1" applyBorder="1" applyAlignment="1">
      <protection locked="0" hidden="1"/>
    </xf>
    <xf numFmtId="177" fontId="22" fillId="0" borderId="11" xfId="0" applyNumberFormat="1" applyFont="1" applyFill="1" applyBorder="1" applyAlignment="1">
      <alignment horizontal="right"/>
      <protection locked="0" hidden="1"/>
    </xf>
    <xf numFmtId="177" fontId="22" fillId="0" borderId="8" xfId="0" applyNumberFormat="1" applyFont="1" applyFill="1" applyBorder="1" applyAlignment="1">
      <alignment horizontal="right"/>
      <protection locked="0" hidden="1"/>
    </xf>
    <xf numFmtId="0" fontId="5" fillId="0" borderId="7" xfId="0" applyNumberFormat="1" applyFont="1" applyFill="1" applyBorder="1" applyAlignment="1" applyProtection="1">
      <alignment horizontal="right" readingOrder="2"/>
    </xf>
    <xf numFmtId="0" fontId="8" fillId="0" borderId="3" xfId="26" applyNumberFormat="1" applyFont="1" applyFill="1" applyBorder="1" applyAlignment="1" applyProtection="1"/>
    <xf numFmtId="185" fontId="18" fillId="0" borderId="11" xfId="0" applyNumberFormat="1" applyFont="1" applyFill="1" applyBorder="1" applyAlignment="1">
      <alignment horizontal="right"/>
      <protection locked="0" hidden="1"/>
    </xf>
    <xf numFmtId="0" fontId="12" fillId="0" borderId="2" xfId="0" applyNumberFormat="1" applyFont="1" applyFill="1" applyBorder="1" applyAlignment="1" applyProtection="1">
      <alignment horizontal="centerContinuous"/>
    </xf>
    <xf numFmtId="218" fontId="18" fillId="0" borderId="11" xfId="0" applyNumberFormat="1" applyFont="1" applyFill="1" applyBorder="1" applyAlignment="1">
      <alignment horizontal="right" indent="2"/>
      <protection locked="0" hidden="1"/>
    </xf>
    <xf numFmtId="218" fontId="18" fillId="0" borderId="11" xfId="0" applyNumberFormat="1" applyFont="1" applyFill="1" applyBorder="1" applyAlignment="1">
      <alignment horizontal="right" vertical="top" indent="2"/>
      <protection locked="0" hidden="1"/>
    </xf>
    <xf numFmtId="210" fontId="18" fillId="0" borderId="11" xfId="0" applyNumberFormat="1" applyFont="1" applyFill="1" applyBorder="1" applyAlignment="1">
      <alignment horizontal="right" indent="2"/>
      <protection locked="0" hidden="1"/>
    </xf>
    <xf numFmtId="210" fontId="18" fillId="0" borderId="11" xfId="0" applyNumberFormat="1" applyFont="1" applyFill="1" applyBorder="1" applyAlignment="1">
      <alignment horizontal="right" vertical="top" indent="2"/>
      <protection locked="0" hidden="1"/>
    </xf>
    <xf numFmtId="0" fontId="8" fillId="0" borderId="1" xfId="22" applyFont="1" applyBorder="1"/>
    <xf numFmtId="176" fontId="22" fillId="0" borderId="11" xfId="0" applyNumberFormat="1" applyFont="1" applyFill="1" applyBorder="1" applyAlignment="1">
      <alignment horizontal="right"/>
      <protection locked="0" hidden="1"/>
    </xf>
    <xf numFmtId="0" fontId="5" fillId="0" borderId="0" xfId="0" applyNumberFormat="1" applyFont="1" applyFill="1" applyAlignment="1" applyProtection="1">
      <alignment horizontal="right" readingOrder="2"/>
    </xf>
    <xf numFmtId="171" fontId="22" fillId="0" borderId="1" xfId="0" applyNumberFormat="1" applyFont="1" applyFill="1" applyBorder="1" applyAlignment="1">
      <alignment horizontal="right"/>
      <protection locked="0" hidden="1"/>
    </xf>
    <xf numFmtId="220" fontId="22" fillId="0" borderId="11" xfId="0" applyNumberFormat="1" applyFont="1" applyFill="1" applyBorder="1" applyAlignment="1">
      <alignment horizontal="right"/>
      <protection locked="0" hidden="1"/>
    </xf>
    <xf numFmtId="208" fontId="22" fillId="0" borderId="11" xfId="0" applyNumberFormat="1" applyFont="1" applyFill="1" applyBorder="1" applyAlignment="1">
      <alignment horizontal="right"/>
      <protection locked="0" hidden="1"/>
    </xf>
    <xf numFmtId="187" fontId="22" fillId="0" borderId="11" xfId="0" applyNumberFormat="1" applyFont="1" applyFill="1" applyBorder="1" applyAlignment="1">
      <alignment horizontal="right"/>
      <protection locked="0" hidden="1"/>
    </xf>
    <xf numFmtId="222" fontId="22" fillId="0" borderId="11" xfId="0" applyNumberFormat="1" applyFont="1" applyFill="1" applyBorder="1" applyAlignment="1">
      <alignment horizontal="right"/>
      <protection locked="0" hidden="1"/>
    </xf>
    <xf numFmtId="165" fontId="6" fillId="0" borderId="8" xfId="0" applyNumberFormat="1" applyFont="1" applyFill="1" applyBorder="1" applyAlignment="1">
      <alignment horizontal="right" indent="1" readingOrder="1"/>
      <protection locked="0" hidden="1"/>
    </xf>
    <xf numFmtId="165" fontId="22" fillId="0" borderId="11" xfId="0" applyNumberFormat="1" applyFont="1" applyFill="1" applyBorder="1" applyAlignment="1">
      <alignment horizontal="right" indent="2"/>
      <protection locked="0" hidden="1"/>
    </xf>
    <xf numFmtId="170" fontId="22" fillId="0" borderId="11" xfId="0" applyNumberFormat="1" applyFont="1" applyFill="1" applyBorder="1" applyAlignment="1">
      <alignment horizontal="right" indent="1"/>
      <protection locked="0" hidden="1"/>
    </xf>
    <xf numFmtId="216" fontId="22" fillId="0" borderId="9" xfId="0" applyNumberFormat="1" applyFont="1" applyFill="1" applyBorder="1" applyAlignment="1">
      <protection locked="0" hidden="1"/>
    </xf>
    <xf numFmtId="188" fontId="22" fillId="0" borderId="20" xfId="0" applyNumberFormat="1" applyFont="1" applyFill="1" applyBorder="1" applyAlignment="1">
      <protection locked="0" hidden="1"/>
    </xf>
    <xf numFmtId="166" fontId="31" fillId="0" borderId="1" xfId="0" applyFont="1" applyFill="1" applyBorder="1" applyAlignment="1">
      <alignment horizontal="left"/>
      <protection locked="0" hidden="1"/>
    </xf>
    <xf numFmtId="166" fontId="31" fillId="0" borderId="0" xfId="0" applyFont="1" applyFill="1" applyAlignment="1">
      <alignment horizontal="left"/>
      <protection locked="0" hidden="1"/>
    </xf>
    <xf numFmtId="165" fontId="22" fillId="0" borderId="1" xfId="0" applyNumberFormat="1" applyFont="1" applyFill="1" applyBorder="1" applyAlignment="1">
      <alignment horizontal="right" indent="1"/>
      <protection locked="0" hidden="1"/>
    </xf>
    <xf numFmtId="166" fontId="21" fillId="0" borderId="3" xfId="0" applyFont="1" applyFill="1" applyBorder="1" applyAlignment="1">
      <alignment horizontal="left"/>
      <protection locked="0" hidden="1"/>
    </xf>
    <xf numFmtId="166" fontId="18" fillId="0" borderId="8" xfId="0" applyFont="1" applyFill="1" applyBorder="1" applyAlignment="1">
      <alignment horizontal="right" indent="3"/>
      <protection locked="0" hidden="1"/>
    </xf>
    <xf numFmtId="3" fontId="18" fillId="0" borderId="8" xfId="0" applyNumberFormat="1" applyFont="1" applyFill="1" applyBorder="1" applyAlignment="1">
      <alignment horizontal="right" indent="2"/>
      <protection locked="0" hidden="1"/>
    </xf>
    <xf numFmtId="3" fontId="18" fillId="0" borderId="8" xfId="0" applyNumberFormat="1" applyFont="1" applyFill="1" applyBorder="1" applyAlignment="1">
      <alignment horizontal="right" indent="3"/>
      <protection locked="0" hidden="1"/>
    </xf>
    <xf numFmtId="4" fontId="18" fillId="0" borderId="8" xfId="0" applyNumberFormat="1" applyFont="1" applyFill="1" applyBorder="1" applyAlignment="1">
      <alignment horizontal="center"/>
      <protection locked="0" hidden="1"/>
    </xf>
    <xf numFmtId="4" fontId="18" fillId="0" borderId="8" xfId="0" applyNumberFormat="1" applyFont="1" applyFill="1" applyBorder="1" applyAlignment="1">
      <alignment horizontal="right" indent="2"/>
      <protection locked="0" hidden="1"/>
    </xf>
    <xf numFmtId="2" fontId="18" fillId="0" borderId="8" xfId="22" applyNumberFormat="1" applyFont="1" applyBorder="1" applyAlignment="1">
      <alignment horizontal="right" indent="3"/>
    </xf>
    <xf numFmtId="166" fontId="9" fillId="0" borderId="3" xfId="0" applyFont="1" applyFill="1" applyBorder="1" applyAlignment="1">
      <alignment horizontal="left"/>
      <protection locked="0" hidden="1"/>
    </xf>
    <xf numFmtId="0" fontId="21" fillId="0" borderId="3" xfId="22" applyFont="1" applyBorder="1" applyAlignment="1">
      <alignment horizontal="left"/>
    </xf>
    <xf numFmtId="170" fontId="31" fillId="0" borderId="6" xfId="0" applyNumberFormat="1" applyFont="1" applyFill="1" applyBorder="1" applyAlignment="1">
      <alignment horizontal="right"/>
      <protection locked="0" hidden="1"/>
    </xf>
    <xf numFmtId="170" fontId="22" fillId="0" borderId="19" xfId="0" applyNumberFormat="1" applyFont="1" applyFill="1" applyBorder="1" applyAlignment="1">
      <alignment horizontal="right" indent="1"/>
      <protection locked="0" hidden="1"/>
    </xf>
    <xf numFmtId="209" fontId="12" fillId="0" borderId="4" xfId="0" applyNumberFormat="1" applyFont="1" applyFill="1" applyBorder="1" applyAlignment="1">
      <alignment horizontal="left"/>
      <protection locked="0" hidden="1"/>
    </xf>
    <xf numFmtId="165" fontId="18" fillId="0" borderId="1" xfId="0" applyNumberFormat="1" applyFont="1" applyFill="1" applyBorder="1" applyAlignment="1">
      <protection locked="0" hidden="1"/>
    </xf>
    <xf numFmtId="177" fontId="22" fillId="0" borderId="1" xfId="0" applyNumberFormat="1" applyFont="1" applyFill="1" applyBorder="1" applyAlignment="1">
      <alignment horizontal="right"/>
      <protection locked="0" hidden="1"/>
    </xf>
    <xf numFmtId="2" fontId="6" fillId="0" borderId="11" xfId="18" applyNumberFormat="1" applyFont="1" applyFill="1" applyBorder="1" applyAlignment="1">
      <alignment horizontal="right" indent="2"/>
      <protection locked="0" hidden="1"/>
    </xf>
    <xf numFmtId="165" fontId="22" fillId="0" borderId="9" xfId="0" applyNumberFormat="1" applyFont="1" applyFill="1" applyBorder="1" applyAlignment="1">
      <alignment horizontal="right" indent="1"/>
      <protection locked="0" hidden="1"/>
    </xf>
    <xf numFmtId="165" fontId="22" fillId="0" borderId="0" xfId="0" applyNumberFormat="1" applyFont="1" applyFill="1" applyAlignment="1">
      <alignment horizontal="right" indent="1"/>
      <protection locked="0" hidden="1"/>
    </xf>
    <xf numFmtId="206" fontId="5" fillId="0" borderId="8" xfId="0" applyNumberFormat="1" applyFont="1" applyFill="1" applyBorder="1" applyAlignment="1" applyProtection="1">
      <protection locked="0"/>
    </xf>
    <xf numFmtId="221" fontId="22" fillId="0" borderId="11" xfId="0" applyNumberFormat="1" applyFont="1" applyFill="1" applyBorder="1" applyAlignment="1">
      <alignment horizontal="right"/>
      <protection locked="0" hidden="1"/>
    </xf>
    <xf numFmtId="165" fontId="5" fillId="3" borderId="11" xfId="0" applyNumberFormat="1" applyFont="1" applyFill="1" applyBorder="1" applyAlignment="1">
      <alignment horizontal="right"/>
      <protection locked="0" hidden="1"/>
    </xf>
    <xf numFmtId="206" fontId="22" fillId="0" borderId="0" xfId="0" applyNumberFormat="1" applyFont="1" applyFill="1" applyAlignment="1">
      <protection locked="0" hidden="1"/>
    </xf>
    <xf numFmtId="197" fontId="22" fillId="0" borderId="10" xfId="0" applyNumberFormat="1" applyFont="1" applyFill="1" applyBorder="1" applyAlignment="1">
      <protection locked="0" hidden="1"/>
    </xf>
    <xf numFmtId="178" fontId="22" fillId="0" borderId="11" xfId="0" applyNumberFormat="1" applyFont="1" applyFill="1" applyBorder="1" applyAlignment="1">
      <alignment horizontal="right"/>
      <protection locked="0" hidden="1"/>
    </xf>
    <xf numFmtId="3" fontId="5" fillId="0" borderId="8" xfId="22" applyNumberFormat="1" applyFont="1" applyBorder="1" applyAlignment="1">
      <alignment horizontal="right" indent="2" readingOrder="1"/>
    </xf>
    <xf numFmtId="172" fontId="22" fillId="0" borderId="11" xfId="0" applyNumberFormat="1" applyFont="1" applyFill="1" applyBorder="1" applyAlignment="1">
      <alignment horizontal="right"/>
      <protection locked="0" hidden="1"/>
    </xf>
    <xf numFmtId="221" fontId="22" fillId="0" borderId="1" xfId="0" applyNumberFormat="1" applyFont="1" applyFill="1" applyBorder="1" applyAlignment="1">
      <alignment horizontal="right"/>
      <protection locked="0" hidden="1"/>
    </xf>
    <xf numFmtId="206" fontId="22" fillId="0" borderId="11" xfId="0" applyNumberFormat="1" applyFont="1" applyFill="1" applyBorder="1" applyAlignment="1">
      <alignment horizontal="center"/>
      <protection locked="0" hidden="1"/>
    </xf>
    <xf numFmtId="167" fontId="22" fillId="0" borderId="20" xfId="0" applyNumberFormat="1" applyFont="1" applyFill="1" applyBorder="1" applyAlignment="1">
      <protection locked="0" hidden="1"/>
    </xf>
    <xf numFmtId="165" fontId="22" fillId="0" borderId="0" xfId="0" applyNumberFormat="1" applyFont="1" applyFill="1" applyAlignment="1">
      <protection locked="0" hidden="1"/>
    </xf>
    <xf numFmtId="164" fontId="22" fillId="0" borderId="0" xfId="0" applyNumberFormat="1" applyFont="1" applyFill="1" applyAlignment="1">
      <protection locked="0" hidden="1"/>
    </xf>
    <xf numFmtId="176" fontId="22" fillId="0" borderId="11" xfId="0" applyNumberFormat="1" applyFont="1" applyFill="1" applyBorder="1" applyAlignment="1">
      <protection locked="0" hidden="1"/>
    </xf>
    <xf numFmtId="1" fontId="22" fillId="0" borderId="0" xfId="0" applyNumberFormat="1" applyFont="1" applyFill="1" applyAlignment="1">
      <protection locked="0" hidden="1"/>
    </xf>
    <xf numFmtId="197" fontId="18" fillId="0" borderId="11" xfId="0" applyNumberFormat="1" applyFont="1" applyFill="1" applyBorder="1" applyAlignment="1">
      <protection locked="0" hidden="1"/>
    </xf>
    <xf numFmtId="165" fontId="18" fillId="0" borderId="0" xfId="0" applyNumberFormat="1" applyFont="1" applyFill="1" applyAlignment="1">
      <alignment horizontal="right"/>
      <protection locked="0" hidden="1"/>
    </xf>
    <xf numFmtId="168" fontId="18" fillId="0" borderId="11" xfId="0" applyNumberFormat="1" applyFont="1" applyFill="1" applyBorder="1" applyAlignment="1">
      <protection locked="0" hidden="1"/>
    </xf>
    <xf numFmtId="214" fontId="18" fillId="0" borderId="11" xfId="0" applyNumberFormat="1" applyFont="1" applyFill="1" applyBorder="1" applyAlignment="1">
      <protection locked="0" hidden="1"/>
    </xf>
    <xf numFmtId="169" fontId="18" fillId="0" borderId="0" xfId="0" applyNumberFormat="1" applyFont="1" applyFill="1" applyAlignment="1">
      <protection locked="0" hidden="1"/>
    </xf>
    <xf numFmtId="169" fontId="18" fillId="0" borderId="11" xfId="0" applyNumberFormat="1" applyFont="1" applyFill="1" applyBorder="1" applyAlignment="1">
      <protection locked="0" hidden="1"/>
    </xf>
    <xf numFmtId="184" fontId="18" fillId="0" borderId="11" xfId="0" applyNumberFormat="1" applyFont="1" applyFill="1" applyBorder="1" applyAlignment="1">
      <protection locked="0" hidden="1"/>
    </xf>
    <xf numFmtId="187" fontId="18" fillId="0" borderId="16" xfId="0" applyNumberFormat="1" applyFont="1" applyFill="1" applyBorder="1" applyAlignment="1">
      <protection locked="0" hidden="1"/>
    </xf>
    <xf numFmtId="213" fontId="18" fillId="0" borderId="9" xfId="0" applyNumberFormat="1" applyFont="1" applyFill="1" applyBorder="1" applyAlignment="1">
      <protection locked="0" hidden="1"/>
    </xf>
    <xf numFmtId="205" fontId="5" fillId="0" borderId="11" xfId="0" applyNumberFormat="1" applyFont="1" applyFill="1" applyBorder="1" applyAlignment="1">
      <alignment horizontal="right" indent="2"/>
      <protection locked="0" hidden="1"/>
    </xf>
    <xf numFmtId="165" fontId="5" fillId="0" borderId="0" xfId="0" applyNumberFormat="1" applyFont="1" applyFill="1" applyAlignment="1">
      <alignment horizontal="right"/>
      <protection locked="0" hidden="1"/>
    </xf>
    <xf numFmtId="185" fontId="18" fillId="0" borderId="1" xfId="0" applyNumberFormat="1" applyFont="1" applyFill="1" applyBorder="1" applyAlignment="1">
      <alignment horizontal="right"/>
      <protection locked="0" hidden="1"/>
    </xf>
    <xf numFmtId="184" fontId="18" fillId="0" borderId="11" xfId="0" applyNumberFormat="1" applyFont="1" applyFill="1" applyBorder="1" applyAlignment="1">
      <alignment horizontal="right"/>
      <protection locked="0" hidden="1"/>
    </xf>
    <xf numFmtId="167" fontId="18" fillId="0" borderId="1" xfId="0" applyNumberFormat="1" applyFont="1" applyFill="1" applyBorder="1" applyAlignment="1">
      <alignment horizontal="right"/>
      <protection locked="0" hidden="1"/>
    </xf>
    <xf numFmtId="219" fontId="22" fillId="0" borderId="1" xfId="0" applyNumberFormat="1" applyFont="1" applyFill="1" applyBorder="1" applyAlignment="1">
      <protection locked="0" hidden="1"/>
    </xf>
    <xf numFmtId="189" fontId="22" fillId="0" borderId="11" xfId="0" applyNumberFormat="1" applyFont="1" applyFill="1" applyBorder="1" applyAlignment="1">
      <alignment horizontal="right"/>
      <protection locked="0" hidden="1"/>
    </xf>
    <xf numFmtId="165" fontId="18" fillId="0" borderId="11" xfId="0" applyNumberFormat="1" applyFont="1" applyFill="1" applyBorder="1" applyAlignment="1">
      <alignment horizontal="right" indent="1" readingOrder="1"/>
      <protection locked="0" hidden="1"/>
    </xf>
    <xf numFmtId="166" fontId="44" fillId="0" borderId="8" xfId="0" applyFont="1" applyFill="1" applyBorder="1" applyAlignment="1" applyProtection="1">
      <alignment horizontal="center" vertical="center"/>
    </xf>
    <xf numFmtId="166" fontId="29" fillId="0" borderId="8" xfId="0" applyFont="1" applyFill="1" applyBorder="1" applyAlignment="1" applyProtection="1">
      <alignment horizontal="center" vertical="center"/>
    </xf>
    <xf numFmtId="172" fontId="18" fillId="0" borderId="11" xfId="0" applyNumberFormat="1" applyFont="1" applyFill="1" applyBorder="1" applyAlignment="1">
      <protection locked="0" hidden="1"/>
    </xf>
    <xf numFmtId="170" fontId="22" fillId="0" borderId="9" xfId="0" applyNumberFormat="1" applyFont="1" applyFill="1" applyBorder="1" applyAlignment="1">
      <alignment horizontal="right" indent="1"/>
      <protection locked="0" hidden="1"/>
    </xf>
    <xf numFmtId="224" fontId="28" fillId="0" borderId="11" xfId="2" applyNumberFormat="1" applyFont="1" applyFill="1" applyBorder="1" applyAlignment="1" applyProtection="1"/>
    <xf numFmtId="192" fontId="18" fillId="0" borderId="11" xfId="0" applyNumberFormat="1" applyFont="1" applyFill="1" applyBorder="1" applyAlignment="1">
      <alignment vertical="top"/>
      <protection locked="0" hidden="1"/>
    </xf>
    <xf numFmtId="192" fontId="18" fillId="0" borderId="10" xfId="0" applyNumberFormat="1" applyFont="1" applyFill="1" applyBorder="1" applyAlignment="1">
      <protection locked="0" hidden="1"/>
    </xf>
    <xf numFmtId="4" fontId="18" fillId="0" borderId="11" xfId="0" quotePrefix="1" applyNumberFormat="1" applyFont="1" applyFill="1" applyBorder="1" applyAlignment="1">
      <alignment horizontal="center"/>
      <protection locked="0" hidden="1"/>
    </xf>
    <xf numFmtId="0" fontId="7" fillId="0" borderId="0" xfId="22" applyFont="1" applyAlignment="1">
      <alignment horizontal="centerContinuous"/>
    </xf>
    <xf numFmtId="0" fontId="12" fillId="0" borderId="0" xfId="22" applyFont="1" applyAlignment="1">
      <alignment horizontal="centerContinuous" vertical="top"/>
    </xf>
    <xf numFmtId="0" fontId="8" fillId="0" borderId="0" xfId="22" applyFont="1" applyAlignment="1">
      <alignment horizontal="center" vertical="top"/>
    </xf>
    <xf numFmtId="0" fontId="15" fillId="0" borderId="0" xfId="27" applyFont="1" applyAlignment="1" applyProtection="1">
      <alignment horizontal="right"/>
      <protection locked="0" hidden="1"/>
    </xf>
    <xf numFmtId="0" fontId="14" fillId="0" borderId="1" xfId="27" applyFont="1" applyBorder="1" applyAlignment="1">
      <alignment horizontal="centerContinuous"/>
    </xf>
    <xf numFmtId="0" fontId="12" fillId="0" borderId="9" xfId="27" applyFont="1" applyBorder="1" applyAlignment="1">
      <alignment horizontal="centerContinuous"/>
    </xf>
    <xf numFmtId="0" fontId="12" fillId="0" borderId="1" xfId="27" applyFont="1" applyBorder="1" applyAlignment="1">
      <alignment horizontal="centerContinuous" vertical="top"/>
    </xf>
    <xf numFmtId="0" fontId="12" fillId="0" borderId="0" xfId="27" applyFont="1" applyAlignment="1">
      <alignment horizontal="centerContinuous"/>
    </xf>
    <xf numFmtId="0" fontId="21" fillId="0" borderId="3" xfId="22" applyFont="1" applyBorder="1" applyAlignment="1">
      <alignment horizontal="center" vertical="center"/>
    </xf>
    <xf numFmtId="166" fontId="21" fillId="0" borderId="1" xfId="27" applyNumberFormat="1" applyFont="1" applyBorder="1" applyAlignment="1" applyProtection="1">
      <alignment horizontal="left"/>
      <protection locked="0" hidden="1"/>
    </xf>
    <xf numFmtId="164" fontId="18" fillId="0" borderId="11" xfId="27" applyNumberFormat="1" applyFont="1" applyBorder="1" applyAlignment="1" applyProtection="1">
      <alignment horizontal="right" indent="3"/>
      <protection locked="0" hidden="1"/>
    </xf>
    <xf numFmtId="164" fontId="18" fillId="0" borderId="0" xfId="22" applyNumberFormat="1" applyFont="1" applyAlignment="1">
      <alignment horizontal="right" indent="3"/>
    </xf>
    <xf numFmtId="166" fontId="21" fillId="0" borderId="4" xfId="27" applyNumberFormat="1" applyFont="1" applyBorder="1" applyAlignment="1" applyProtection="1">
      <alignment horizontal="left"/>
      <protection locked="0" hidden="1"/>
    </xf>
    <xf numFmtId="166" fontId="21" fillId="0" borderId="3" xfId="27" applyNumberFormat="1" applyFont="1" applyBorder="1" applyAlignment="1" applyProtection="1">
      <alignment horizontal="left"/>
      <protection locked="0" hidden="1"/>
    </xf>
    <xf numFmtId="0" fontId="22" fillId="0" borderId="1" xfId="22" applyFont="1" applyBorder="1"/>
    <xf numFmtId="0" fontId="22" fillId="0" borderId="0" xfId="22" applyFont="1"/>
    <xf numFmtId="166" fontId="21" fillId="0" borderId="0" xfId="27" applyNumberFormat="1" applyFont="1" applyAlignment="1" applyProtection="1">
      <alignment horizontal="left"/>
      <protection locked="0" hidden="1"/>
    </xf>
    <xf numFmtId="166" fontId="31" fillId="0" borderId="1" xfId="27" applyNumberFormat="1" applyFont="1" applyBorder="1" applyAlignment="1" applyProtection="1">
      <alignment horizontal="left"/>
      <protection locked="0" hidden="1"/>
    </xf>
    <xf numFmtId="166" fontId="31" fillId="0" borderId="0" xfId="27" applyNumberFormat="1" applyFont="1" applyAlignment="1" applyProtection="1">
      <alignment horizontal="left"/>
      <protection locked="0" hidden="1"/>
    </xf>
    <xf numFmtId="0" fontId="8" fillId="0" borderId="7" xfId="22" applyFont="1" applyBorder="1" applyAlignment="1">
      <alignment horizontal="left" indent="5"/>
    </xf>
    <xf numFmtId="164" fontId="18" fillId="0" borderId="8" xfId="27" applyNumberFormat="1" applyFont="1" applyBorder="1" applyAlignment="1" applyProtection="1">
      <alignment horizontal="right" indent="3"/>
      <protection locked="0" hidden="1"/>
    </xf>
    <xf numFmtId="164" fontId="18" fillId="0" borderId="3" xfId="22" applyNumberFormat="1" applyFont="1" applyBorder="1" applyAlignment="1">
      <alignment horizontal="right" indent="3"/>
    </xf>
    <xf numFmtId="0" fontId="6" fillId="0" borderId="0" xfId="26" applyNumberFormat="1" applyFont="1" applyFill="1" applyAlignment="1" applyProtection="1"/>
    <xf numFmtId="0" fontId="21" fillId="0" borderId="12" xfId="22" applyFont="1" applyBorder="1" applyAlignment="1">
      <alignment horizontal="center" vertical="center" wrapText="1"/>
    </xf>
    <xf numFmtId="0" fontId="8" fillId="0" borderId="0" xfId="22" applyFont="1" applyAlignment="1">
      <alignment horizontal="right" readingOrder="2"/>
    </xf>
    <xf numFmtId="0" fontId="8" fillId="0" borderId="0" xfId="22" applyFont="1" applyAlignment="1">
      <alignment horizontal="right"/>
    </xf>
    <xf numFmtId="0" fontId="8" fillId="0" borderId="7" xfId="22" applyFont="1" applyBorder="1" applyAlignment="1">
      <alignment horizontal="right" indent="5"/>
    </xf>
    <xf numFmtId="0" fontId="8" fillId="0" borderId="7" xfId="22" applyFont="1" applyBorder="1" applyAlignment="1">
      <alignment horizontal="right"/>
    </xf>
    <xf numFmtId="195" fontId="22" fillId="0" borderId="11" xfId="0" applyNumberFormat="1" applyFont="1" applyFill="1" applyBorder="1" applyAlignment="1">
      <protection locked="0" hidden="1"/>
    </xf>
    <xf numFmtId="168" fontId="22" fillId="0" borderId="11" xfId="0" applyNumberFormat="1" applyFont="1" applyFill="1" applyBorder="1" applyAlignment="1">
      <protection locked="0" hidden="1"/>
    </xf>
    <xf numFmtId="200" fontId="22" fillId="0" borderId="11" xfId="0" applyNumberFormat="1" applyFont="1" applyFill="1" applyBorder="1" applyAlignment="1">
      <protection locked="0" hidden="1"/>
    </xf>
    <xf numFmtId="172" fontId="22" fillId="0" borderId="0" xfId="0" applyNumberFormat="1" applyFont="1" applyFill="1" applyAlignment="1">
      <protection locked="0" hidden="1"/>
    </xf>
    <xf numFmtId="207" fontId="22" fillId="0" borderId="11" xfId="0" applyNumberFormat="1" applyFont="1" applyFill="1" applyBorder="1" applyAlignment="1">
      <protection locked="0" hidden="1"/>
    </xf>
    <xf numFmtId="180" fontId="22" fillId="0" borderId="11" xfId="0" applyNumberFormat="1" applyFont="1" applyFill="1" applyBorder="1" applyAlignment="1">
      <protection locked="0" hidden="1"/>
    </xf>
    <xf numFmtId="171" fontId="22" fillId="0" borderId="11" xfId="0" applyNumberFormat="1" applyFont="1" applyFill="1" applyBorder="1" applyAlignment="1">
      <protection locked="0" hidden="1"/>
    </xf>
    <xf numFmtId="0" fontId="5" fillId="0" borderId="0" xfId="22" applyFont="1"/>
    <xf numFmtId="3" fontId="22" fillId="0" borderId="11" xfId="0" applyNumberFormat="1" applyFont="1" applyFill="1" applyBorder="1" applyAlignment="1">
      <alignment horizontal="right" indent="2"/>
      <protection locked="0" hidden="1"/>
    </xf>
    <xf numFmtId="166" fontId="31" fillId="0" borderId="9" xfId="0" applyFont="1" applyFill="1" applyBorder="1" applyAlignment="1" applyProtection="1">
      <alignment horizontal="left"/>
    </xf>
    <xf numFmtId="166" fontId="28" fillId="0" borderId="0" xfId="26" applyFont="1" applyFill="1" applyAlignment="1" applyProtection="1">
      <alignment vertical="center"/>
    </xf>
    <xf numFmtId="166" fontId="31" fillId="0" borderId="9" xfId="26" applyFont="1" applyFill="1" applyBorder="1" applyAlignment="1" applyProtection="1">
      <alignment horizontal="left"/>
    </xf>
    <xf numFmtId="166" fontId="18" fillId="0" borderId="0" xfId="0" applyFont="1" applyFill="1" applyAlignment="1">
      <alignment wrapText="1"/>
      <protection locked="0" hidden="1"/>
    </xf>
    <xf numFmtId="166" fontId="12" fillId="0" borderId="1" xfId="0" applyFont="1" applyFill="1" applyBorder="1" applyAlignment="1">
      <alignment horizontal="left"/>
      <protection locked="0" hidden="1"/>
    </xf>
    <xf numFmtId="166" fontId="29" fillId="0" borderId="1" xfId="0" applyFont="1" applyFill="1" applyBorder="1" applyAlignment="1">
      <alignment horizontal="left"/>
      <protection locked="0" hidden="1"/>
    </xf>
    <xf numFmtId="166" fontId="29" fillId="0" borderId="0" xfId="0" applyFont="1" applyFill="1" applyAlignment="1">
      <alignment horizontal="left"/>
      <protection locked="0" hidden="1"/>
    </xf>
    <xf numFmtId="166" fontId="44" fillId="0" borderId="1" xfId="0" applyFont="1" applyFill="1" applyBorder="1" applyAlignment="1">
      <alignment horizontal="left"/>
      <protection locked="0" hidden="1"/>
    </xf>
    <xf numFmtId="166" fontId="44" fillId="0" borderId="0" xfId="0" applyFont="1" applyFill="1" applyAlignment="1">
      <alignment horizontal="left"/>
      <protection locked="0" hidden="1"/>
    </xf>
    <xf numFmtId="0" fontId="14" fillId="0" borderId="6" xfId="0" applyNumberFormat="1" applyFont="1" applyFill="1" applyBorder="1" applyAlignment="1" applyProtection="1">
      <alignment horizontal="center" vertical="center" wrapText="1" readingOrder="2"/>
    </xf>
    <xf numFmtId="0" fontId="19" fillId="0" borderId="1" xfId="22" applyFont="1" applyBorder="1" applyAlignment="1">
      <alignment horizontal="center" vertical="center"/>
    </xf>
    <xf numFmtId="0" fontId="19" fillId="0" borderId="9" xfId="22" applyFont="1" applyBorder="1" applyAlignment="1">
      <alignment horizontal="center" vertical="center"/>
    </xf>
    <xf numFmtId="0" fontId="19" fillId="0" borderId="1" xfId="22" applyFont="1" applyBorder="1" applyAlignment="1">
      <alignment horizontal="center" vertical="center" readingOrder="2"/>
    </xf>
    <xf numFmtId="0" fontId="19" fillId="0" borderId="9" xfId="22" applyFont="1" applyBorder="1" applyAlignment="1">
      <alignment horizontal="center" vertical="center" readingOrder="2"/>
    </xf>
    <xf numFmtId="0" fontId="12" fillId="0" borderId="0" xfId="22" applyFont="1" applyAlignment="1">
      <alignment horizontal="center" vertical="top"/>
    </xf>
    <xf numFmtId="0" fontId="19" fillId="0" borderId="2" xfId="22" applyFont="1" applyBorder="1" applyAlignment="1">
      <alignment horizontal="center"/>
    </xf>
    <xf numFmtId="0" fontId="19" fillId="0" borderId="6" xfId="22" applyFont="1" applyBorder="1" applyAlignment="1">
      <alignment horizontal="center"/>
    </xf>
    <xf numFmtId="0" fontId="21" fillId="0" borderId="6" xfId="22" applyFont="1" applyBorder="1" applyAlignment="1">
      <alignment horizontal="center" vertical="center" wrapText="1"/>
    </xf>
    <xf numFmtId="0" fontId="42" fillId="0" borderId="8" xfId="0" applyNumberFormat="1" applyFont="1" applyFill="1" applyBorder="1" applyAlignment="1" applyProtection="1">
      <alignment horizontal="center" vertical="center" wrapText="1" readingOrder="1"/>
    </xf>
    <xf numFmtId="166" fontId="29" fillId="0" borderId="11" xfId="0" applyFont="1" applyFill="1" applyBorder="1" applyAlignment="1">
      <alignment horizontal="center" vertical="center" wrapText="1"/>
      <protection locked="0" hidden="1"/>
    </xf>
    <xf numFmtId="166" fontId="29" fillId="0" borderId="8" xfId="0" applyFont="1" applyFill="1" applyBorder="1" applyAlignment="1">
      <alignment horizontal="center" vertical="center" wrapText="1"/>
      <protection locked="0" hidden="1"/>
    </xf>
    <xf numFmtId="166" fontId="29" fillId="0" borderId="12" xfId="0" applyFont="1" applyFill="1" applyBorder="1" applyAlignment="1">
      <alignment horizontal="center" vertical="center"/>
      <protection locked="0" hidden="1"/>
    </xf>
    <xf numFmtId="166" fontId="29" fillId="0" borderId="11" xfId="0" applyFont="1" applyFill="1" applyBorder="1" applyAlignment="1">
      <alignment horizontal="center" vertical="center"/>
      <protection locked="0" hidden="1"/>
    </xf>
    <xf numFmtId="166" fontId="29" fillId="0" borderId="5" xfId="0" applyFont="1" applyFill="1" applyBorder="1" applyAlignment="1">
      <alignment horizontal="center" vertical="center"/>
      <protection locked="0" hidden="1"/>
    </xf>
    <xf numFmtId="166" fontId="9" fillId="0" borderId="11" xfId="0" applyFont="1" applyFill="1" applyBorder="1" applyAlignment="1">
      <alignment horizontal="center" wrapText="1" readingOrder="2"/>
      <protection locked="0" hidden="1"/>
    </xf>
    <xf numFmtId="165" fontId="8" fillId="0" borderId="25" xfId="1" applyNumberFormat="1" applyFont="1" applyBorder="1" applyAlignment="1">
      <alignment horizontal="right" indent="2"/>
    </xf>
    <xf numFmtId="165" fontId="8" fillId="0" borderId="27" xfId="1" applyNumberFormat="1" applyFont="1" applyBorder="1" applyAlignment="1">
      <alignment horizontal="right" indent="2"/>
    </xf>
    <xf numFmtId="165" fontId="8" fillId="0" borderId="26" xfId="1" applyNumberFormat="1" applyFont="1" applyBorder="1" applyAlignment="1">
      <alignment horizontal="right" indent="2"/>
    </xf>
    <xf numFmtId="0" fontId="23" fillId="0" borderId="0" xfId="0" applyNumberFormat="1" applyFont="1" applyFill="1" applyAlignment="1" applyProtection="1">
      <alignment horizontal="centerContinuous" wrapText="1"/>
    </xf>
    <xf numFmtId="0" fontId="23" fillId="0" borderId="0" xfId="0" applyNumberFormat="1" applyFont="1" applyFill="1" applyAlignment="1" applyProtection="1">
      <alignment wrapText="1"/>
    </xf>
    <xf numFmtId="0" fontId="11" fillId="0" borderId="0" xfId="0" applyNumberFormat="1" applyFont="1" applyFill="1" applyAlignment="1" applyProtection="1">
      <alignment horizontal="centerContinuous"/>
    </xf>
    <xf numFmtId="0" fontId="7" fillId="0" borderId="0" xfId="0" applyNumberFormat="1" applyFont="1" applyFill="1" applyAlignment="1" applyProtection="1"/>
    <xf numFmtId="0" fontId="6" fillId="0" borderId="0" xfId="0" quotePrefix="1" applyNumberFormat="1" applyFont="1" applyFill="1" applyAlignment="1" applyProtection="1">
      <alignment wrapText="1"/>
    </xf>
    <xf numFmtId="0" fontId="8" fillId="0" borderId="3" xfId="0" applyNumberFormat="1" applyFont="1" applyFill="1" applyBorder="1" applyAlignment="1" applyProtection="1"/>
    <xf numFmtId="0" fontId="6" fillId="0" borderId="3" xfId="0" quotePrefix="1" applyNumberFormat="1" applyFont="1" applyFill="1" applyBorder="1" applyAlignment="1" applyProtection="1">
      <alignment wrapText="1"/>
    </xf>
    <xf numFmtId="0" fontId="12" fillId="0" borderId="2" xfId="0" applyNumberFormat="1" applyFont="1" applyFill="1" applyBorder="1" applyAlignment="1" applyProtection="1"/>
    <xf numFmtId="0" fontId="12" fillId="0" borderId="6" xfId="0" applyNumberFormat="1" applyFont="1" applyFill="1" applyBorder="1" applyAlignment="1" applyProtection="1"/>
    <xf numFmtId="0" fontId="14" fillId="0" borderId="6" xfId="0" applyNumberFormat="1" applyFont="1" applyFill="1" applyBorder="1" applyAlignment="1" applyProtection="1">
      <alignment horizontal="center" vertical="center"/>
    </xf>
    <xf numFmtId="0" fontId="12" fillId="0" borderId="0" xfId="0" applyNumberFormat="1" applyFont="1" applyFill="1" applyAlignment="1" applyProtection="1">
      <alignment horizontal="left" vertical="center" indent="2"/>
    </xf>
    <xf numFmtId="0" fontId="5" fillId="0" borderId="0" xfId="0" applyNumberFormat="1" applyFont="1" applyFill="1" applyAlignment="1" applyProtection="1">
      <alignment vertical="center"/>
    </xf>
    <xf numFmtId="0" fontId="14" fillId="0" borderId="3" xfId="0" applyNumberFormat="1" applyFont="1" applyFill="1" applyBorder="1" applyAlignment="1" applyProtection="1">
      <alignment horizontal="right" vertical="center" indent="2" readingOrder="1"/>
    </xf>
    <xf numFmtId="0" fontId="14" fillId="0" borderId="5" xfId="0" applyNumberFormat="1" applyFont="1" applyFill="1" applyBorder="1" applyAlignment="1" applyProtection="1">
      <alignment horizontal="right" vertical="center"/>
    </xf>
    <xf numFmtId="0" fontId="14" fillId="0"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center"/>
    </xf>
    <xf numFmtId="173" fontId="12" fillId="0" borderId="11" xfId="0" applyNumberFormat="1" applyFont="1" applyFill="1" applyBorder="1" applyAlignment="1" applyProtection="1">
      <alignment horizontal="center" wrapText="1"/>
    </xf>
    <xf numFmtId="1" fontId="12" fillId="0" borderId="8" xfId="0" applyNumberFormat="1" applyFont="1" applyFill="1" applyBorder="1" applyAlignment="1" applyProtection="1">
      <alignment horizontal="center"/>
    </xf>
    <xf numFmtId="173" fontId="12" fillId="0" borderId="8" xfId="0" applyNumberFormat="1" applyFont="1" applyFill="1" applyBorder="1" applyAlignment="1" applyProtection="1">
      <alignment horizontal="center" wrapText="1"/>
    </xf>
    <xf numFmtId="166" fontId="21" fillId="0" borderId="1" xfId="0" applyFont="1" applyFill="1" applyBorder="1" applyAlignment="1">
      <alignment horizontal="left" wrapText="1"/>
      <protection locked="0" hidden="1"/>
    </xf>
    <xf numFmtId="166" fontId="21" fillId="0" borderId="9" xfId="0" applyFont="1" applyFill="1" applyBorder="1" applyAlignment="1">
      <alignment horizontal="left" wrapText="1"/>
      <protection locked="0" hidden="1"/>
    </xf>
    <xf numFmtId="166" fontId="21" fillId="0" borderId="1" xfId="0" applyFont="1" applyFill="1" applyBorder="1" applyAlignment="1">
      <alignment horizontal="left" vertical="top" wrapText="1"/>
      <protection locked="0" hidden="1"/>
    </xf>
    <xf numFmtId="166" fontId="21" fillId="0" borderId="9" xfId="0" applyFont="1" applyFill="1" applyBorder="1" applyAlignment="1">
      <alignment horizontal="left" vertical="top" wrapText="1"/>
      <protection locked="0" hidden="1"/>
    </xf>
    <xf numFmtId="194" fontId="18" fillId="0" borderId="11" xfId="0" applyNumberFormat="1" applyFont="1" applyFill="1" applyBorder="1" applyAlignment="1">
      <alignment vertical="top"/>
      <protection locked="0" hidden="1"/>
    </xf>
    <xf numFmtId="186" fontId="18" fillId="0" borderId="11" xfId="0" applyNumberFormat="1" applyFont="1" applyFill="1" applyBorder="1" applyAlignment="1">
      <alignment vertical="top"/>
      <protection locked="0" hidden="1"/>
    </xf>
    <xf numFmtId="193" fontId="18" fillId="0" borderId="11" xfId="0" applyNumberFormat="1" applyFont="1" applyFill="1" applyBorder="1" applyAlignment="1">
      <alignment vertical="top"/>
      <protection locked="0" hidden="1"/>
    </xf>
    <xf numFmtId="166" fontId="18" fillId="0" borderId="0" xfId="0" applyFont="1" applyFill="1" applyAlignment="1">
      <alignment vertical="top" wrapText="1"/>
      <protection locked="0" hidden="1"/>
    </xf>
    <xf numFmtId="166" fontId="31" fillId="0" borderId="9" xfId="0" applyFont="1" applyFill="1" applyBorder="1" applyAlignment="1">
      <alignment horizontal="left"/>
      <protection locked="0" hidden="1"/>
    </xf>
    <xf numFmtId="194" fontId="22" fillId="0" borderId="11" xfId="0" applyNumberFormat="1" applyFont="1" applyFill="1" applyBorder="1" applyAlignment="1">
      <protection locked="0" hidden="1"/>
    </xf>
    <xf numFmtId="186" fontId="22" fillId="0" borderId="11" xfId="0" applyNumberFormat="1" applyFont="1" applyFill="1" applyBorder="1" applyAlignment="1">
      <protection locked="0" hidden="1"/>
    </xf>
    <xf numFmtId="193" fontId="22" fillId="0" borderId="11" xfId="0" applyNumberFormat="1" applyFont="1" applyFill="1" applyBorder="1" applyAlignment="1">
      <protection locked="0" hidden="1"/>
    </xf>
    <xf numFmtId="192" fontId="22" fillId="0" borderId="11" xfId="0" applyNumberFormat="1" applyFont="1" applyFill="1" applyBorder="1" applyAlignment="1">
      <protection locked="0" hidden="1"/>
    </xf>
    <xf numFmtId="192" fontId="22" fillId="0" borderId="9" xfId="0" applyNumberFormat="1" applyFont="1" applyFill="1" applyBorder="1" applyAlignment="1">
      <protection locked="0" hidden="1"/>
    </xf>
    <xf numFmtId="166" fontId="22" fillId="0" borderId="1" xfId="0" applyFont="1" applyFill="1" applyBorder="1" applyAlignment="1">
      <protection locked="0" hidden="1"/>
    </xf>
    <xf numFmtId="166" fontId="31" fillId="0" borderId="4" xfId="0" applyFont="1" applyFill="1" applyBorder="1" applyAlignment="1">
      <alignment horizontal="left"/>
      <protection locked="0" hidden="1"/>
    </xf>
    <xf numFmtId="166" fontId="31" fillId="0" borderId="10" xfId="0" applyFont="1" applyFill="1" applyBorder="1" applyAlignment="1">
      <alignment horizontal="left"/>
      <protection locked="0" hidden="1"/>
    </xf>
    <xf numFmtId="194" fontId="22" fillId="0" borderId="8" xfId="0" applyNumberFormat="1" applyFont="1" applyFill="1" applyBorder="1" applyAlignment="1">
      <protection locked="0" hidden="1"/>
    </xf>
    <xf numFmtId="186" fontId="22" fillId="0" borderId="8" xfId="0" applyNumberFormat="1" applyFont="1" applyFill="1" applyBorder="1" applyAlignment="1">
      <protection locked="0" hidden="1"/>
    </xf>
    <xf numFmtId="193" fontId="22" fillId="0" borderId="8" xfId="0" applyNumberFormat="1" applyFont="1" applyFill="1" applyBorder="1" applyAlignment="1">
      <protection locked="0" hidden="1"/>
    </xf>
    <xf numFmtId="192" fontId="22" fillId="0" borderId="8" xfId="0" applyNumberFormat="1" applyFont="1" applyFill="1" applyBorder="1" applyAlignment="1">
      <protection locked="0" hidden="1"/>
    </xf>
    <xf numFmtId="192" fontId="22" fillId="0" borderId="10" xfId="0" applyNumberFormat="1" applyFont="1" applyFill="1" applyBorder="1" applyAlignment="1">
      <protection locked="0" hidden="1"/>
    </xf>
    <xf numFmtId="170" fontId="26" fillId="0" borderId="7" xfId="0" applyNumberFormat="1" applyFont="1" applyFill="1" applyBorder="1" applyAlignment="1" applyProtection="1">
      <alignment horizontal="right"/>
    </xf>
    <xf numFmtId="0" fontId="27" fillId="0" borderId="7" xfId="0" applyNumberFormat="1" applyFont="1" applyFill="1" applyBorder="1" applyAlignment="1" applyProtection="1">
      <alignment horizontal="right" readingOrder="2"/>
    </xf>
    <xf numFmtId="0" fontId="26" fillId="0" borderId="0" xfId="0" applyNumberFormat="1" applyFont="1" applyFill="1" applyAlignment="1" applyProtection="1"/>
    <xf numFmtId="0" fontId="27" fillId="0" borderId="0" xfId="0" applyNumberFormat="1" applyFont="1" applyFill="1" applyAlignment="1" applyProtection="1">
      <alignment horizontal="right" readingOrder="2"/>
    </xf>
    <xf numFmtId="49" fontId="14" fillId="0" borderId="11" xfId="0" applyNumberFormat="1" applyFont="1" applyFill="1" applyBorder="1" applyAlignment="1" applyProtection="1">
      <alignment horizontal="center" readingOrder="2"/>
    </xf>
    <xf numFmtId="0" fontId="12" fillId="0" borderId="9" xfId="0" quotePrefix="1" applyNumberFormat="1" applyFont="1" applyFill="1" applyBorder="1" applyAlignment="1" applyProtection="1">
      <alignment horizontal="center"/>
    </xf>
    <xf numFmtId="0" fontId="12" fillId="0" borderId="12" xfId="0" applyNumberFormat="1" applyFont="1" applyFill="1" applyBorder="1" applyAlignment="1" applyProtection="1">
      <alignment horizontal="centerContinuous" vertical="center"/>
    </xf>
    <xf numFmtId="166" fontId="29" fillId="0" borderId="12"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wrapText="1"/>
    </xf>
    <xf numFmtId="224" fontId="28" fillId="0" borderId="11" xfId="2" applyNumberFormat="1" applyFont="1" applyFill="1" applyBorder="1" applyAlignment="1" applyProtection="1">
      <alignment horizontal="right"/>
    </xf>
    <xf numFmtId="224" fontId="28" fillId="0" borderId="8" xfId="2" applyNumberFormat="1" applyFont="1" applyFill="1" applyBorder="1" applyAlignment="1" applyProtection="1"/>
    <xf numFmtId="224" fontId="28" fillId="0" borderId="8" xfId="2" applyNumberFormat="1" applyFont="1" applyFill="1" applyBorder="1" applyAlignment="1" applyProtection="1">
      <alignment horizontal="right"/>
    </xf>
    <xf numFmtId="189" fontId="18" fillId="0" borderId="15" xfId="0" applyNumberFormat="1" applyFont="1" applyFill="1" applyBorder="1" applyAlignment="1">
      <alignment horizontal="right"/>
      <protection locked="0" hidden="1"/>
    </xf>
    <xf numFmtId="164" fontId="5" fillId="0" borderId="0" xfId="22" applyNumberFormat="1" applyFont="1"/>
    <xf numFmtId="166" fontId="31" fillId="0" borderId="1" xfId="26" applyFont="1" applyFill="1" applyBorder="1" applyAlignment="1" applyProtection="1">
      <alignment horizontal="left"/>
    </xf>
    <xf numFmtId="166" fontId="29" fillId="0" borderId="6" xfId="0" applyFont="1" applyFill="1" applyBorder="1" applyAlignment="1">
      <alignment horizontal="center" vertical="center"/>
      <protection locked="0" hidden="1"/>
    </xf>
    <xf numFmtId="165" fontId="18" fillId="0" borderId="11" xfId="0" applyNumberFormat="1" applyFont="1" applyFill="1" applyBorder="1" applyAlignment="1">
      <alignment horizontal="center"/>
      <protection locked="0" hidden="1"/>
    </xf>
    <xf numFmtId="0" fontId="49" fillId="0" borderId="0" xfId="20" applyFont="1" applyAlignment="1">
      <alignment horizontal="right" readingOrder="2"/>
    </xf>
    <xf numFmtId="0" fontId="18" fillId="0" borderId="12" xfId="22" applyFont="1" applyBorder="1" applyAlignment="1">
      <alignment horizontal="center" vertical="top"/>
    </xf>
    <xf numFmtId="0" fontId="18" fillId="0" borderId="12" xfId="22" applyFont="1" applyBorder="1" applyAlignment="1">
      <alignment horizontal="left" vertical="top"/>
    </xf>
    <xf numFmtId="0" fontId="6" fillId="0" borderId="4" xfId="22" applyFont="1" applyBorder="1"/>
    <xf numFmtId="165" fontId="16" fillId="0" borderId="11" xfId="0" applyNumberFormat="1" applyFont="1" applyFill="1" applyBorder="1" applyAlignment="1" applyProtection="1">
      <alignment horizontal="right" indent="1"/>
    </xf>
    <xf numFmtId="165" fontId="29" fillId="0" borderId="11" xfId="0" applyNumberFormat="1" applyFont="1" applyFill="1" applyBorder="1" applyAlignment="1" applyProtection="1">
      <alignment horizontal="right" indent="1"/>
    </xf>
    <xf numFmtId="165" fontId="16" fillId="0" borderId="11" xfId="0" applyNumberFormat="1" applyFont="1" applyFill="1" applyBorder="1" applyAlignment="1" applyProtection="1">
      <alignment horizontal="right" indent="2"/>
    </xf>
    <xf numFmtId="165" fontId="29" fillId="0" borderId="11" xfId="0" applyNumberFormat="1" applyFont="1" applyFill="1" applyBorder="1" applyAlignment="1" applyProtection="1">
      <alignment horizontal="right" indent="2"/>
    </xf>
    <xf numFmtId="165" fontId="29" fillId="0" borderId="9" xfId="0" applyNumberFormat="1" applyFont="1" applyFill="1" applyBorder="1" applyAlignment="1" applyProtection="1">
      <alignment horizontal="right" indent="1"/>
    </xf>
    <xf numFmtId="166" fontId="28" fillId="0" borderId="0" xfId="26" applyFont="1" applyFill="1" applyAlignment="1" applyProtection="1">
      <alignment horizontal="right" vertical="center"/>
    </xf>
    <xf numFmtId="166" fontId="28" fillId="0" borderId="0" xfId="26" applyFont="1" applyFill="1" applyAlignment="1" applyProtection="1">
      <alignment horizontal="left" vertical="center"/>
    </xf>
    <xf numFmtId="224" fontId="28" fillId="0" borderId="0" xfId="2" applyNumberFormat="1" applyFont="1" applyFill="1" applyBorder="1" applyAlignment="1" applyProtection="1"/>
    <xf numFmtId="166" fontId="31" fillId="0" borderId="0" xfId="0" applyFont="1" applyFill="1" applyAlignment="1" applyProtection="1">
      <alignment horizontal="left"/>
    </xf>
    <xf numFmtId="166" fontId="31" fillId="0" borderId="4" xfId="26" applyFont="1" applyFill="1" applyBorder="1" applyAlignment="1" applyProtection="1">
      <alignment horizontal="left"/>
    </xf>
    <xf numFmtId="166" fontId="31" fillId="0" borderId="10" xfId="26" applyFont="1" applyFill="1" applyBorder="1" applyAlignment="1" applyProtection="1">
      <alignment horizontal="left"/>
    </xf>
    <xf numFmtId="166" fontId="28" fillId="0" borderId="0" xfId="26" applyFont="1" applyFill="1" applyAlignment="1" applyProtection="1">
      <alignment horizontal="center" vertical="center"/>
    </xf>
    <xf numFmtId="166" fontId="29" fillId="0" borderId="8" xfId="26" applyFont="1" applyFill="1" applyBorder="1" applyAlignment="1" applyProtection="1">
      <alignment horizontal="center" vertical="center" wrapText="1"/>
    </xf>
    <xf numFmtId="0" fontId="8" fillId="0" borderId="0" xfId="26" applyNumberFormat="1" applyFont="1" applyFill="1" applyAlignment="1" applyProtection="1">
      <alignment horizontal="left"/>
    </xf>
    <xf numFmtId="0" fontId="29" fillId="0" borderId="0" xfId="26" applyNumberFormat="1" applyFont="1" applyFill="1" applyAlignment="1" applyProtection="1">
      <alignment horizontal="centerContinuous"/>
    </xf>
    <xf numFmtId="0" fontId="39" fillId="0" borderId="0" xfId="22" applyFont="1" applyAlignment="1">
      <alignment horizontal="centerContinuous"/>
    </xf>
    <xf numFmtId="0" fontId="14" fillId="0" borderId="0" xfId="26" applyNumberFormat="1" applyFont="1" applyFill="1" applyAlignment="1" applyProtection="1">
      <alignment horizontal="centerContinuous" readingOrder="2"/>
    </xf>
    <xf numFmtId="0" fontId="12" fillId="0" borderId="0" xfId="26" applyNumberFormat="1" applyFont="1" applyFill="1" applyAlignment="1" applyProtection="1">
      <alignment horizontal="centerContinuous"/>
    </xf>
    <xf numFmtId="0" fontId="29" fillId="0" borderId="23" xfId="29" applyFont="1" applyBorder="1" applyAlignment="1">
      <alignment horizontal="left" vertical="center" wrapText="1" readingOrder="1"/>
    </xf>
    <xf numFmtId="0" fontId="16" fillId="0" borderId="23" xfId="29" applyFont="1" applyBorder="1" applyAlignment="1">
      <alignment horizontal="left" vertical="center" wrapText="1" indent="1"/>
    </xf>
    <xf numFmtId="0" fontId="16" fillId="0" borderId="23" xfId="29" applyFont="1" applyBorder="1" applyAlignment="1">
      <alignment horizontal="left" vertical="center" wrapText="1" indent="3"/>
    </xf>
    <xf numFmtId="0" fontId="29" fillId="0" borderId="23" xfId="29" applyFont="1" applyBorder="1" applyAlignment="1">
      <alignment horizontal="right" vertical="center" wrapText="1" readingOrder="2"/>
    </xf>
    <xf numFmtId="0" fontId="16" fillId="0" borderId="23" xfId="29" applyFont="1" applyBorder="1" applyAlignment="1">
      <alignment horizontal="right" vertical="center" wrapText="1" indent="1" readingOrder="2"/>
    </xf>
    <xf numFmtId="0" fontId="16" fillId="0" borderId="8" xfId="29" applyFont="1" applyBorder="1" applyAlignment="1">
      <alignment horizontal="right" vertical="center" wrapText="1" indent="3" readingOrder="2"/>
    </xf>
    <xf numFmtId="0" fontId="16" fillId="0" borderId="23" xfId="29" applyFont="1" applyBorder="1" applyAlignment="1">
      <alignment horizontal="right" vertical="center" wrapText="1" indent="3" readingOrder="2"/>
    </xf>
    <xf numFmtId="166" fontId="29" fillId="0" borderId="11" xfId="26" applyFont="1" applyFill="1" applyBorder="1" applyAlignment="1" applyProtection="1">
      <alignment horizontal="center" vertical="center" wrapText="1"/>
    </xf>
    <xf numFmtId="166" fontId="29" fillId="0" borderId="2" xfId="26" applyFont="1" applyFill="1" applyBorder="1" applyAlignment="1" applyProtection="1">
      <alignment horizontal="centerContinuous" vertical="center" wrapText="1"/>
    </xf>
    <xf numFmtId="166" fontId="29" fillId="0" borderId="6" xfId="26" applyFont="1" applyFill="1" applyBorder="1" applyAlignment="1" applyProtection="1">
      <alignment horizontal="centerContinuous" vertical="center" wrapText="1"/>
    </xf>
    <xf numFmtId="166" fontId="31" fillId="0" borderId="7" xfId="0" applyFont="1" applyFill="1" applyBorder="1" applyAlignment="1" applyProtection="1">
      <alignment horizontal="left"/>
    </xf>
    <xf numFmtId="224" fontId="28" fillId="0" borderId="7" xfId="2" applyNumberFormat="1" applyFont="1" applyFill="1" applyBorder="1" applyAlignment="1" applyProtection="1"/>
    <xf numFmtId="0" fontId="28" fillId="0" borderId="7" xfId="2" applyNumberFormat="1" applyFont="1" applyFill="1" applyBorder="1" applyAlignment="1" applyProtection="1">
      <alignment horizontal="right" readingOrder="2"/>
    </xf>
    <xf numFmtId="226" fontId="18" fillId="0" borderId="0" xfId="0" applyNumberFormat="1" applyFont="1" applyFill="1" applyAlignment="1">
      <protection locked="0" hidden="1"/>
    </xf>
    <xf numFmtId="224" fontId="29" fillId="0" borderId="8" xfId="2" applyNumberFormat="1" applyFont="1" applyFill="1" applyBorder="1" applyAlignment="1" applyProtection="1"/>
    <xf numFmtId="206" fontId="18" fillId="0" borderId="0" xfId="0" applyNumberFormat="1" applyFont="1" applyFill="1" applyAlignment="1">
      <protection locked="0" hidden="1"/>
    </xf>
    <xf numFmtId="166" fontId="31" fillId="0" borderId="3" xfId="0" applyFont="1" applyFill="1" applyBorder="1" applyAlignment="1">
      <protection locked="0" hidden="1"/>
    </xf>
    <xf numFmtId="179" fontId="22" fillId="0" borderId="8" xfId="0" applyNumberFormat="1" applyFont="1" applyFill="1" applyBorder="1" applyAlignment="1">
      <protection locked="0" hidden="1"/>
    </xf>
    <xf numFmtId="168" fontId="22" fillId="0" borderId="8" xfId="0" applyNumberFormat="1" applyFont="1" applyFill="1" applyBorder="1" applyAlignment="1">
      <protection locked="0" hidden="1"/>
    </xf>
    <xf numFmtId="200" fontId="22" fillId="0" borderId="8" xfId="0" applyNumberFormat="1" applyFont="1" applyFill="1" applyBorder="1" applyAlignment="1">
      <protection locked="0" hidden="1"/>
    </xf>
    <xf numFmtId="172" fontId="22" fillId="0" borderId="3" xfId="0" applyNumberFormat="1" applyFont="1" applyFill="1" applyBorder="1" applyAlignment="1">
      <protection locked="0" hidden="1"/>
    </xf>
    <xf numFmtId="191" fontId="22" fillId="0" borderId="18" xfId="0" applyNumberFormat="1" applyFont="1" applyFill="1" applyBorder="1" applyAlignment="1">
      <protection locked="0" hidden="1"/>
    </xf>
    <xf numFmtId="164" fontId="22" fillId="0" borderId="8" xfId="0" applyNumberFormat="1" applyFont="1" applyFill="1" applyBorder="1" applyAlignment="1">
      <alignment horizontal="center"/>
      <protection locked="0" hidden="1"/>
    </xf>
    <xf numFmtId="195" fontId="22" fillId="0" borderId="8" xfId="0" applyNumberFormat="1" applyFont="1" applyFill="1" applyBorder="1" applyAlignment="1">
      <protection locked="0" hidden="1"/>
    </xf>
    <xf numFmtId="207" fontId="22" fillId="0" borderId="8" xfId="0" applyNumberFormat="1" applyFont="1" applyFill="1" applyBorder="1" applyAlignment="1">
      <protection locked="0" hidden="1"/>
    </xf>
    <xf numFmtId="165" fontId="22" fillId="0" borderId="8" xfId="0" applyNumberFormat="1" applyFont="1" applyFill="1" applyBorder="1" applyAlignment="1">
      <alignment horizontal="right" indent="2"/>
      <protection locked="0" hidden="1"/>
    </xf>
    <xf numFmtId="180" fontId="22" fillId="0" borderId="8" xfId="0" applyNumberFormat="1" applyFont="1" applyFill="1" applyBorder="1" applyAlignment="1">
      <protection locked="0" hidden="1"/>
    </xf>
    <xf numFmtId="171" fontId="22" fillId="0" borderId="8" xfId="0" applyNumberFormat="1" applyFont="1" applyFill="1" applyBorder="1" applyAlignment="1">
      <protection locked="0" hidden="1"/>
    </xf>
    <xf numFmtId="0" fontId="5" fillId="0" borderId="1" xfId="22" applyFont="1" applyBorder="1"/>
    <xf numFmtId="166" fontId="44" fillId="0" borderId="4" xfId="0" applyFont="1" applyFill="1" applyBorder="1" applyAlignment="1">
      <alignment horizontal="left"/>
      <protection locked="0" hidden="1"/>
    </xf>
    <xf numFmtId="3" fontId="8" fillId="0" borderId="8" xfId="22" applyNumberFormat="1" applyFont="1" applyBorder="1" applyAlignment="1">
      <alignment horizontal="right" indent="2" readingOrder="1"/>
    </xf>
    <xf numFmtId="166" fontId="31" fillId="0" borderId="10" xfId="26" applyFont="1" applyFill="1" applyBorder="1" applyAlignment="1" applyProtection="1"/>
    <xf numFmtId="224" fontId="28" fillId="0" borderId="8" xfId="2" applyNumberFormat="1" applyFont="1" applyFill="1" applyBorder="1" applyAlignment="1" applyProtection="1">
      <alignment vertical="center"/>
    </xf>
    <xf numFmtId="217" fontId="28" fillId="0" borderId="8" xfId="2" applyNumberFormat="1" applyFont="1" applyFill="1" applyBorder="1" applyAlignment="1" applyProtection="1">
      <alignment vertical="center"/>
    </xf>
    <xf numFmtId="225" fontId="28" fillId="0" borderId="8" xfId="2" applyNumberFormat="1" applyFont="1" applyFill="1" applyBorder="1" applyAlignment="1" applyProtection="1">
      <alignment horizontal="right" indent="1"/>
    </xf>
    <xf numFmtId="217" fontId="28" fillId="0" borderId="8" xfId="2" applyNumberFormat="1" applyFont="1" applyFill="1" applyBorder="1" applyAlignment="1" applyProtection="1"/>
    <xf numFmtId="166" fontId="31" fillId="0" borderId="4" xfId="26" applyFont="1" applyFill="1" applyBorder="1" applyAlignment="1">
      <alignment horizontal="left"/>
      <protection locked="0" hidden="1"/>
    </xf>
    <xf numFmtId="217" fontId="16" fillId="0" borderId="8" xfId="2" applyNumberFormat="1" applyFont="1" applyBorder="1"/>
    <xf numFmtId="224" fontId="16" fillId="0" borderId="8" xfId="2" applyNumberFormat="1" applyFont="1" applyBorder="1"/>
    <xf numFmtId="166" fontId="29" fillId="0" borderId="4" xfId="0" applyFont="1" applyFill="1" applyBorder="1" applyAlignment="1">
      <alignment horizontal="left"/>
      <protection locked="0" hidden="1"/>
    </xf>
    <xf numFmtId="166" fontId="29" fillId="0" borderId="3" xfId="0" applyFont="1" applyFill="1" applyBorder="1" applyAlignment="1">
      <alignment horizontal="left"/>
      <protection locked="0" hidden="1"/>
    </xf>
    <xf numFmtId="165" fontId="16" fillId="0" borderId="4" xfId="0" applyNumberFormat="1" applyFont="1" applyFill="1" applyBorder="1" applyAlignment="1">
      <alignment horizontal="right"/>
      <protection locked="0" hidden="1"/>
    </xf>
    <xf numFmtId="165" fontId="16" fillId="0" borderId="8" xfId="0" applyNumberFormat="1" applyFont="1" applyFill="1" applyBorder="1" applyAlignment="1">
      <alignment horizontal="right"/>
      <protection locked="0" hidden="1"/>
    </xf>
    <xf numFmtId="165" fontId="16" fillId="0" borderId="18" xfId="0" applyNumberFormat="1" applyFont="1" applyFill="1" applyBorder="1" applyAlignment="1">
      <alignment horizontal="right"/>
      <protection locked="0" hidden="1"/>
    </xf>
    <xf numFmtId="166" fontId="16" fillId="0" borderId="0" xfId="0" applyFont="1" applyFill="1" applyAlignment="1">
      <alignment vertical="top"/>
      <protection locked="0" hidden="1"/>
    </xf>
    <xf numFmtId="166" fontId="31" fillId="0" borderId="3" xfId="0" applyFont="1" applyFill="1" applyBorder="1" applyAlignment="1">
      <alignment horizontal="left"/>
      <protection locked="0" hidden="1"/>
    </xf>
    <xf numFmtId="165" fontId="22" fillId="0" borderId="4" xfId="0" applyNumberFormat="1" applyFont="1" applyFill="1" applyBorder="1" applyAlignment="1">
      <alignment horizontal="right" indent="1"/>
      <protection locked="0" hidden="1"/>
    </xf>
    <xf numFmtId="165" fontId="22" fillId="0" borderId="8" xfId="0" applyNumberFormat="1" applyFont="1" applyFill="1" applyBorder="1" applyAlignment="1">
      <alignment horizontal="right" indent="1"/>
      <protection locked="0" hidden="1"/>
    </xf>
    <xf numFmtId="176" fontId="22" fillId="0" borderId="8" xfId="0" applyNumberFormat="1" applyFont="1" applyFill="1" applyBorder="1" applyAlignment="1">
      <protection locked="0" hidden="1"/>
    </xf>
    <xf numFmtId="202" fontId="22" fillId="0" borderId="8" xfId="0" applyNumberFormat="1" applyFont="1" applyFill="1" applyBorder="1" applyAlignment="1">
      <protection locked="0" hidden="1"/>
    </xf>
    <xf numFmtId="172" fontId="22" fillId="0" borderId="8" xfId="0" applyNumberFormat="1" applyFont="1" applyFill="1" applyBorder="1" applyAlignment="1">
      <protection locked="0" hidden="1"/>
    </xf>
    <xf numFmtId="170" fontId="22" fillId="0" borderId="8" xfId="0" applyNumberFormat="1" applyFont="1" applyFill="1" applyBorder="1" applyAlignment="1">
      <protection locked="0" hidden="1"/>
    </xf>
    <xf numFmtId="177" fontId="22" fillId="0" borderId="8" xfId="0" applyNumberFormat="1" applyFont="1" applyFill="1" applyBorder="1" applyAlignment="1">
      <protection locked="0" hidden="1"/>
    </xf>
    <xf numFmtId="178" fontId="22" fillId="0" borderId="8" xfId="0" applyNumberFormat="1" applyFont="1" applyFill="1" applyBorder="1" applyAlignment="1">
      <protection locked="0" hidden="1"/>
    </xf>
    <xf numFmtId="167" fontId="22" fillId="0" borderId="8" xfId="0" applyNumberFormat="1" applyFont="1" applyFill="1" applyBorder="1" applyAlignment="1">
      <protection locked="0" hidden="1"/>
    </xf>
    <xf numFmtId="183" fontId="22" fillId="0" borderId="8" xfId="0" applyNumberFormat="1" applyFont="1" applyFill="1" applyBorder="1" applyAlignment="1">
      <protection locked="0" hidden="1"/>
    </xf>
    <xf numFmtId="178" fontId="22" fillId="0" borderId="14" xfId="0" applyNumberFormat="1" applyFont="1" applyFill="1" applyBorder="1" applyAlignment="1">
      <protection locked="0" hidden="1"/>
    </xf>
    <xf numFmtId="188" fontId="22" fillId="0" borderId="17" xfId="0" applyNumberFormat="1" applyFont="1" applyFill="1" applyBorder="1" applyAlignment="1">
      <protection locked="0" hidden="1"/>
    </xf>
    <xf numFmtId="170" fontId="22" fillId="0" borderId="8" xfId="0" applyNumberFormat="1" applyFont="1" applyFill="1" applyBorder="1" applyAlignment="1">
      <alignment horizontal="right" indent="1"/>
      <protection locked="0" hidden="1"/>
    </xf>
    <xf numFmtId="216" fontId="22" fillId="0" borderId="10" xfId="0" applyNumberFormat="1" applyFont="1" applyFill="1" applyBorder="1" applyAlignment="1">
      <protection locked="0" hidden="1"/>
    </xf>
    <xf numFmtId="165" fontId="22" fillId="0" borderId="10" xfId="0" applyNumberFormat="1" applyFont="1" applyFill="1" applyBorder="1" applyAlignment="1">
      <alignment horizontal="right" indent="1"/>
      <protection locked="0" hidden="1"/>
    </xf>
    <xf numFmtId="170" fontId="22" fillId="0" borderId="14" xfId="0" applyNumberFormat="1" applyFont="1" applyFill="1" applyBorder="1" applyAlignment="1">
      <alignment horizontal="right" indent="1"/>
      <protection locked="0" hidden="1"/>
    </xf>
    <xf numFmtId="167" fontId="22" fillId="0" borderId="17" xfId="0" applyNumberFormat="1" applyFont="1" applyFill="1" applyBorder="1" applyAlignment="1">
      <protection locked="0" hidden="1"/>
    </xf>
    <xf numFmtId="166" fontId="31" fillId="0" borderId="3" xfId="0" applyFont="1" applyFill="1" applyBorder="1" applyAlignment="1">
      <alignment horizontal="left" vertical="top"/>
      <protection locked="0" hidden="1"/>
    </xf>
    <xf numFmtId="177" fontId="22" fillId="0" borderId="4" xfId="0" applyNumberFormat="1" applyFont="1" applyFill="1" applyBorder="1" applyAlignment="1">
      <alignment horizontal="right" vertical="top"/>
      <protection locked="0" hidden="1"/>
    </xf>
    <xf numFmtId="171" fontId="22" fillId="0" borderId="4" xfId="0" applyNumberFormat="1" applyFont="1" applyFill="1" applyBorder="1" applyAlignment="1">
      <alignment horizontal="right" vertical="top"/>
      <protection locked="0" hidden="1"/>
    </xf>
    <xf numFmtId="187" fontId="22" fillId="0" borderId="4" xfId="0" applyNumberFormat="1" applyFont="1" applyFill="1" applyBorder="1" applyAlignment="1">
      <alignment horizontal="right" vertical="top"/>
      <protection locked="0" hidden="1"/>
    </xf>
    <xf numFmtId="172" fontId="22" fillId="0" borderId="4" xfId="0" applyNumberFormat="1" applyFont="1" applyFill="1" applyBorder="1" applyAlignment="1">
      <alignment horizontal="right" vertical="top"/>
      <protection locked="0" hidden="1"/>
    </xf>
    <xf numFmtId="220" fontId="22" fillId="0" borderId="4" xfId="0" applyNumberFormat="1" applyFont="1" applyFill="1" applyBorder="1" applyAlignment="1">
      <alignment horizontal="right" vertical="top"/>
      <protection locked="0" hidden="1"/>
    </xf>
    <xf numFmtId="221" fontId="22" fillId="0" borderId="4" xfId="0" applyNumberFormat="1" applyFont="1" applyFill="1" applyBorder="1" applyAlignment="1">
      <alignment horizontal="right" vertical="top"/>
      <protection locked="0" hidden="1"/>
    </xf>
    <xf numFmtId="223" fontId="22" fillId="0" borderId="4" xfId="0" applyNumberFormat="1" applyFont="1" applyFill="1" applyBorder="1" applyAlignment="1">
      <alignment horizontal="right" vertical="top"/>
      <protection locked="0" hidden="1"/>
    </xf>
    <xf numFmtId="165" fontId="22" fillId="0" borderId="4" xfId="0" applyNumberFormat="1" applyFont="1" applyFill="1" applyBorder="1" applyAlignment="1">
      <alignment horizontal="right" vertical="top" indent="1"/>
      <protection locked="0" hidden="1"/>
    </xf>
    <xf numFmtId="208" fontId="22" fillId="0" borderId="4" xfId="0" applyNumberFormat="1" applyFont="1" applyFill="1" applyBorder="1" applyAlignment="1">
      <alignment horizontal="right" vertical="top"/>
      <protection locked="0" hidden="1"/>
    </xf>
    <xf numFmtId="222" fontId="22" fillId="0" borderId="8" xfId="0" applyNumberFormat="1" applyFont="1" applyFill="1" applyBorder="1" applyAlignment="1">
      <alignment horizontal="right" vertical="top"/>
      <protection locked="0" hidden="1"/>
    </xf>
    <xf numFmtId="206" fontId="22" fillId="0" borderId="8" xfId="0" applyNumberFormat="1" applyFont="1" applyFill="1" applyBorder="1" applyAlignment="1">
      <alignment horizontal="center"/>
      <protection locked="0" hidden="1"/>
    </xf>
    <xf numFmtId="187" fontId="22" fillId="0" borderId="8" xfId="0" applyNumberFormat="1" applyFont="1" applyFill="1" applyBorder="1" applyAlignment="1">
      <protection locked="0" hidden="1"/>
    </xf>
    <xf numFmtId="176" fontId="22" fillId="0" borderId="8" xfId="0" applyNumberFormat="1" applyFont="1" applyFill="1" applyBorder="1" applyAlignment="1">
      <alignment horizontal="right"/>
      <protection locked="0" hidden="1"/>
    </xf>
    <xf numFmtId="189" fontId="22" fillId="0" borderId="8" xfId="0" applyNumberFormat="1" applyFont="1" applyFill="1" applyBorder="1" applyAlignment="1">
      <alignment horizontal="right"/>
      <protection locked="0" hidden="1"/>
    </xf>
    <xf numFmtId="178" fontId="22" fillId="0" borderId="8" xfId="0" applyNumberFormat="1" applyFont="1" applyFill="1" applyBorder="1" applyAlignment="1">
      <alignment horizontal="right"/>
      <protection locked="0" hidden="1"/>
    </xf>
    <xf numFmtId="166" fontId="22" fillId="0" borderId="0" xfId="0" applyFont="1" applyFill="1" applyAlignment="1">
      <alignment vertical="top"/>
      <protection locked="0" hidden="1"/>
    </xf>
    <xf numFmtId="165" fontId="16" fillId="0" borderId="3" xfId="0" applyNumberFormat="1" applyFont="1" applyFill="1" applyBorder="1" applyAlignment="1">
      <alignment horizontal="right"/>
      <protection locked="0" hidden="1"/>
    </xf>
    <xf numFmtId="209" fontId="21" fillId="0" borderId="4" xfId="0" applyNumberFormat="1" applyFont="1" applyFill="1" applyBorder="1" applyAlignment="1">
      <alignment horizontal="left"/>
      <protection locked="0" hidden="1"/>
    </xf>
    <xf numFmtId="165" fontId="22" fillId="0" borderId="8" xfId="0" applyNumberFormat="1" applyFont="1" applyFill="1" applyBorder="1" applyAlignment="1">
      <alignment horizontal="right" indent="1" readingOrder="1"/>
      <protection locked="0" hidden="1"/>
    </xf>
    <xf numFmtId="167" fontId="22" fillId="0" borderId="4" xfId="0" applyNumberFormat="1" applyFont="1" applyFill="1" applyBorder="1" applyAlignment="1">
      <alignment horizontal="right"/>
      <protection locked="0" hidden="1"/>
    </xf>
    <xf numFmtId="167" fontId="22" fillId="0" borderId="8" xfId="0" applyNumberFormat="1" applyFont="1" applyFill="1" applyBorder="1" applyAlignment="1">
      <alignment horizontal="right"/>
      <protection locked="0" hidden="1"/>
    </xf>
    <xf numFmtId="167" fontId="22" fillId="0" borderId="3" xfId="0" applyNumberFormat="1" applyFont="1" applyFill="1" applyBorder="1" applyAlignment="1">
      <alignment horizontal="right"/>
      <protection locked="0" hidden="1"/>
    </xf>
    <xf numFmtId="185" fontId="22" fillId="0" borderId="8" xfId="0" applyNumberFormat="1" applyFont="1" applyFill="1" applyBorder="1" applyAlignment="1">
      <alignment horizontal="right"/>
      <protection locked="0" hidden="1"/>
    </xf>
    <xf numFmtId="179" fontId="22" fillId="0" borderId="8" xfId="0" applyNumberFormat="1" applyFont="1" applyFill="1" applyBorder="1" applyAlignment="1">
      <alignment horizontal="right"/>
      <protection locked="0" hidden="1"/>
    </xf>
    <xf numFmtId="179" fontId="22" fillId="0" borderId="10" xfId="0" applyNumberFormat="1" applyFont="1" applyFill="1" applyBorder="1" applyAlignment="1">
      <alignment horizontal="right"/>
      <protection locked="0" hidden="1"/>
    </xf>
    <xf numFmtId="172" fontId="22" fillId="0" borderId="4" xfId="0" applyNumberFormat="1" applyFont="1" applyFill="1" applyBorder="1" applyAlignment="1">
      <alignment horizontal="right"/>
      <protection locked="0" hidden="1"/>
    </xf>
    <xf numFmtId="188" fontId="22" fillId="0" borderId="8" xfId="0" applyNumberFormat="1" applyFont="1" applyFill="1" applyBorder="1" applyAlignment="1">
      <alignment horizontal="right"/>
      <protection locked="0" hidden="1"/>
    </xf>
    <xf numFmtId="172" fontId="22" fillId="0" borderId="8" xfId="0" applyNumberFormat="1" applyFont="1" applyFill="1" applyBorder="1" applyAlignment="1">
      <alignment horizontal="right"/>
      <protection locked="0" hidden="1"/>
    </xf>
    <xf numFmtId="172" fontId="22" fillId="0" borderId="3" xfId="0" applyNumberFormat="1" applyFont="1" applyFill="1" applyBorder="1" applyAlignment="1">
      <alignment horizontal="right"/>
      <protection locked="0" hidden="1"/>
    </xf>
    <xf numFmtId="187" fontId="22" fillId="0" borderId="3" xfId="0" applyNumberFormat="1" applyFont="1" applyFill="1" applyBorder="1" applyAlignment="1">
      <alignment horizontal="right"/>
      <protection locked="0" hidden="1"/>
    </xf>
    <xf numFmtId="171" fontId="22" fillId="0" borderId="8" xfId="0" applyNumberFormat="1" applyFont="1" applyFill="1" applyBorder="1" applyAlignment="1">
      <alignment horizontal="right"/>
      <protection locked="0" hidden="1"/>
    </xf>
    <xf numFmtId="185" fontId="22" fillId="0" borderId="4" xfId="0" applyNumberFormat="1" applyFont="1" applyFill="1" applyBorder="1" applyAlignment="1">
      <alignment horizontal="right"/>
      <protection locked="0" hidden="1"/>
    </xf>
    <xf numFmtId="184" fontId="22" fillId="0" borderId="8" xfId="0" applyNumberFormat="1" applyFont="1" applyFill="1" applyBorder="1" applyAlignment="1">
      <alignment horizontal="right"/>
      <protection locked="0" hidden="1"/>
    </xf>
    <xf numFmtId="165" fontId="22" fillId="0" borderId="1" xfId="0" applyNumberFormat="1" applyFont="1" applyFill="1" applyBorder="1" applyAlignment="1">
      <protection locked="0" hidden="1"/>
    </xf>
    <xf numFmtId="166" fontId="44" fillId="0" borderId="3" xfId="0" applyFont="1" applyFill="1" applyBorder="1" applyAlignment="1">
      <alignment horizontal="left"/>
      <protection locked="0" hidden="1"/>
    </xf>
    <xf numFmtId="165" fontId="5" fillId="0" borderId="8" xfId="0" applyNumberFormat="1" applyFont="1" applyFill="1" applyBorder="1" applyAlignment="1">
      <alignment horizontal="right" indent="2"/>
      <protection locked="0" hidden="1"/>
    </xf>
    <xf numFmtId="205" fontId="5" fillId="0" borderId="8" xfId="0" applyNumberFormat="1" applyFont="1" applyFill="1" applyBorder="1" applyAlignment="1">
      <alignment horizontal="right" indent="2"/>
      <protection locked="0" hidden="1"/>
    </xf>
    <xf numFmtId="182" fontId="22" fillId="0" borderId="4" xfId="0" applyNumberFormat="1" applyFont="1" applyFill="1" applyBorder="1" applyAlignment="1">
      <protection locked="0" hidden="1"/>
    </xf>
    <xf numFmtId="214" fontId="22" fillId="0" borderId="8" xfId="0" applyNumberFormat="1" applyFont="1" applyFill="1" applyBorder="1" applyAlignment="1">
      <protection locked="0" hidden="1"/>
    </xf>
    <xf numFmtId="169" fontId="22" fillId="0" borderId="3" xfId="0" applyNumberFormat="1" applyFont="1" applyFill="1" applyBorder="1" applyAlignment="1">
      <protection locked="0" hidden="1"/>
    </xf>
    <xf numFmtId="181" fontId="22" fillId="0" borderId="8" xfId="0" applyNumberFormat="1" applyFont="1" applyFill="1" applyBorder="1" applyAlignment="1">
      <protection locked="0" hidden="1"/>
    </xf>
    <xf numFmtId="184" fontId="22" fillId="0" borderId="8" xfId="0" applyNumberFormat="1" applyFont="1" applyFill="1" applyBorder="1" applyAlignment="1">
      <protection locked="0" hidden="1"/>
    </xf>
    <xf numFmtId="187" fontId="22" fillId="0" borderId="42" xfId="0" applyNumberFormat="1" applyFont="1" applyFill="1" applyBorder="1" applyAlignment="1">
      <protection locked="0" hidden="1"/>
    </xf>
    <xf numFmtId="213" fontId="22" fillId="0" borderId="10" xfId="0" applyNumberFormat="1" applyFont="1" applyFill="1" applyBorder="1" applyAlignment="1">
      <protection locked="0" hidden="1"/>
    </xf>
    <xf numFmtId="172" fontId="22" fillId="0" borderId="4" xfId="0" applyNumberFormat="1" applyFont="1" applyFill="1" applyBorder="1" applyAlignment="1">
      <protection locked="0" hidden="1"/>
    </xf>
    <xf numFmtId="204" fontId="22" fillId="0" borderId="8" xfId="0" applyNumberFormat="1" applyFont="1" applyFill="1" applyBorder="1" applyAlignment="1">
      <protection locked="0" hidden="1"/>
    </xf>
    <xf numFmtId="185" fontId="22" fillId="0" borderId="8" xfId="0" applyNumberFormat="1" applyFont="1" applyFill="1" applyBorder="1" applyAlignment="1">
      <protection locked="0" hidden="1"/>
    </xf>
    <xf numFmtId="215" fontId="22" fillId="0" borderId="8" xfId="0" applyNumberFormat="1" applyFont="1" applyFill="1" applyBorder="1" applyAlignment="1">
      <protection locked="0" hidden="1"/>
    </xf>
    <xf numFmtId="167" fontId="22" fillId="0" borderId="42" xfId="0" applyNumberFormat="1" applyFont="1" applyFill="1" applyBorder="1" applyAlignment="1">
      <protection locked="0" hidden="1"/>
    </xf>
    <xf numFmtId="203" fontId="22" fillId="0" borderId="10" xfId="0" applyNumberFormat="1" applyFont="1" applyFill="1" applyBorder="1" applyAlignment="1">
      <protection locked="0" hidden="1"/>
    </xf>
    <xf numFmtId="165" fontId="22" fillId="0" borderId="1" xfId="0" applyNumberFormat="1" applyFont="1" applyFill="1" applyBorder="1" applyAlignment="1">
      <alignment horizontal="right"/>
      <protection locked="0" hidden="1"/>
    </xf>
    <xf numFmtId="189" fontId="22" fillId="0" borderId="4" xfId="0" applyNumberFormat="1" applyFont="1" applyFill="1" applyBorder="1" applyAlignment="1">
      <alignment horizontal="right"/>
      <protection locked="0" hidden="1"/>
    </xf>
    <xf numFmtId="169" fontId="22" fillId="0" borderId="8" xfId="0" applyNumberFormat="1" applyFont="1" applyFill="1" applyBorder="1" applyAlignment="1">
      <alignment horizontal="right"/>
      <protection locked="0" hidden="1"/>
    </xf>
    <xf numFmtId="208" fontId="22" fillId="0" borderId="18" xfId="0" applyNumberFormat="1" applyFont="1" applyFill="1" applyBorder="1" applyAlignment="1">
      <alignment horizontal="right"/>
      <protection locked="0" hidden="1"/>
    </xf>
    <xf numFmtId="208" fontId="22" fillId="0" borderId="10" xfId="0" applyNumberFormat="1" applyFont="1" applyFill="1" applyBorder="1" applyAlignment="1">
      <alignment horizontal="right"/>
      <protection locked="0" hidden="1"/>
    </xf>
    <xf numFmtId="165" fontId="22" fillId="0" borderId="0" xfId="0" applyNumberFormat="1" applyFont="1" applyFill="1" applyAlignment="1">
      <alignment horizontal="right"/>
      <protection locked="0" hidden="1"/>
    </xf>
    <xf numFmtId="166" fontId="12" fillId="0" borderId="4" xfId="0" applyFont="1" applyFill="1" applyBorder="1" applyAlignment="1">
      <alignment horizontal="left"/>
      <protection locked="0" hidden="1"/>
    </xf>
    <xf numFmtId="166" fontId="12" fillId="0" borderId="3" xfId="0" applyFont="1" applyFill="1" applyBorder="1" applyAlignment="1">
      <alignment horizontal="left"/>
      <protection locked="0" hidden="1"/>
    </xf>
    <xf numFmtId="164" fontId="16" fillId="0" borderId="8" xfId="0" applyNumberFormat="1" applyFont="1" applyFill="1" applyBorder="1" applyAlignment="1">
      <alignment horizontal="right" indent="1" readingOrder="1"/>
      <protection locked="0" hidden="1"/>
    </xf>
    <xf numFmtId="165" fontId="16" fillId="0" borderId="8" xfId="0" applyNumberFormat="1" applyFont="1" applyFill="1" applyBorder="1" applyAlignment="1">
      <alignment horizontal="right" indent="1"/>
      <protection locked="0" hidden="1"/>
    </xf>
    <xf numFmtId="165" fontId="16" fillId="0" borderId="8" xfId="0" applyNumberFormat="1" applyFont="1" applyFill="1" applyBorder="1" applyAlignment="1">
      <alignment horizontal="right" indent="1" readingOrder="1"/>
      <protection locked="0" hidden="1"/>
    </xf>
    <xf numFmtId="2" fontId="6" fillId="0" borderId="8" xfId="18" applyNumberFormat="1" applyFont="1" applyFill="1" applyBorder="1" applyAlignment="1">
      <alignment horizontal="center"/>
      <protection locked="0" hidden="1"/>
    </xf>
    <xf numFmtId="2" fontId="6" fillId="0" borderId="8" xfId="18" applyNumberFormat="1" applyFont="1" applyFill="1" applyBorder="1" applyAlignment="1">
      <alignment horizontal="right" indent="1"/>
      <protection locked="0" hidden="1"/>
    </xf>
    <xf numFmtId="2" fontId="6" fillId="0" borderId="8" xfId="18" applyNumberFormat="1" applyFont="1" applyFill="1" applyBorder="1" applyAlignment="1">
      <alignment horizontal="right" indent="3"/>
      <protection locked="0" hidden="1"/>
    </xf>
    <xf numFmtId="2" fontId="6" fillId="0" borderId="8" xfId="18" applyNumberFormat="1" applyFont="1" applyFill="1" applyBorder="1" applyAlignment="1">
      <alignment horizontal="right" indent="2"/>
      <protection locked="0" hidden="1"/>
    </xf>
    <xf numFmtId="218" fontId="22" fillId="0" borderId="8" xfId="0" applyNumberFormat="1" applyFont="1" applyFill="1" applyBorder="1" applyAlignment="1">
      <alignment horizontal="right" indent="2"/>
      <protection locked="0" hidden="1"/>
    </xf>
    <xf numFmtId="210" fontId="22" fillId="0" borderId="8" xfId="0" applyNumberFormat="1" applyFont="1" applyFill="1" applyBorder="1" applyAlignment="1">
      <alignment horizontal="right" indent="2"/>
      <protection locked="0" hidden="1"/>
    </xf>
    <xf numFmtId="196" fontId="22" fillId="0" borderId="8" xfId="0" applyNumberFormat="1" applyFont="1" applyFill="1" applyBorder="1" applyAlignment="1">
      <alignment horizontal="right"/>
      <protection locked="0" hidden="1"/>
    </xf>
    <xf numFmtId="190" fontId="22" fillId="0" borderId="8" xfId="0" applyNumberFormat="1" applyFont="1" applyFill="1" applyBorder="1" applyAlignment="1">
      <protection locked="0" hidden="1"/>
    </xf>
    <xf numFmtId="182" fontId="22" fillId="0" borderId="8" xfId="0" applyNumberFormat="1" applyFont="1" applyFill="1" applyBorder="1" applyAlignment="1">
      <protection locked="0" hidden="1"/>
    </xf>
    <xf numFmtId="175" fontId="22" fillId="0" borderId="8" xfId="0" applyNumberFormat="1" applyFont="1" applyFill="1" applyBorder="1" applyAlignment="1">
      <protection locked="0" hidden="1"/>
    </xf>
    <xf numFmtId="181" fontId="22" fillId="0" borderId="10" xfId="0" applyNumberFormat="1" applyFont="1" applyFill="1" applyBorder="1" applyAlignment="1">
      <protection locked="0" hidden="1"/>
    </xf>
    <xf numFmtId="206" fontId="5" fillId="0" borderId="0" xfId="0" applyNumberFormat="1" applyFont="1" applyFill="1" applyAlignment="1">
      <protection locked="0" hidden="1"/>
    </xf>
    <xf numFmtId="166" fontId="31" fillId="0" borderId="0" xfId="31" applyNumberFormat="1" applyFont="1" applyAlignment="1" applyProtection="1">
      <alignment horizontal="left"/>
      <protection locked="0" hidden="1"/>
    </xf>
    <xf numFmtId="227" fontId="18" fillId="0" borderId="11" xfId="0" applyNumberFormat="1" applyFont="1" applyFill="1" applyBorder="1" applyAlignment="1">
      <alignment horizontal="right" indent="2"/>
      <protection locked="0" hidden="1"/>
    </xf>
    <xf numFmtId="227" fontId="18" fillId="0" borderId="11" xfId="0" applyNumberFormat="1" applyFont="1" applyFill="1" applyBorder="1" applyAlignment="1">
      <alignment horizontal="right" vertical="top" indent="2"/>
      <protection locked="0" hidden="1"/>
    </xf>
    <xf numFmtId="0" fontId="16" fillId="0" borderId="8" xfId="29" applyFont="1" applyBorder="1" applyAlignment="1">
      <alignment horizontal="left" vertical="center" wrapText="1" indent="1"/>
    </xf>
    <xf numFmtId="224" fontId="16" fillId="0" borderId="11" xfId="2" applyNumberFormat="1" applyFont="1" applyFill="1" applyBorder="1" applyAlignment="1" applyProtection="1"/>
    <xf numFmtId="217" fontId="28" fillId="0" borderId="11" xfId="2" applyNumberFormat="1" applyFont="1" applyFill="1" applyBorder="1" applyAlignment="1" applyProtection="1"/>
    <xf numFmtId="212" fontId="29" fillId="0" borderId="8" xfId="2" applyNumberFormat="1" applyFont="1" applyFill="1" applyBorder="1" applyAlignment="1" applyProtection="1"/>
    <xf numFmtId="166" fontId="14" fillId="0" borderId="3" xfId="0" applyFont="1" applyFill="1" applyBorder="1" applyAlignment="1">
      <alignment horizontal="right" vertical="center" readingOrder="2"/>
      <protection locked="0" hidden="1"/>
    </xf>
    <xf numFmtId="166" fontId="6" fillId="0" borderId="0" xfId="0" applyFont="1" applyFill="1" applyAlignment="1">
      <alignment horizontal="right" readingOrder="2"/>
      <protection locked="0" hidden="1"/>
    </xf>
    <xf numFmtId="212" fontId="16" fillId="0" borderId="11" xfId="2" applyNumberFormat="1" applyFont="1" applyFill="1" applyBorder="1" applyAlignment="1" applyProtection="1">
      <alignment vertical="center"/>
    </xf>
    <xf numFmtId="212" fontId="16" fillId="0" borderId="43" xfId="2" applyNumberFormat="1" applyFont="1" applyFill="1" applyBorder="1" applyAlignment="1" applyProtection="1">
      <alignment vertical="center"/>
    </xf>
    <xf numFmtId="197" fontId="22" fillId="0" borderId="11" xfId="0" applyNumberFormat="1" applyFont="1" applyFill="1" applyBorder="1" applyAlignment="1">
      <protection locked="0" hidden="1"/>
    </xf>
    <xf numFmtId="187" fontId="22" fillId="0" borderId="0" xfId="0" applyNumberFormat="1" applyFont="1" applyFill="1" applyAlignment="1">
      <alignment horizontal="right"/>
      <protection locked="0" hidden="1"/>
    </xf>
    <xf numFmtId="172" fontId="22" fillId="0" borderId="0" xfId="0" applyNumberFormat="1" applyFont="1" applyFill="1" applyAlignment="1">
      <alignment horizontal="right"/>
      <protection locked="0" hidden="1"/>
    </xf>
    <xf numFmtId="166" fontId="31" fillId="0" borderId="0" xfId="0" applyFont="1" applyFill="1" applyAlignment="1">
      <protection locked="0" hidden="1"/>
    </xf>
    <xf numFmtId="191" fontId="22" fillId="0" borderId="15" xfId="0" applyNumberFormat="1" applyFont="1" applyFill="1" applyBorder="1" applyAlignment="1">
      <protection locked="0" hidden="1"/>
    </xf>
    <xf numFmtId="164" fontId="22" fillId="0" borderId="11" xfId="0" applyNumberFormat="1" applyFont="1" applyFill="1" applyBorder="1" applyAlignment="1">
      <alignment horizontal="center"/>
      <protection locked="0" hidden="1"/>
    </xf>
    <xf numFmtId="166" fontId="31" fillId="0" borderId="9" xfId="26" applyFont="1" applyFill="1" applyBorder="1" applyAlignment="1" applyProtection="1"/>
    <xf numFmtId="224" fontId="28" fillId="0" borderId="11" xfId="2" applyNumberFormat="1" applyFont="1" applyFill="1" applyBorder="1" applyAlignment="1" applyProtection="1">
      <alignment vertical="center"/>
    </xf>
    <xf numFmtId="217" fontId="28" fillId="0" borderId="11" xfId="2" applyNumberFormat="1" applyFont="1" applyFill="1" applyBorder="1" applyAlignment="1" applyProtection="1">
      <alignment vertical="center"/>
    </xf>
    <xf numFmtId="225" fontId="28" fillId="0" borderId="11" xfId="2" applyNumberFormat="1" applyFont="1" applyFill="1" applyBorder="1" applyAlignment="1" applyProtection="1">
      <alignment horizontal="right" indent="1"/>
    </xf>
    <xf numFmtId="166" fontId="31" fillId="0" borderId="1" xfId="26" applyFont="1" applyFill="1" applyBorder="1" applyAlignment="1">
      <alignment horizontal="left"/>
      <protection locked="0" hidden="1"/>
    </xf>
    <xf numFmtId="224" fontId="16" fillId="0" borderId="11" xfId="2" applyNumberFormat="1" applyFont="1" applyBorder="1"/>
    <xf numFmtId="217" fontId="16" fillId="0" borderId="11" xfId="2" applyNumberFormat="1" applyFont="1" applyBorder="1"/>
    <xf numFmtId="166" fontId="31" fillId="0" borderId="0" xfId="0" applyFont="1" applyFill="1" applyAlignment="1">
      <alignment horizontal="left" vertical="top"/>
      <protection locked="0" hidden="1"/>
    </xf>
    <xf numFmtId="177" fontId="22" fillId="0" borderId="1" xfId="0" applyNumberFormat="1" applyFont="1" applyFill="1" applyBorder="1" applyAlignment="1">
      <alignment horizontal="right" vertical="top"/>
      <protection locked="0" hidden="1"/>
    </xf>
    <xf numFmtId="187" fontId="22" fillId="0" borderId="1" xfId="0" applyNumberFormat="1" applyFont="1" applyFill="1" applyBorder="1" applyAlignment="1">
      <alignment horizontal="right" vertical="top"/>
      <protection locked="0" hidden="1"/>
    </xf>
    <xf numFmtId="172" fontId="22" fillId="0" borderId="1" xfId="0" applyNumberFormat="1" applyFont="1" applyFill="1" applyBorder="1" applyAlignment="1">
      <alignment horizontal="right" vertical="top"/>
      <protection locked="0" hidden="1"/>
    </xf>
    <xf numFmtId="220" fontId="22" fillId="0" borderId="1" xfId="0" applyNumberFormat="1" applyFont="1" applyFill="1" applyBorder="1" applyAlignment="1">
      <alignment horizontal="right" vertical="top"/>
      <protection locked="0" hidden="1"/>
    </xf>
    <xf numFmtId="221" fontId="22" fillId="0" borderId="1" xfId="0" applyNumberFormat="1" applyFont="1" applyFill="1" applyBorder="1" applyAlignment="1">
      <alignment horizontal="right" vertical="top"/>
      <protection locked="0" hidden="1"/>
    </xf>
    <xf numFmtId="223" fontId="22" fillId="0" borderId="1" xfId="0" applyNumberFormat="1" applyFont="1" applyFill="1" applyBorder="1" applyAlignment="1">
      <alignment horizontal="right" vertical="top"/>
      <protection locked="0" hidden="1"/>
    </xf>
    <xf numFmtId="165" fontId="22" fillId="0" borderId="1" xfId="0" applyNumberFormat="1" applyFont="1" applyFill="1" applyBorder="1" applyAlignment="1">
      <alignment horizontal="right" vertical="top" indent="1"/>
      <protection locked="0" hidden="1"/>
    </xf>
    <xf numFmtId="208" fontId="22" fillId="0" borderId="1" xfId="0" applyNumberFormat="1" applyFont="1" applyFill="1" applyBorder="1" applyAlignment="1">
      <alignment horizontal="right" vertical="top"/>
      <protection locked="0" hidden="1"/>
    </xf>
    <xf numFmtId="222" fontId="22" fillId="0" borderId="11" xfId="0" applyNumberFormat="1" applyFont="1" applyFill="1" applyBorder="1" applyAlignment="1">
      <alignment horizontal="right" vertical="top"/>
      <protection locked="0" hidden="1"/>
    </xf>
    <xf numFmtId="165" fontId="22" fillId="0" borderId="11" xfId="0" applyNumberFormat="1" applyFont="1" applyFill="1" applyBorder="1" applyAlignment="1">
      <alignment horizontal="right" indent="1" readingOrder="1"/>
      <protection locked="0" hidden="1"/>
    </xf>
    <xf numFmtId="167" fontId="22" fillId="0" borderId="1" xfId="0" applyNumberFormat="1" applyFont="1" applyFill="1" applyBorder="1" applyAlignment="1">
      <alignment horizontal="right"/>
      <protection locked="0" hidden="1"/>
    </xf>
    <xf numFmtId="167" fontId="22" fillId="0" borderId="11" xfId="0" applyNumberFormat="1" applyFont="1" applyFill="1" applyBorder="1" applyAlignment="1">
      <alignment horizontal="right"/>
      <protection locked="0" hidden="1"/>
    </xf>
    <xf numFmtId="167" fontId="22" fillId="0" borderId="0" xfId="0" applyNumberFormat="1" applyFont="1" applyFill="1" applyAlignment="1">
      <alignment horizontal="right"/>
      <protection locked="0" hidden="1"/>
    </xf>
    <xf numFmtId="185" fontId="22" fillId="0" borderId="11" xfId="0" applyNumberFormat="1" applyFont="1" applyFill="1" applyBorder="1" applyAlignment="1">
      <alignment horizontal="right"/>
      <protection locked="0" hidden="1"/>
    </xf>
    <xf numFmtId="179" fontId="22" fillId="0" borderId="11" xfId="0" applyNumberFormat="1" applyFont="1" applyFill="1" applyBorder="1" applyAlignment="1">
      <alignment horizontal="right"/>
      <protection locked="0" hidden="1"/>
    </xf>
    <xf numFmtId="179" fontId="22" fillId="0" borderId="9" xfId="0" applyNumberFormat="1" applyFont="1" applyFill="1" applyBorder="1" applyAlignment="1">
      <alignment horizontal="right"/>
      <protection locked="0" hidden="1"/>
    </xf>
    <xf numFmtId="172" fontId="22" fillId="0" borderId="1" xfId="0" applyNumberFormat="1" applyFont="1" applyFill="1" applyBorder="1" applyAlignment="1">
      <alignment horizontal="right"/>
      <protection locked="0" hidden="1"/>
    </xf>
    <xf numFmtId="188" fontId="22" fillId="0" borderId="11" xfId="0" applyNumberFormat="1" applyFont="1" applyFill="1" applyBorder="1" applyAlignment="1">
      <alignment horizontal="right"/>
      <protection locked="0" hidden="1"/>
    </xf>
    <xf numFmtId="171" fontId="22" fillId="0" borderId="11" xfId="0" applyNumberFormat="1" applyFont="1" applyFill="1" applyBorder="1" applyAlignment="1">
      <alignment horizontal="right"/>
      <protection locked="0" hidden="1"/>
    </xf>
    <xf numFmtId="185" fontId="22" fillId="0" borderId="1" xfId="0" applyNumberFormat="1" applyFont="1" applyFill="1" applyBorder="1" applyAlignment="1">
      <alignment horizontal="right"/>
      <protection locked="0" hidden="1"/>
    </xf>
    <xf numFmtId="184" fontId="22" fillId="0" borderId="11" xfId="0" applyNumberFormat="1" applyFont="1" applyFill="1" applyBorder="1" applyAlignment="1">
      <alignment horizontal="right"/>
      <protection locked="0" hidden="1"/>
    </xf>
    <xf numFmtId="182" fontId="22" fillId="0" borderId="1" xfId="0" applyNumberFormat="1" applyFont="1" applyFill="1" applyBorder="1" applyAlignment="1">
      <protection locked="0" hidden="1"/>
    </xf>
    <xf numFmtId="214" fontId="22" fillId="0" borderId="11" xfId="0" applyNumberFormat="1" applyFont="1" applyFill="1" applyBorder="1" applyAlignment="1">
      <protection locked="0" hidden="1"/>
    </xf>
    <xf numFmtId="169" fontId="22" fillId="0" borderId="0" xfId="0" applyNumberFormat="1" applyFont="1" applyFill="1" applyAlignment="1">
      <protection locked="0" hidden="1"/>
    </xf>
    <xf numFmtId="181" fontId="22" fillId="0" borderId="11" xfId="0" applyNumberFormat="1" applyFont="1" applyFill="1" applyBorder="1" applyAlignment="1">
      <protection locked="0" hidden="1"/>
    </xf>
    <xf numFmtId="184" fontId="22" fillId="0" borderId="11" xfId="0" applyNumberFormat="1" applyFont="1" applyFill="1" applyBorder="1" applyAlignment="1">
      <protection locked="0" hidden="1"/>
    </xf>
    <xf numFmtId="187" fontId="22" fillId="0" borderId="16" xfId="0" applyNumberFormat="1" applyFont="1" applyFill="1" applyBorder="1" applyAlignment="1">
      <protection locked="0" hidden="1"/>
    </xf>
    <xf numFmtId="213" fontId="22" fillId="0" borderId="9" xfId="0" applyNumberFormat="1" applyFont="1" applyFill="1" applyBorder="1" applyAlignment="1">
      <protection locked="0" hidden="1"/>
    </xf>
    <xf numFmtId="172" fontId="22" fillId="0" borderId="1" xfId="0" applyNumberFormat="1" applyFont="1" applyFill="1" applyBorder="1" applyAlignment="1">
      <protection locked="0" hidden="1"/>
    </xf>
    <xf numFmtId="204" fontId="22" fillId="0" borderId="11" xfId="0" applyNumberFormat="1" applyFont="1" applyFill="1" applyBorder="1" applyAlignment="1">
      <protection locked="0" hidden="1"/>
    </xf>
    <xf numFmtId="185" fontId="22" fillId="0" borderId="11" xfId="0" applyNumberFormat="1" applyFont="1" applyFill="1" applyBorder="1" applyAlignment="1">
      <protection locked="0" hidden="1"/>
    </xf>
    <xf numFmtId="215" fontId="22" fillId="0" borderId="11" xfId="0" applyNumberFormat="1" applyFont="1" applyFill="1" applyBorder="1" applyAlignment="1">
      <protection locked="0" hidden="1"/>
    </xf>
    <xf numFmtId="167" fontId="22" fillId="0" borderId="16" xfId="0" applyNumberFormat="1" applyFont="1" applyFill="1" applyBorder="1" applyAlignment="1">
      <protection locked="0" hidden="1"/>
    </xf>
    <xf numFmtId="203" fontId="22" fillId="0" borderId="9" xfId="0" applyNumberFormat="1" applyFont="1" applyFill="1" applyBorder="1" applyAlignment="1">
      <protection locked="0" hidden="1"/>
    </xf>
    <xf numFmtId="189" fontId="22" fillId="0" borderId="1" xfId="0" applyNumberFormat="1" applyFont="1" applyFill="1" applyBorder="1" applyAlignment="1">
      <alignment horizontal="right"/>
      <protection locked="0" hidden="1"/>
    </xf>
    <xf numFmtId="169" fontId="22" fillId="0" borderId="11" xfId="0" applyNumberFormat="1" applyFont="1" applyFill="1" applyBorder="1" applyAlignment="1">
      <alignment horizontal="right"/>
      <protection locked="0" hidden="1"/>
    </xf>
    <xf numFmtId="208" fontId="22" fillId="0" borderId="15" xfId="0" applyNumberFormat="1" applyFont="1" applyFill="1" applyBorder="1" applyAlignment="1">
      <alignment horizontal="right"/>
      <protection locked="0" hidden="1"/>
    </xf>
    <xf numFmtId="208" fontId="22" fillId="0" borderId="9" xfId="0" applyNumberFormat="1" applyFont="1" applyFill="1" applyBorder="1" applyAlignment="1">
      <alignment horizontal="right"/>
      <protection locked="0" hidden="1"/>
    </xf>
    <xf numFmtId="164" fontId="16" fillId="0" borderId="11" xfId="0" applyNumberFormat="1" applyFont="1" applyFill="1" applyBorder="1" applyAlignment="1">
      <alignment horizontal="right" indent="1" readingOrder="1"/>
      <protection locked="0" hidden="1"/>
    </xf>
    <xf numFmtId="165" fontId="16" fillId="0" borderId="11" xfId="0" applyNumberFormat="1" applyFont="1" applyFill="1" applyBorder="1" applyAlignment="1">
      <alignment horizontal="right" indent="1"/>
      <protection locked="0" hidden="1"/>
    </xf>
    <xf numFmtId="165" fontId="16" fillId="0" borderId="11" xfId="0" applyNumberFormat="1" applyFont="1" applyFill="1" applyBorder="1" applyAlignment="1">
      <alignment horizontal="right" indent="1" readingOrder="1"/>
      <protection locked="0" hidden="1"/>
    </xf>
    <xf numFmtId="2" fontId="6" fillId="0" borderId="11" xfId="18" applyNumberFormat="1" applyFont="1" applyFill="1" applyBorder="1" applyAlignment="1">
      <alignment horizontal="center"/>
      <protection locked="0" hidden="1"/>
    </xf>
    <xf numFmtId="2" fontId="6" fillId="0" borderId="11" xfId="18" applyNumberFormat="1" applyFont="1" applyFill="1" applyBorder="1" applyAlignment="1">
      <alignment horizontal="right" indent="1"/>
      <protection locked="0" hidden="1"/>
    </xf>
    <xf numFmtId="2" fontId="6" fillId="0" borderId="11" xfId="18" applyNumberFormat="1" applyFont="1" applyFill="1" applyBorder="1" applyAlignment="1">
      <alignment horizontal="right" indent="3"/>
      <protection locked="0" hidden="1"/>
    </xf>
    <xf numFmtId="218" fontId="22" fillId="0" borderId="11" xfId="0" applyNumberFormat="1" applyFont="1" applyFill="1" applyBorder="1" applyAlignment="1">
      <alignment horizontal="right" indent="2"/>
      <protection locked="0" hidden="1"/>
    </xf>
    <xf numFmtId="210" fontId="22" fillId="0" borderId="11" xfId="0" applyNumberFormat="1" applyFont="1" applyFill="1" applyBorder="1" applyAlignment="1">
      <alignment horizontal="right" indent="2"/>
      <protection locked="0" hidden="1"/>
    </xf>
    <xf numFmtId="196" fontId="22" fillId="0" borderId="11" xfId="0" applyNumberFormat="1" applyFont="1" applyFill="1" applyBorder="1" applyAlignment="1">
      <alignment horizontal="right"/>
      <protection locked="0" hidden="1"/>
    </xf>
    <xf numFmtId="190" fontId="22" fillId="0" borderId="11" xfId="0" applyNumberFormat="1" applyFont="1" applyFill="1" applyBorder="1" applyAlignment="1">
      <protection locked="0" hidden="1"/>
    </xf>
    <xf numFmtId="182" fontId="22" fillId="0" borderId="11" xfId="0" applyNumberFormat="1" applyFont="1" applyFill="1" applyBorder="1" applyAlignment="1">
      <protection locked="0" hidden="1"/>
    </xf>
    <xf numFmtId="175" fontId="22" fillId="0" borderId="11" xfId="0" applyNumberFormat="1" applyFont="1" applyFill="1" applyBorder="1" applyAlignment="1">
      <protection locked="0" hidden="1"/>
    </xf>
    <xf numFmtId="181" fontId="22" fillId="0" borderId="9" xfId="0" applyNumberFormat="1" applyFont="1" applyFill="1" applyBorder="1" applyAlignment="1">
      <protection locked="0" hidden="1"/>
    </xf>
    <xf numFmtId="171" fontId="22" fillId="0" borderId="11" xfId="0" applyNumberFormat="1" applyFont="1" applyFill="1" applyBorder="1" applyAlignment="1">
      <alignment horizontal="right" vertical="top"/>
      <protection locked="0" hidden="1"/>
    </xf>
    <xf numFmtId="0" fontId="18" fillId="0" borderId="3" xfId="0" applyNumberFormat="1" applyFont="1" applyFill="1" applyBorder="1" applyAlignment="1" applyProtection="1"/>
    <xf numFmtId="0" fontId="19" fillId="0" borderId="12" xfId="0" applyNumberFormat="1" applyFont="1" applyFill="1" applyBorder="1" applyAlignment="1" applyProtection="1">
      <alignment horizontal="center"/>
    </xf>
    <xf numFmtId="0" fontId="19" fillId="0" borderId="44" xfId="0" applyNumberFormat="1" applyFont="1" applyFill="1" applyBorder="1" applyAlignment="1" applyProtection="1">
      <alignment horizontal="center"/>
    </xf>
    <xf numFmtId="0" fontId="12" fillId="0" borderId="15" xfId="0" applyNumberFormat="1" applyFont="1" applyFill="1" applyBorder="1" applyAlignment="1" applyProtection="1">
      <alignment horizontal="center" vertical="center" wrapText="1"/>
    </xf>
    <xf numFmtId="0" fontId="12" fillId="0" borderId="45" xfId="0" applyNumberFormat="1" applyFont="1" applyFill="1" applyBorder="1" applyAlignment="1" applyProtection="1">
      <alignment horizontal="center" vertical="top"/>
    </xf>
    <xf numFmtId="0" fontId="21" fillId="0" borderId="4" xfId="22" applyFont="1" applyBorder="1" applyAlignment="1">
      <alignment horizontal="center" vertical="center" wrapText="1"/>
    </xf>
    <xf numFmtId="0" fontId="21" fillId="0" borderId="46" xfId="22" applyFont="1" applyBorder="1" applyAlignment="1">
      <alignment horizontal="center" vertical="center" wrapText="1"/>
    </xf>
    <xf numFmtId="0" fontId="21" fillId="0" borderId="46" xfId="22" applyFont="1" applyBorder="1" applyAlignment="1">
      <alignment horizontal="center" vertical="center" wrapText="1" readingOrder="1"/>
    </xf>
    <xf numFmtId="219" fontId="22" fillId="0" borderId="4" xfId="0" applyNumberFormat="1" applyFont="1" applyFill="1" applyBorder="1" applyAlignment="1">
      <protection locked="0" hidden="1"/>
    </xf>
    <xf numFmtId="166" fontId="28" fillId="0" borderId="1" xfId="26" applyFont="1" applyFill="1" applyBorder="1" applyAlignment="1" applyProtection="1">
      <alignment vertical="center"/>
    </xf>
    <xf numFmtId="164" fontId="18" fillId="0" borderId="1" xfId="0" applyNumberFormat="1" applyFont="1" applyFill="1" applyBorder="1" applyAlignment="1">
      <protection locked="0" hidden="1"/>
    </xf>
    <xf numFmtId="165" fontId="5" fillId="0" borderId="1" xfId="0" applyNumberFormat="1" applyFont="1" applyFill="1" applyBorder="1" applyAlignment="1">
      <alignment horizontal="right"/>
      <protection locked="0" hidden="1"/>
    </xf>
    <xf numFmtId="166" fontId="22" fillId="0" borderId="11" xfId="0" applyFont="1" applyFill="1" applyBorder="1" applyAlignment="1">
      <alignment horizontal="right" indent="3"/>
      <protection locked="0" hidden="1"/>
    </xf>
    <xf numFmtId="3" fontId="22" fillId="0" borderId="11" xfId="0" applyNumberFormat="1" applyFont="1" applyFill="1" applyBorder="1" applyAlignment="1">
      <alignment horizontal="right" indent="3"/>
      <protection locked="0" hidden="1"/>
    </xf>
    <xf numFmtId="4" fontId="22" fillId="0" borderId="11" xfId="0" applyNumberFormat="1" applyFont="1" applyFill="1" applyBorder="1" applyAlignment="1">
      <alignment horizontal="center"/>
      <protection locked="0" hidden="1"/>
    </xf>
    <xf numFmtId="4" fontId="22" fillId="0" borderId="11" xfId="0" applyNumberFormat="1" applyFont="1" applyFill="1" applyBorder="1" applyAlignment="1">
      <alignment horizontal="right" indent="2"/>
      <protection locked="0" hidden="1"/>
    </xf>
    <xf numFmtId="2" fontId="22" fillId="0" borderId="0" xfId="22" applyNumberFormat="1" applyFont="1" applyAlignment="1">
      <alignment horizontal="right" indent="3"/>
    </xf>
    <xf numFmtId="2" fontId="22" fillId="0" borderId="11" xfId="0" applyNumberFormat="1" applyFont="1" applyFill="1" applyBorder="1" applyAlignment="1">
      <alignment horizontal="right" indent="3"/>
      <protection locked="0" hidden="1"/>
    </xf>
    <xf numFmtId="4" fontId="5" fillId="0" borderId="8" xfId="0" applyNumberFormat="1" applyFont="1" applyFill="1" applyBorder="1" applyAlignment="1" applyProtection="1">
      <protection locked="0"/>
    </xf>
    <xf numFmtId="171" fontId="22" fillId="0" borderId="1" xfId="0" applyNumberFormat="1" applyFont="1" applyFill="1" applyBorder="1" applyAlignment="1">
      <alignment horizontal="right" vertical="top"/>
      <protection locked="0" hidden="1"/>
    </xf>
    <xf numFmtId="168" fontId="22" fillId="0" borderId="11" xfId="26" applyNumberFormat="1" applyFont="1" applyFill="1" applyBorder="1" applyAlignment="1">
      <protection locked="0" hidden="1"/>
    </xf>
    <xf numFmtId="4" fontId="5" fillId="0" borderId="0" xfId="22" applyNumberFormat="1" applyFont="1"/>
    <xf numFmtId="166" fontId="31" fillId="0" borderId="1" xfId="0" applyFont="1" applyFill="1" applyBorder="1" applyAlignment="1" applyProtection="1">
      <alignment horizontal="left"/>
    </xf>
    <xf numFmtId="166" fontId="28" fillId="0" borderId="0" xfId="0" applyFont="1" applyFill="1" applyAlignment="1" applyProtection="1">
      <alignment vertical="center"/>
    </xf>
    <xf numFmtId="206" fontId="28" fillId="0" borderId="0" xfId="0" applyNumberFormat="1" applyFont="1" applyFill="1" applyAlignment="1" applyProtection="1">
      <alignment vertical="center"/>
    </xf>
    <xf numFmtId="223" fontId="22" fillId="0" borderId="11" xfId="0" applyNumberFormat="1" applyFont="1" applyFill="1" applyBorder="1" applyAlignment="1">
      <alignment horizontal="right"/>
      <protection locked="0" hidden="1"/>
    </xf>
    <xf numFmtId="203" fontId="18" fillId="0" borderId="9" xfId="0" applyNumberFormat="1" applyFont="1" applyFill="1" applyBorder="1" applyAlignment="1">
      <protection locked="0" hidden="1"/>
    </xf>
    <xf numFmtId="227" fontId="22" fillId="0" borderId="11" xfId="0" applyNumberFormat="1" applyFont="1" applyFill="1" applyBorder="1" applyAlignment="1">
      <alignment horizontal="right" indent="2"/>
      <protection locked="0" hidden="1"/>
    </xf>
    <xf numFmtId="227" fontId="22" fillId="0" borderId="0" xfId="0" applyNumberFormat="1" applyFont="1" applyFill="1" applyAlignment="1">
      <protection locked="0" hidden="1"/>
    </xf>
    <xf numFmtId="228" fontId="22" fillId="0" borderId="11" xfId="0" applyNumberFormat="1" applyFont="1" applyFill="1" applyBorder="1" applyAlignment="1">
      <protection locked="0" hidden="1"/>
    </xf>
    <xf numFmtId="228" fontId="22" fillId="0" borderId="8" xfId="0" applyNumberFormat="1" applyFont="1" applyFill="1" applyBorder="1" applyAlignment="1">
      <protection locked="0" hidden="1"/>
    </xf>
    <xf numFmtId="229" fontId="22" fillId="0" borderId="11" xfId="0" applyNumberFormat="1" applyFont="1" applyFill="1" applyBorder="1" applyAlignment="1">
      <protection locked="0" hidden="1"/>
    </xf>
    <xf numFmtId="164" fontId="22" fillId="0" borderId="9" xfId="0" applyNumberFormat="1" applyFont="1" applyFill="1" applyBorder="1" applyAlignment="1">
      <alignment horizontal="center"/>
      <protection locked="0" hidden="1"/>
    </xf>
    <xf numFmtId="164" fontId="18" fillId="0" borderId="11" xfId="22" applyNumberFormat="1" applyFont="1" applyBorder="1" applyAlignment="1">
      <alignment horizontal="right" indent="3"/>
    </xf>
    <xf numFmtId="166" fontId="31" fillId="0" borderId="9" xfId="31" applyNumberFormat="1" applyFont="1" applyBorder="1" applyAlignment="1" applyProtection="1">
      <alignment horizontal="left"/>
      <protection locked="0" hidden="1"/>
    </xf>
    <xf numFmtId="166" fontId="31" fillId="0" borderId="9" xfId="27" applyNumberFormat="1" applyFont="1" applyBorder="1" applyAlignment="1" applyProtection="1">
      <alignment horizontal="left"/>
      <protection locked="0" hidden="1"/>
    </xf>
    <xf numFmtId="166" fontId="21" fillId="0" borderId="10" xfId="27" applyNumberFormat="1" applyFont="1" applyBorder="1" applyAlignment="1" applyProtection="1">
      <alignment horizontal="left"/>
      <protection locked="0" hidden="1"/>
    </xf>
    <xf numFmtId="170" fontId="31" fillId="0" borderId="12" xfId="0" applyNumberFormat="1" applyFont="1" applyFill="1" applyBorder="1" applyAlignment="1">
      <alignment horizontal="right"/>
      <protection locked="0" hidden="1"/>
    </xf>
    <xf numFmtId="189" fontId="18" fillId="0" borderId="11" xfId="0" applyNumberFormat="1" applyFont="1" applyFill="1" applyBorder="1" applyAlignment="1">
      <alignment horizontal="center"/>
      <protection locked="0" hidden="1"/>
    </xf>
    <xf numFmtId="165" fontId="29" fillId="0" borderId="9" xfId="0" applyNumberFormat="1" applyFont="1" applyFill="1" applyBorder="1" applyAlignment="1" applyProtection="1">
      <alignment horizontal="right" indent="2"/>
    </xf>
    <xf numFmtId="165" fontId="18" fillId="0" borderId="1" xfId="0" applyNumberFormat="1" applyFont="1" applyFill="1" applyBorder="1" applyAlignment="1">
      <alignment horizontal="right"/>
      <protection locked="0" hidden="1"/>
    </xf>
    <xf numFmtId="206" fontId="18" fillId="0" borderId="1" xfId="0" applyNumberFormat="1" applyFont="1" applyFill="1" applyBorder="1" applyAlignment="1">
      <protection locked="0" hidden="1"/>
    </xf>
    <xf numFmtId="166" fontId="22" fillId="0" borderId="1" xfId="26" applyFont="1" applyFill="1" applyBorder="1" applyAlignment="1">
      <alignment horizontal="right" indent="3"/>
      <protection locked="0" hidden="1"/>
    </xf>
    <xf numFmtId="3" fontId="22" fillId="0" borderId="11" xfId="26" applyNumberFormat="1" applyFont="1" applyFill="1" applyBorder="1" applyAlignment="1">
      <alignment horizontal="right" indent="2"/>
      <protection locked="0" hidden="1"/>
    </xf>
    <xf numFmtId="3" fontId="22" fillId="0" borderId="11" xfId="26" applyNumberFormat="1" applyFont="1" applyFill="1" applyBorder="1" applyAlignment="1">
      <alignment horizontal="right" indent="3"/>
      <protection locked="0" hidden="1"/>
    </xf>
    <xf numFmtId="4" fontId="22" fillId="0" borderId="11" xfId="26" applyNumberFormat="1" applyFont="1" applyFill="1" applyBorder="1" applyAlignment="1">
      <alignment horizontal="center"/>
      <protection locked="0" hidden="1"/>
    </xf>
    <xf numFmtId="4" fontId="22" fillId="0" borderId="11" xfId="26" applyNumberFormat="1" applyFont="1" applyFill="1" applyBorder="1" applyAlignment="1">
      <alignment horizontal="right" indent="2"/>
      <protection locked="0" hidden="1"/>
    </xf>
    <xf numFmtId="2" fontId="22" fillId="0" borderId="11" xfId="22" applyNumberFormat="1" applyFont="1" applyBorder="1" applyAlignment="1">
      <alignment horizontal="right" indent="3"/>
    </xf>
    <xf numFmtId="2" fontId="22" fillId="0" borderId="11" xfId="26" applyNumberFormat="1" applyFont="1" applyFill="1" applyBorder="1" applyAlignment="1">
      <alignment horizontal="right" indent="3"/>
      <protection locked="0" hidden="1"/>
    </xf>
    <xf numFmtId="3" fontId="8" fillId="0" borderId="11" xfId="22" applyNumberFormat="1" applyFont="1" applyBorder="1" applyAlignment="1">
      <alignment horizontal="center" readingOrder="1"/>
    </xf>
    <xf numFmtId="197" fontId="18" fillId="0" borderId="0" xfId="0" applyNumberFormat="1" applyFont="1" applyFill="1" applyAlignment="1">
      <protection locked="0" hidden="1"/>
    </xf>
    <xf numFmtId="197" fontId="18" fillId="0" borderId="3" xfId="0" applyNumberFormat="1" applyFont="1" applyFill="1" applyBorder="1" applyAlignment="1">
      <protection locked="0" hidden="1"/>
    </xf>
    <xf numFmtId="197" fontId="18" fillId="0" borderId="8" xfId="0" applyNumberFormat="1" applyFont="1" applyFill="1" applyBorder="1" applyAlignment="1">
      <protection locked="0" hidden="1"/>
    </xf>
    <xf numFmtId="197" fontId="18" fillId="0" borderId="10" xfId="0" applyNumberFormat="1" applyFont="1" applyFill="1" applyBorder="1" applyAlignment="1">
      <protection locked="0" hidden="1"/>
    </xf>
    <xf numFmtId="165" fontId="6" fillId="0" borderId="11" xfId="0" applyNumberFormat="1" applyFont="1" applyFill="1" applyBorder="1" applyAlignment="1" applyProtection="1">
      <alignment horizontal="right" indent="1"/>
    </xf>
    <xf numFmtId="165" fontId="12" fillId="0" borderId="11" xfId="26" applyNumberFormat="1" applyFont="1" applyFill="1" applyBorder="1" applyAlignment="1" applyProtection="1">
      <alignment horizontal="right" indent="2"/>
    </xf>
    <xf numFmtId="165" fontId="12" fillId="0" borderId="11" xfId="26" applyNumberFormat="1" applyFont="1" applyFill="1" applyBorder="1" applyAlignment="1" applyProtection="1">
      <alignment horizontal="right" indent="1"/>
    </xf>
    <xf numFmtId="165" fontId="6" fillId="0" borderId="11" xfId="26" applyNumberFormat="1" applyFont="1" applyFill="1" applyBorder="1" applyAlignment="1" applyProtection="1">
      <alignment horizontal="right" indent="1"/>
    </xf>
    <xf numFmtId="165" fontId="6" fillId="0" borderId="11" xfId="26" applyNumberFormat="1" applyFont="1" applyFill="1" applyBorder="1" applyAlignment="1" applyProtection="1">
      <alignment horizontal="right" indent="2"/>
    </xf>
    <xf numFmtId="0" fontId="16" fillId="5" borderId="23" xfId="28" applyFont="1" applyFill="1" applyBorder="1" applyAlignment="1">
      <alignment horizontal="left" vertical="center" wrapText="1"/>
    </xf>
    <xf numFmtId="0" fontId="12" fillId="0" borderId="11" xfId="0" applyNumberFormat="1" applyFont="1" applyFill="1" applyBorder="1" applyAlignment="1" applyProtection="1">
      <alignment horizontal="center" wrapText="1"/>
    </xf>
    <xf numFmtId="166" fontId="6" fillId="0" borderId="0" xfId="0" applyFont="1" applyFill="1" applyAlignment="1">
      <alignment horizontal="left"/>
      <protection locked="0" hidden="1"/>
    </xf>
    <xf numFmtId="0" fontId="16" fillId="8" borderId="23" xfId="28" applyFont="1" applyFill="1" applyBorder="1" applyAlignment="1">
      <alignment horizontal="left" vertical="top" wrapText="1"/>
    </xf>
    <xf numFmtId="0" fontId="16" fillId="5" borderId="23" xfId="28" applyFont="1" applyFill="1" applyBorder="1" applyAlignment="1">
      <alignment horizontal="left" vertical="center" wrapText="1"/>
    </xf>
    <xf numFmtId="0" fontId="14" fillId="0" borderId="2" xfId="0" applyNumberFormat="1" applyFont="1" applyFill="1" applyBorder="1" applyAlignment="1" applyProtection="1">
      <alignment horizontal="center"/>
    </xf>
    <xf numFmtId="0" fontId="14" fillId="0" borderId="6"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
    </xf>
    <xf numFmtId="0" fontId="12" fillId="0" borderId="10" xfId="0" applyNumberFormat="1" applyFont="1" applyFill="1" applyBorder="1" applyAlignment="1" applyProtection="1">
      <alignment horizontal="center"/>
    </xf>
    <xf numFmtId="166" fontId="14" fillId="0" borderId="2" xfId="0" applyFont="1" applyFill="1" applyBorder="1" applyAlignment="1">
      <alignment horizontal="center" readingOrder="2"/>
      <protection locked="0" hidden="1"/>
    </xf>
    <xf numFmtId="166" fontId="14" fillId="0" borderId="6" xfId="0" applyFont="1" applyFill="1" applyBorder="1" applyAlignment="1">
      <alignment horizontal="center" readingOrder="2"/>
      <protection locked="0" hidden="1"/>
    </xf>
    <xf numFmtId="166" fontId="14" fillId="0" borderId="1" xfId="0" applyFont="1" applyFill="1" applyBorder="1" applyAlignment="1">
      <alignment horizontal="center" readingOrder="2"/>
      <protection locked="0" hidden="1"/>
    </xf>
    <xf numFmtId="166" fontId="14" fillId="0" borderId="9" xfId="0" applyFont="1" applyFill="1" applyBorder="1" applyAlignment="1">
      <alignment horizontal="center" readingOrder="2"/>
      <protection locked="0" hidden="1"/>
    </xf>
    <xf numFmtId="0" fontId="8" fillId="0" borderId="0" xfId="22" applyFont="1" applyAlignment="1">
      <alignment horizontal="center" vertical="center" textRotation="90"/>
    </xf>
    <xf numFmtId="0" fontId="12" fillId="0" borderId="11" xfId="0" applyNumberFormat="1" applyFont="1" applyFill="1" applyBorder="1" applyAlignment="1" applyProtection="1">
      <alignment horizontal="center" wrapText="1"/>
    </xf>
    <xf numFmtId="0" fontId="14" fillId="0" borderId="2" xfId="0" applyNumberFormat="1" applyFont="1" applyFill="1" applyBorder="1" applyAlignment="1" applyProtection="1">
      <alignment horizontal="center" vertical="center" wrapText="1" readingOrder="2"/>
    </xf>
    <xf numFmtId="0" fontId="14" fillId="0" borderId="6" xfId="0" applyNumberFormat="1" applyFont="1" applyFill="1" applyBorder="1" applyAlignment="1" applyProtection="1">
      <alignment horizontal="center" vertical="center" wrapText="1" readingOrder="2"/>
    </xf>
    <xf numFmtId="0" fontId="14" fillId="0" borderId="1" xfId="0" applyNumberFormat="1" applyFont="1" applyFill="1" applyBorder="1" applyAlignment="1" applyProtection="1">
      <alignment horizontal="center" vertical="center" wrapText="1" readingOrder="2"/>
    </xf>
    <xf numFmtId="0" fontId="14" fillId="0" borderId="9" xfId="0" applyNumberFormat="1" applyFont="1" applyFill="1" applyBorder="1" applyAlignment="1" applyProtection="1">
      <alignment horizontal="center" vertical="center" wrapText="1" readingOrder="2"/>
    </xf>
    <xf numFmtId="0" fontId="14" fillId="0" borderId="4" xfId="0" applyNumberFormat="1" applyFont="1" applyFill="1" applyBorder="1" applyAlignment="1" applyProtection="1">
      <alignment horizontal="center" vertical="center" wrapText="1" readingOrder="2"/>
    </xf>
    <xf numFmtId="0" fontId="14" fillId="0" borderId="10" xfId="0" applyNumberFormat="1" applyFont="1" applyFill="1" applyBorder="1" applyAlignment="1" applyProtection="1">
      <alignment horizontal="center" vertical="center" wrapText="1" readingOrder="2"/>
    </xf>
    <xf numFmtId="166" fontId="12" fillId="0" borderId="11" xfId="0" applyFont="1" applyFill="1" applyBorder="1" applyAlignment="1">
      <alignment horizontal="center" vertical="center" wrapText="1"/>
      <protection locked="0" hidden="1"/>
    </xf>
    <xf numFmtId="166" fontId="12" fillId="0" borderId="8" xfId="0" applyFont="1" applyFill="1" applyBorder="1" applyAlignment="1">
      <alignment horizontal="center" vertical="center" wrapText="1"/>
      <protection locked="0" hidden="1"/>
    </xf>
    <xf numFmtId="166" fontId="12" fillId="0" borderId="11" xfId="0" applyFont="1" applyFill="1" applyBorder="1" applyAlignment="1">
      <alignment horizontal="center" vertical="center" wrapText="1" readingOrder="1"/>
      <protection locked="0" hidden="1"/>
    </xf>
    <xf numFmtId="166" fontId="12" fillId="0" borderId="8" xfId="0" applyFont="1" applyFill="1" applyBorder="1" applyAlignment="1">
      <alignment horizontal="center" vertical="center" wrapText="1" readingOrder="1"/>
      <protection locked="0" hidden="1"/>
    </xf>
    <xf numFmtId="166" fontId="6" fillId="0" borderId="0" xfId="0" applyFont="1" applyFill="1" applyAlignment="1">
      <alignment horizontal="left"/>
      <protection locked="0" hidden="1"/>
    </xf>
    <xf numFmtId="0" fontId="19" fillId="0" borderId="1" xfId="22" applyFont="1" applyBorder="1" applyAlignment="1">
      <alignment horizontal="center" vertical="center"/>
    </xf>
    <xf numFmtId="0" fontId="19" fillId="0" borderId="9" xfId="22" applyFont="1" applyBorder="1" applyAlignment="1">
      <alignment horizontal="center" vertical="center"/>
    </xf>
    <xf numFmtId="0" fontId="19" fillId="0" borderId="4" xfId="22" applyFont="1" applyBorder="1" applyAlignment="1">
      <alignment horizontal="center" vertical="center"/>
    </xf>
    <xf numFmtId="0" fontId="19" fillId="0" borderId="10" xfId="22" applyFont="1" applyBorder="1" applyAlignment="1">
      <alignment horizontal="center" vertical="center"/>
    </xf>
    <xf numFmtId="0" fontId="19" fillId="0" borderId="4" xfId="22" applyFont="1" applyBorder="1" applyAlignment="1">
      <alignment horizontal="center" vertical="center" readingOrder="2"/>
    </xf>
    <xf numFmtId="0" fontId="19" fillId="0" borderId="10" xfId="22" applyFont="1" applyBorder="1" applyAlignment="1">
      <alignment horizontal="center" vertical="center" readingOrder="2"/>
    </xf>
    <xf numFmtId="0" fontId="19" fillId="0" borderId="1" xfId="22" applyFont="1" applyBorder="1" applyAlignment="1">
      <alignment horizontal="center" vertical="center" readingOrder="2"/>
    </xf>
    <xf numFmtId="0" fontId="19" fillId="0" borderId="9" xfId="22" applyFont="1" applyBorder="1" applyAlignment="1">
      <alignment horizontal="center" vertical="center" readingOrder="2"/>
    </xf>
    <xf numFmtId="0" fontId="7" fillId="0" borderId="0" xfId="22" applyFont="1" applyAlignment="1">
      <alignment horizontal="center" vertical="top"/>
    </xf>
    <xf numFmtId="0" fontId="12" fillId="0" borderId="0" xfId="22" applyFont="1" applyAlignment="1">
      <alignment horizontal="center" vertical="top"/>
    </xf>
    <xf numFmtId="0" fontId="6" fillId="0" borderId="0" xfId="27" applyFont="1" applyAlignment="1" applyProtection="1">
      <alignment horizontal="left"/>
      <protection locked="0" hidden="1"/>
    </xf>
    <xf numFmtId="0" fontId="19" fillId="0" borderId="2" xfId="22" applyFont="1" applyBorder="1" applyAlignment="1">
      <alignment horizontal="center"/>
    </xf>
    <xf numFmtId="0" fontId="19" fillId="0" borderId="6" xfId="22" applyFont="1" applyBorder="1" applyAlignment="1">
      <alignment horizontal="center"/>
    </xf>
    <xf numFmtId="0" fontId="7" fillId="0" borderId="0" xfId="22" applyFont="1" applyAlignment="1">
      <alignment horizontal="center"/>
    </xf>
    <xf numFmtId="0" fontId="12" fillId="0" borderId="0" xfId="22" applyFont="1" applyAlignment="1">
      <alignment horizontal="center"/>
    </xf>
    <xf numFmtId="0" fontId="19" fillId="0" borderId="7" xfId="22" applyFont="1" applyBorder="1" applyAlignment="1">
      <alignment horizontal="center"/>
    </xf>
    <xf numFmtId="0" fontId="19" fillId="0" borderId="3" xfId="22" applyFont="1" applyBorder="1" applyAlignment="1">
      <alignment horizontal="center" vertical="center"/>
    </xf>
    <xf numFmtId="0" fontId="21" fillId="0" borderId="2" xfId="22" applyFont="1" applyBorder="1" applyAlignment="1">
      <alignment horizontal="center" vertical="center" wrapText="1"/>
    </xf>
    <xf numFmtId="0" fontId="21" fillId="0" borderId="6" xfId="22" applyFont="1" applyBorder="1" applyAlignment="1">
      <alignment horizontal="center" vertical="center" wrapText="1"/>
    </xf>
    <xf numFmtId="0" fontId="21" fillId="0" borderId="4" xfId="22" applyFont="1" applyBorder="1" applyAlignment="1">
      <alignment horizontal="center" vertical="center" wrapText="1"/>
    </xf>
    <xf numFmtId="0" fontId="21" fillId="0" borderId="10" xfId="22" applyFont="1" applyBorder="1" applyAlignment="1">
      <alignment horizontal="center" vertical="center" wrapText="1"/>
    </xf>
    <xf numFmtId="0" fontId="21" fillId="0" borderId="4" xfId="22" applyFont="1" applyBorder="1" applyAlignment="1">
      <alignment horizontal="center" vertical="center" wrapText="1" readingOrder="1"/>
    </xf>
    <xf numFmtId="0" fontId="21" fillId="0" borderId="10" xfId="22" applyFont="1" applyBorder="1" applyAlignment="1">
      <alignment horizontal="center" vertical="center" wrapText="1" readingOrder="1"/>
    </xf>
    <xf numFmtId="0" fontId="42" fillId="0" borderId="4" xfId="0" applyNumberFormat="1" applyFont="1" applyFill="1" applyBorder="1" applyAlignment="1" applyProtection="1">
      <alignment horizontal="center" vertical="top" wrapText="1" readingOrder="1"/>
    </xf>
    <xf numFmtId="0" fontId="42" fillId="0" borderId="11" xfId="0" applyNumberFormat="1" applyFont="1" applyFill="1" applyBorder="1" applyAlignment="1" applyProtection="1">
      <alignment horizontal="center" vertical="center" wrapText="1" readingOrder="1"/>
    </xf>
    <xf numFmtId="0" fontId="42" fillId="0" borderId="8" xfId="0" applyNumberFormat="1" applyFont="1" applyFill="1" applyBorder="1" applyAlignment="1" applyProtection="1">
      <alignment horizontal="center" vertical="center" wrapText="1" readingOrder="1"/>
    </xf>
    <xf numFmtId="0" fontId="42" fillId="0" borderId="12" xfId="0" applyNumberFormat="1" applyFont="1" applyFill="1" applyBorder="1" applyAlignment="1" applyProtection="1">
      <alignment horizontal="center" vertical="center" wrapText="1" readingOrder="1"/>
    </xf>
    <xf numFmtId="0" fontId="42" fillId="0" borderId="2" xfId="0" applyNumberFormat="1" applyFont="1" applyFill="1" applyBorder="1" applyAlignment="1" applyProtection="1">
      <alignment horizontal="center" readingOrder="1"/>
    </xf>
    <xf numFmtId="0" fontId="42" fillId="0" borderId="4" xfId="0" applyNumberFormat="1" applyFont="1" applyFill="1" applyBorder="1" applyAlignment="1" applyProtection="1">
      <alignment horizontal="center" vertical="top" readingOrder="1"/>
    </xf>
    <xf numFmtId="0" fontId="42" fillId="0" borderId="2" xfId="0" applyNumberFormat="1" applyFont="1" applyFill="1" applyBorder="1" applyAlignment="1" applyProtection="1">
      <alignment horizontal="center" vertical="center" wrapText="1" readingOrder="1"/>
    </xf>
    <xf numFmtId="0" fontId="42" fillId="0" borderId="2" xfId="0" applyNumberFormat="1" applyFont="1" applyFill="1" applyBorder="1" applyAlignment="1" applyProtection="1">
      <alignment horizontal="center" wrapText="1" readingOrder="1"/>
    </xf>
    <xf numFmtId="0" fontId="42" fillId="0" borderId="6" xfId="0" applyNumberFormat="1" applyFont="1" applyFill="1" applyBorder="1" applyAlignment="1" applyProtection="1">
      <alignment horizontal="center" wrapText="1" readingOrder="1"/>
    </xf>
    <xf numFmtId="0" fontId="42" fillId="0" borderId="1" xfId="0" applyNumberFormat="1" applyFont="1" applyFill="1" applyBorder="1" applyAlignment="1" applyProtection="1">
      <alignment horizontal="center" wrapText="1" readingOrder="1"/>
    </xf>
    <xf numFmtId="0" fontId="42" fillId="0" borderId="9" xfId="0" applyNumberFormat="1" applyFont="1" applyFill="1" applyBorder="1" applyAlignment="1" applyProtection="1">
      <alignment horizontal="center" wrapText="1" readingOrder="1"/>
    </xf>
    <xf numFmtId="166" fontId="29" fillId="0" borderId="2" xfId="26" applyFont="1" applyFill="1" applyBorder="1" applyAlignment="1" applyProtection="1">
      <alignment horizontal="center" vertical="center" wrapText="1"/>
    </xf>
    <xf numFmtId="166" fontId="29" fillId="0" borderId="7" xfId="26" applyFont="1" applyFill="1" applyBorder="1" applyAlignment="1" applyProtection="1">
      <alignment horizontal="center" vertical="center" wrapText="1"/>
    </xf>
    <xf numFmtId="166" fontId="29" fillId="0" borderId="6"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wrapText="1"/>
    </xf>
    <xf numFmtId="166" fontId="29" fillId="0" borderId="3" xfId="26" applyFont="1" applyFill="1" applyBorder="1" applyAlignment="1" applyProtection="1">
      <alignment horizontal="center" vertical="center" wrapText="1"/>
    </xf>
    <xf numFmtId="166" fontId="29" fillId="0" borderId="10" xfId="26" applyFont="1" applyFill="1" applyBorder="1" applyAlignment="1" applyProtection="1">
      <alignment horizontal="center" vertical="center" wrapText="1"/>
    </xf>
    <xf numFmtId="166" fontId="38" fillId="0" borderId="12" xfId="0" applyFont="1" applyFill="1" applyBorder="1" applyAlignment="1">
      <alignment horizontal="center" vertical="center"/>
      <protection locked="0" hidden="1"/>
    </xf>
    <xf numFmtId="166" fontId="38" fillId="0" borderId="11" xfId="0" applyFont="1" applyFill="1" applyBorder="1" applyAlignment="1">
      <alignment horizontal="center" vertical="center"/>
      <protection locked="0" hidden="1"/>
    </xf>
    <xf numFmtId="166" fontId="38" fillId="0" borderId="8" xfId="0" applyFont="1" applyFill="1" applyBorder="1" applyAlignment="1">
      <alignment horizontal="center" vertical="center"/>
      <protection locked="0" hidden="1"/>
    </xf>
    <xf numFmtId="166" fontId="29" fillId="0" borderId="12" xfId="0" applyFont="1" applyFill="1" applyBorder="1" applyAlignment="1">
      <alignment horizontal="center" vertical="center" wrapText="1"/>
      <protection locked="0" hidden="1"/>
    </xf>
    <xf numFmtId="166" fontId="29" fillId="0" borderId="11" xfId="0" applyFont="1" applyFill="1" applyBorder="1" applyAlignment="1">
      <alignment horizontal="center" vertical="center" wrapText="1"/>
      <protection locked="0" hidden="1"/>
    </xf>
    <xf numFmtId="166" fontId="29" fillId="0" borderId="8" xfId="0" applyFont="1" applyFill="1" applyBorder="1" applyAlignment="1">
      <alignment horizontal="center" vertical="center" wrapText="1"/>
      <protection locked="0" hidden="1"/>
    </xf>
    <xf numFmtId="166" fontId="29" fillId="0" borderId="12" xfId="0" applyFont="1" applyFill="1" applyBorder="1" applyAlignment="1">
      <alignment horizontal="center" vertical="center"/>
      <protection locked="0" hidden="1"/>
    </xf>
    <xf numFmtId="166" fontId="29" fillId="0" borderId="11" xfId="0" applyFont="1" applyFill="1" applyBorder="1" applyAlignment="1">
      <alignment horizontal="center" vertical="center"/>
      <protection locked="0" hidden="1"/>
    </xf>
    <xf numFmtId="166" fontId="29" fillId="0" borderId="21" xfId="0" applyFont="1" applyFill="1" applyBorder="1" applyAlignment="1">
      <alignment horizontal="center" vertical="center"/>
      <protection locked="0" hidden="1"/>
    </xf>
    <xf numFmtId="166" fontId="29" fillId="0" borderId="5" xfId="0" applyFont="1" applyFill="1" applyBorder="1" applyAlignment="1">
      <alignment horizontal="center" vertical="center"/>
      <protection locked="0" hidden="1"/>
    </xf>
    <xf numFmtId="166" fontId="29" fillId="0" borderId="22" xfId="0" applyFont="1" applyFill="1" applyBorder="1" applyAlignment="1">
      <alignment horizontal="center" vertical="center"/>
      <protection locked="0" hidden="1"/>
    </xf>
    <xf numFmtId="166" fontId="29" fillId="0" borderId="8" xfId="0" applyFont="1" applyFill="1" applyBorder="1" applyAlignment="1">
      <alignment horizontal="center" vertical="center"/>
      <protection locked="0" hidden="1"/>
    </xf>
    <xf numFmtId="0" fontId="8" fillId="0" borderId="0" xfId="20" applyFont="1" applyAlignment="1">
      <alignment horizontal="left" wrapText="1"/>
    </xf>
    <xf numFmtId="0" fontId="10" fillId="0" borderId="0" xfId="20" applyFont="1" applyAlignment="1">
      <alignment horizontal="right" wrapText="1" readingOrder="2"/>
    </xf>
    <xf numFmtId="0" fontId="12" fillId="0" borderId="11" xfId="22" applyFont="1" applyBorder="1" applyAlignment="1">
      <alignment horizontal="center" vertical="center"/>
    </xf>
    <xf numFmtId="0" fontId="12" fillId="0" borderId="8" xfId="22" applyFont="1" applyBorder="1" applyAlignment="1">
      <alignment horizontal="center" vertical="center"/>
    </xf>
    <xf numFmtId="166" fontId="9" fillId="0" borderId="12" xfId="0" applyFont="1" applyFill="1" applyBorder="1" applyAlignment="1">
      <alignment horizontal="center" wrapText="1" readingOrder="2"/>
      <protection locked="0" hidden="1"/>
    </xf>
    <xf numFmtId="166" fontId="9" fillId="0" borderId="11" xfId="0" applyFont="1" applyFill="1" applyBorder="1" applyAlignment="1">
      <alignment horizontal="center" wrapText="1" readingOrder="2"/>
      <protection locked="0" hidden="1"/>
    </xf>
    <xf numFmtId="166" fontId="8" fillId="0" borderId="0" xfId="0" applyFont="1" applyFill="1" applyAlignment="1">
      <alignment horizontal="center" vertical="center" textRotation="90"/>
      <protection locked="0" hidden="1"/>
    </xf>
    <xf numFmtId="0" fontId="52" fillId="0" borderId="0" xfId="21" applyFont="1" applyAlignment="1">
      <alignment horizontal="centerContinuous" vertical="center" readingOrder="2"/>
    </xf>
    <xf numFmtId="0" fontId="5" fillId="0" borderId="0" xfId="21" applyFont="1" applyAlignment="1">
      <alignment horizontal="centerContinuous"/>
    </xf>
    <xf numFmtId="0" fontId="5" fillId="0" borderId="0" xfId="21" applyFont="1"/>
    <xf numFmtId="0" fontId="39" fillId="0" borderId="0" xfId="21" applyFont="1" applyAlignment="1">
      <alignment horizontal="centerContinuous" vertical="center"/>
    </xf>
    <xf numFmtId="0" fontId="29" fillId="0" borderId="12" xfId="21" applyFont="1" applyBorder="1" applyAlignment="1">
      <alignment horizontal="center" vertical="center"/>
    </xf>
    <xf numFmtId="0" fontId="44" fillId="0" borderId="6" xfId="21" applyFont="1" applyBorder="1" applyAlignment="1">
      <alignment horizontal="centerContinuous" vertical="center"/>
    </xf>
    <xf numFmtId="0" fontId="39" fillId="0" borderId="12" xfId="21" applyFont="1" applyBorder="1" applyAlignment="1">
      <alignment horizontal="center" vertical="center"/>
    </xf>
    <xf numFmtId="0" fontId="29" fillId="0" borderId="11" xfId="21" applyFont="1" applyBorder="1" applyAlignment="1">
      <alignment horizontal="center" vertical="center"/>
    </xf>
    <xf numFmtId="0" fontId="29" fillId="0" borderId="12" xfId="21" applyFont="1" applyBorder="1" applyAlignment="1">
      <alignment horizontal="center" vertical="top"/>
    </xf>
    <xf numFmtId="0" fontId="39" fillId="0" borderId="11" xfId="21" applyFont="1" applyBorder="1" applyAlignment="1">
      <alignment horizontal="center" vertical="center"/>
    </xf>
    <xf numFmtId="0" fontId="5" fillId="0" borderId="0" xfId="21" applyFont="1" applyAlignment="1">
      <alignment vertical="top"/>
    </xf>
    <xf numFmtId="0" fontId="29" fillId="0" borderId="11" xfId="21" applyFont="1" applyBorder="1" applyAlignment="1">
      <alignment horizontal="center" vertical="top"/>
    </xf>
    <xf numFmtId="0" fontId="29" fillId="0" borderId="8" xfId="21" applyFont="1" applyBorder="1" applyAlignment="1">
      <alignment horizontal="center" vertical="center"/>
    </xf>
    <xf numFmtId="0" fontId="44" fillId="0" borderId="8" xfId="21" applyFont="1" applyBorder="1" applyAlignment="1">
      <alignment horizontal="center"/>
    </xf>
    <xf numFmtId="0" fontId="39" fillId="0" borderId="8" xfId="21" applyFont="1" applyBorder="1" applyAlignment="1">
      <alignment horizontal="center" vertical="center"/>
    </xf>
    <xf numFmtId="166" fontId="44" fillId="0" borderId="25" xfId="0" applyFont="1" applyFill="1" applyBorder="1" applyAlignment="1">
      <alignment horizontal="left" indent="1"/>
      <protection locked="0" hidden="1"/>
    </xf>
    <xf numFmtId="166" fontId="5" fillId="3" borderId="6" xfId="0" applyFont="1" applyFill="1" applyBorder="1" applyAlignment="1">
      <alignment horizontal="right" indent="1"/>
      <protection locked="0" hidden="1"/>
    </xf>
    <xf numFmtId="166" fontId="31" fillId="0" borderId="6" xfId="0" applyFont="1" applyFill="1" applyBorder="1" applyAlignment="1">
      <alignment horizontal="right" indent="1" readingOrder="2"/>
      <protection locked="0" hidden="1"/>
    </xf>
    <xf numFmtId="166" fontId="5" fillId="0" borderId="27" xfId="0" applyFont="1" applyFill="1" applyBorder="1" applyAlignment="1">
      <alignment horizontal="left" vertical="center" indent="2"/>
      <protection locked="0" hidden="1"/>
    </xf>
    <xf numFmtId="166" fontId="22" fillId="0" borderId="27" xfId="0" applyFont="1" applyFill="1" applyBorder="1" applyAlignment="1">
      <alignment horizontal="right" indent="1" readingOrder="2"/>
      <protection locked="0" hidden="1"/>
    </xf>
    <xf numFmtId="166" fontId="44" fillId="0" borderId="27" xfId="0" applyFont="1" applyFill="1" applyBorder="1" applyAlignment="1">
      <alignment horizontal="left" indent="1"/>
      <protection locked="0" hidden="1"/>
    </xf>
    <xf numFmtId="166" fontId="31" fillId="0" borderId="27" xfId="0" applyFont="1" applyFill="1" applyBorder="1" applyAlignment="1">
      <alignment horizontal="right" indent="1" readingOrder="2"/>
      <protection locked="0" hidden="1"/>
    </xf>
    <xf numFmtId="166" fontId="5" fillId="0" borderId="27" xfId="0" applyFont="1" applyFill="1" applyBorder="1" applyAlignment="1">
      <alignment horizontal="left" vertical="center" indent="1"/>
      <protection locked="0" hidden="1"/>
    </xf>
    <xf numFmtId="1" fontId="22" fillId="0" borderId="27" xfId="0" applyNumberFormat="1" applyFont="1" applyFill="1" applyBorder="1" applyAlignment="1">
      <alignment horizontal="right" vertical="center" indent="2" readingOrder="2"/>
      <protection locked="0" hidden="1"/>
    </xf>
    <xf numFmtId="166" fontId="22" fillId="0" borderId="27" xfId="0" applyFont="1" applyFill="1" applyBorder="1" applyAlignment="1">
      <alignment horizontal="right" vertical="center" indent="2" readingOrder="2"/>
      <protection locked="0" hidden="1"/>
    </xf>
    <xf numFmtId="166" fontId="22" fillId="0" borderId="27" xfId="0" applyFont="1" applyFill="1" applyBorder="1" applyAlignment="1">
      <alignment horizontal="right" indent="2" readingOrder="2"/>
      <protection locked="0" hidden="1"/>
    </xf>
    <xf numFmtId="166" fontId="5" fillId="0" borderId="28" xfId="0" applyFont="1" applyFill="1" applyBorder="1" applyAlignment="1">
      <alignment horizontal="left" vertical="center" indent="1"/>
      <protection locked="0" hidden="1"/>
    </xf>
    <xf numFmtId="166" fontId="5" fillId="0" borderId="28" xfId="0" applyFont="1" applyFill="1" applyBorder="1" applyAlignment="1">
      <alignment horizontal="left" vertical="center" indent="2"/>
      <protection locked="0" hidden="1"/>
    </xf>
    <xf numFmtId="165" fontId="5" fillId="0" borderId="9" xfId="0" applyNumberFormat="1" applyFont="1" applyFill="1" applyBorder="1" applyAlignment="1">
      <alignment horizontal="right"/>
      <protection locked="0" hidden="1"/>
    </xf>
    <xf numFmtId="166" fontId="22" fillId="0" borderId="9" xfId="0" applyFont="1" applyFill="1" applyBorder="1" applyAlignment="1">
      <alignment horizontal="right" indent="2" readingOrder="2"/>
      <protection locked="0" hidden="1"/>
    </xf>
    <xf numFmtId="166" fontId="5" fillId="0" borderId="26" xfId="0" applyFont="1" applyFill="1" applyBorder="1" applyAlignment="1">
      <alignment horizontal="left" indent="1"/>
      <protection locked="0" hidden="1"/>
    </xf>
    <xf numFmtId="0" fontId="5" fillId="0" borderId="7" xfId="21" applyFont="1" applyBorder="1" applyAlignment="1">
      <alignment horizontal="left" readingOrder="1"/>
    </xf>
    <xf numFmtId="0" fontId="5" fillId="0" borderId="7" xfId="21" applyFont="1" applyBorder="1" applyAlignment="1">
      <alignment horizontal="centerContinuous"/>
    </xf>
    <xf numFmtId="0" fontId="5" fillId="0" borderId="7" xfId="21" applyFont="1" applyBorder="1" applyAlignment="1">
      <alignment horizontal="right" readingOrder="2"/>
    </xf>
    <xf numFmtId="166" fontId="5" fillId="0" borderId="0" xfId="0" applyFont="1" applyFill="1" applyAlignment="1">
      <alignment horizontal="left" vertical="center" indent="2"/>
      <protection locked="0" hidden="1"/>
    </xf>
    <xf numFmtId="166" fontId="16" fillId="0" borderId="0" xfId="0" applyFont="1" applyFill="1" applyAlignment="1">
      <alignment horizontal="right" indent="2" readingOrder="2"/>
      <protection locked="0" hidden="1"/>
    </xf>
    <xf numFmtId="165" fontId="5" fillId="3" borderId="11" xfId="0" applyNumberFormat="1" applyFont="1" applyFill="1" applyBorder="1" applyAlignment="1">
      <alignment horizontal="right" indent="1"/>
      <protection locked="0" hidden="1"/>
    </xf>
    <xf numFmtId="4" fontId="5" fillId="0" borderId="11" xfId="0" applyNumberFormat="1" applyFont="1" applyFill="1" applyBorder="1" applyAlignment="1">
      <alignment horizontal="right"/>
      <protection locked="0" hidden="1"/>
    </xf>
    <xf numFmtId="166" fontId="31" fillId="0" borderId="27" xfId="0" applyFont="1" applyFill="1" applyBorder="1" applyAlignment="1">
      <alignment horizontal="right" vertical="top" indent="1" readingOrder="2"/>
      <protection locked="0" hidden="1"/>
    </xf>
    <xf numFmtId="4" fontId="5" fillId="3" borderId="11" xfId="0" applyNumberFormat="1" applyFont="1" applyFill="1" applyBorder="1" applyAlignment="1">
      <alignment horizontal="right"/>
      <protection locked="0" hidden="1"/>
    </xf>
    <xf numFmtId="166" fontId="5" fillId="0" borderId="27" xfId="0" applyFont="1" applyFill="1" applyBorder="1" applyAlignment="1">
      <alignment horizontal="left" vertical="center" wrapText="1" indent="1"/>
      <protection locked="0" hidden="1"/>
    </xf>
    <xf numFmtId="164" fontId="5" fillId="3" borderId="11" xfId="0" applyNumberFormat="1" applyFont="1" applyFill="1" applyBorder="1" applyAlignment="1">
      <alignment horizontal="right"/>
      <protection locked="0" hidden="1"/>
    </xf>
    <xf numFmtId="3" fontId="5" fillId="0" borderId="11" xfId="0" applyNumberFormat="1" applyFont="1" applyFill="1" applyBorder="1" applyAlignment="1">
      <alignment horizontal="right"/>
      <protection locked="0" hidden="1"/>
    </xf>
    <xf numFmtId="164" fontId="5" fillId="0" borderId="11" xfId="0" applyNumberFormat="1" applyFont="1" applyFill="1" applyBorder="1" applyAlignment="1">
      <alignment horizontal="right"/>
      <protection locked="0" hidden="1"/>
    </xf>
    <xf numFmtId="1" fontId="5" fillId="0" borderId="11" xfId="0" applyNumberFormat="1" applyFont="1" applyFill="1" applyBorder="1" applyAlignment="1">
      <alignment horizontal="right"/>
      <protection locked="0" hidden="1"/>
    </xf>
    <xf numFmtId="166" fontId="22" fillId="0" borderId="9" xfId="0" applyFont="1" applyFill="1" applyBorder="1" applyAlignment="1">
      <alignment horizontal="right" indent="1" readingOrder="2"/>
      <protection locked="0" hidden="1"/>
    </xf>
    <xf numFmtId="164" fontId="5" fillId="3" borderId="9" xfId="0" applyNumberFormat="1" applyFont="1" applyFill="1" applyBorder="1" applyAlignment="1">
      <protection locked="0" hidden="1"/>
    </xf>
    <xf numFmtId="166" fontId="31" fillId="0" borderId="29" xfId="0" applyFont="1" applyFill="1" applyBorder="1" applyAlignment="1">
      <alignment horizontal="right" indent="1" readingOrder="2"/>
      <protection locked="0" hidden="1"/>
    </xf>
    <xf numFmtId="0" fontId="5" fillId="0" borderId="0" xfId="21" applyFont="1" applyAlignment="1">
      <alignment horizontal="left" readingOrder="1"/>
    </xf>
    <xf numFmtId="0" fontId="5" fillId="0" borderId="0" xfId="21" applyFont="1" applyAlignment="1">
      <alignment horizontal="right" readingOrder="2"/>
    </xf>
    <xf numFmtId="164" fontId="5" fillId="3" borderId="11" xfId="0" applyNumberFormat="1" applyFont="1" applyFill="1" applyBorder="1" applyAlignment="1">
      <alignment horizontal="right" indent="1"/>
      <protection locked="0" hidden="1"/>
    </xf>
    <xf numFmtId="199" fontId="5" fillId="0" borderId="11" xfId="0" applyNumberFormat="1" applyFont="1" applyFill="1" applyBorder="1" applyAlignment="1">
      <alignment horizontal="right"/>
      <protection locked="0" hidden="1"/>
    </xf>
    <xf numFmtId="166" fontId="5" fillId="0" borderId="30" xfId="0" applyFont="1" applyFill="1" applyBorder="1" applyAlignment="1">
      <alignment horizontal="left" vertical="center" indent="1"/>
      <protection locked="0" hidden="1"/>
    </xf>
    <xf numFmtId="164" fontId="5" fillId="0" borderId="9" xfId="0" applyNumberFormat="1" applyFont="1" applyFill="1" applyBorder="1" applyAlignment="1">
      <alignment horizontal="right"/>
      <protection locked="0" hidden="1"/>
    </xf>
    <xf numFmtId="166" fontId="5" fillId="0" borderId="7" xfId="0" applyFont="1" applyFill="1" applyBorder="1" applyAlignment="1">
      <alignment horizontal="left" readingOrder="1"/>
      <protection locked="0" hidden="1"/>
    </xf>
    <xf numFmtId="166" fontId="5" fillId="0" borderId="7" xfId="0" applyFont="1" applyFill="1" applyBorder="1" applyAlignment="1">
      <alignment horizontal="right" readingOrder="2"/>
      <protection locked="0" hidden="1"/>
    </xf>
    <xf numFmtId="166" fontId="55" fillId="0" borderId="0" xfId="0" applyFont="1" applyFill="1" applyAlignment="1">
      <protection locked="0" hidden="1"/>
    </xf>
    <xf numFmtId="166" fontId="55" fillId="0" borderId="0" xfId="0" applyFont="1" applyFill="1" applyAlignment="1">
      <alignment horizontal="right" readingOrder="2"/>
      <protection locked="0" hidden="1"/>
    </xf>
    <xf numFmtId="166" fontId="5" fillId="0" borderId="0" xfId="0" applyFont="1" applyFill="1" applyAlignment="1">
      <alignment horizontal="right" readingOrder="2"/>
      <protection locked="0" hidden="1"/>
    </xf>
    <xf numFmtId="166" fontId="56" fillId="0" borderId="0" xfId="0" applyFont="1" applyFill="1" applyAlignment="1">
      <alignment horizontal="centerContinuous"/>
      <protection locked="0" hidden="1"/>
    </xf>
    <xf numFmtId="166" fontId="9" fillId="0" borderId="5" xfId="0" applyFont="1" applyFill="1" applyBorder="1" applyAlignment="1">
      <alignment horizontal="left" vertical="center" indent="2"/>
      <protection locked="0" hidden="1"/>
    </xf>
    <xf numFmtId="166" fontId="9" fillId="0" borderId="22" xfId="0" applyFont="1" applyFill="1" applyBorder="1" applyAlignment="1">
      <alignment horizontal="right" vertical="center" indent="2"/>
      <protection locked="0" hidden="1"/>
    </xf>
    <xf numFmtId="166" fontId="9" fillId="0" borderId="12" xfId="0" applyFont="1" applyFill="1" applyBorder="1" applyAlignment="1">
      <alignment horizontal="center"/>
      <protection locked="0" hidden="1"/>
    </xf>
    <xf numFmtId="166" fontId="9" fillId="0" borderId="11" xfId="0" applyFont="1" applyFill="1" applyBorder="1" applyAlignment="1">
      <alignment horizontal="center" vertical="top" wrapText="1"/>
      <protection locked="0" hidden="1"/>
    </xf>
    <xf numFmtId="166" fontId="9" fillId="0" borderId="8" xfId="0" applyFont="1" applyFill="1" applyBorder="1" applyAlignment="1">
      <alignment horizontal="center" vertical="top"/>
      <protection locked="0" hidden="1"/>
    </xf>
    <xf numFmtId="166" fontId="9" fillId="0" borderId="0" xfId="0" applyFont="1" applyFill="1" applyAlignment="1">
      <alignment horizontal="center" vertical="top" wrapText="1"/>
      <protection locked="0" hidden="1"/>
    </xf>
    <xf numFmtId="166" fontId="9" fillId="0" borderId="12" xfId="0" applyFont="1" applyFill="1" applyBorder="1" applyAlignment="1">
      <alignment horizontal="left" readingOrder="1"/>
      <protection locked="0" hidden="1"/>
    </xf>
    <xf numFmtId="166" fontId="9" fillId="0" borderId="25" xfId="0" applyFont="1" applyFill="1" applyBorder="1" applyAlignment="1">
      <protection locked="0" hidden="1"/>
    </xf>
    <xf numFmtId="166" fontId="8" fillId="0" borderId="11" xfId="0" applyFont="1" applyFill="1" applyBorder="1" applyAlignment="1">
      <alignment horizontal="left"/>
      <protection locked="0" hidden="1"/>
    </xf>
    <xf numFmtId="166" fontId="9" fillId="0" borderId="26" xfId="0" applyFont="1" applyFill="1" applyBorder="1" applyAlignment="1">
      <protection locked="0" hidden="1"/>
    </xf>
    <xf numFmtId="166" fontId="9" fillId="0" borderId="27" xfId="0" applyFont="1" applyFill="1" applyBorder="1" applyAlignment="1">
      <protection locked="0" hidden="1"/>
    </xf>
    <xf numFmtId="166" fontId="8" fillId="0" borderId="8" xfId="0" applyFont="1" applyFill="1" applyBorder="1" applyAlignment="1">
      <alignment horizontal="left"/>
      <protection locked="0" hidden="1"/>
    </xf>
    <xf numFmtId="166" fontId="9" fillId="0" borderId="8" xfId="0" applyFont="1" applyFill="1" applyBorder="1" applyAlignment="1">
      <protection locked="0" hidden="1"/>
    </xf>
    <xf numFmtId="165" fontId="9" fillId="0" borderId="8" xfId="0" applyNumberFormat="1" applyFont="1" applyFill="1" applyBorder="1" applyAlignment="1">
      <alignment horizontal="right" indent="2"/>
      <protection locked="0" hidden="1"/>
    </xf>
    <xf numFmtId="0" fontId="7" fillId="0" borderId="0" xfId="22" applyFont="1" applyAlignment="1">
      <alignment horizontal="centerContinuous" wrapText="1"/>
    </xf>
    <xf numFmtId="0" fontId="34" fillId="0" borderId="0" xfId="22" applyFont="1" applyAlignment="1">
      <alignment horizontal="centerContinuous"/>
    </xf>
    <xf numFmtId="0" fontId="6" fillId="0" borderId="0" xfId="22" applyFont="1" applyAlignment="1">
      <alignment horizontal="centerContinuous" vertical="top"/>
    </xf>
    <xf numFmtId="0" fontId="6" fillId="0" borderId="0" xfId="22" applyFont="1" applyAlignment="1">
      <alignment vertical="top"/>
    </xf>
    <xf numFmtId="0" fontId="12" fillId="0" borderId="2" xfId="22" applyFont="1" applyBorder="1" applyAlignment="1">
      <alignment horizontal="centerContinuous"/>
    </xf>
    <xf numFmtId="0" fontId="12" fillId="0" borderId="6" xfId="22" applyFont="1" applyBorder="1" applyAlignment="1">
      <alignment horizontal="centerContinuous"/>
    </xf>
    <xf numFmtId="0" fontId="14" fillId="0" borderId="6" xfId="22" applyFont="1" applyBorder="1" applyAlignment="1">
      <alignment horizontal="centerContinuous" readingOrder="2"/>
    </xf>
    <xf numFmtId="0" fontId="14" fillId="0" borderId="7" xfId="22" applyFont="1" applyBorder="1" applyAlignment="1">
      <alignment horizontal="centerContinuous"/>
    </xf>
    <xf numFmtId="0" fontId="6" fillId="0" borderId="6" xfId="22" applyFont="1" applyBorder="1" applyAlignment="1">
      <alignment horizontal="centerContinuous"/>
    </xf>
    <xf numFmtId="0" fontId="14" fillId="0" borderId="7" xfId="22" applyFont="1" applyBorder="1" applyAlignment="1">
      <alignment horizontal="centerContinuous" readingOrder="2"/>
    </xf>
    <xf numFmtId="0" fontId="14" fillId="0" borderId="11" xfId="22" applyFont="1" applyBorder="1" applyAlignment="1">
      <alignment horizontal="center" vertical="center" readingOrder="2"/>
    </xf>
    <xf numFmtId="0" fontId="12" fillId="0" borderId="11" xfId="22" applyFont="1" applyBorder="1" applyAlignment="1">
      <alignment horizontal="center"/>
    </xf>
    <xf numFmtId="0" fontId="12" fillId="0" borderId="1" xfId="22" applyFont="1" applyBorder="1" applyAlignment="1">
      <alignment horizontal="center"/>
    </xf>
    <xf numFmtId="0" fontId="12" fillId="0" borderId="8" xfId="22" applyFont="1" applyBorder="1" applyAlignment="1">
      <alignment horizontal="center" vertical="top"/>
    </xf>
    <xf numFmtId="3" fontId="16" fillId="0" borderId="0" xfId="0" applyNumberFormat="1" applyFont="1" applyFill="1" applyAlignment="1">
      <alignment horizontal="right" indent="1"/>
      <protection locked="0" hidden="1"/>
    </xf>
    <xf numFmtId="0" fontId="56" fillId="0" borderId="0" xfId="22" applyFont="1" applyAlignment="1">
      <alignment horizontal="centerContinuous"/>
    </xf>
    <xf numFmtId="0" fontId="56" fillId="0" borderId="0" xfId="22" applyFont="1" applyAlignment="1">
      <alignment horizontal="centerContinuous" vertical="top"/>
    </xf>
    <xf numFmtId="166" fontId="51" fillId="0" borderId="0" xfId="0" applyFont="1" applyFill="1" applyAlignment="1">
      <alignment horizontal="centerContinuous"/>
      <protection locked="0" hidden="1"/>
    </xf>
    <xf numFmtId="166" fontId="51" fillId="0" borderId="0" xfId="0" applyFont="1" applyFill="1" applyAlignment="1">
      <protection locked="0" hidden="1"/>
    </xf>
    <xf numFmtId="164" fontId="5" fillId="0" borderId="1" xfId="22" applyNumberFormat="1" applyFont="1" applyBorder="1"/>
    <xf numFmtId="165" fontId="5" fillId="0" borderId="0" xfId="0" applyNumberFormat="1" applyFont="1" applyFill="1" applyAlignment="1" applyProtection="1">
      <alignment horizontal="right" wrapText="1"/>
    </xf>
    <xf numFmtId="166" fontId="11" fillId="0" borderId="0" xfId="0" applyFont="1" applyFill="1" applyAlignment="1">
      <alignment horizontal="centerContinuous" vertical="center"/>
      <protection locked="0" hidden="1"/>
    </xf>
    <xf numFmtId="166" fontId="58" fillId="0" borderId="0" xfId="0" applyFont="1" applyFill="1" applyAlignment="1">
      <alignment horizontal="centerContinuous" vertical="center"/>
      <protection locked="0" hidden="1"/>
    </xf>
    <xf numFmtId="166" fontId="20" fillId="0" borderId="3" xfId="0" applyFont="1" applyFill="1" applyBorder="1" applyAlignment="1">
      <protection locked="0" hidden="1"/>
    </xf>
    <xf numFmtId="166" fontId="31" fillId="0" borderId="1" xfId="0" applyFont="1" applyFill="1" applyBorder="1" applyAlignment="1">
      <alignment horizontal="left" vertical="top"/>
      <protection locked="0" hidden="1"/>
    </xf>
    <xf numFmtId="165" fontId="22" fillId="0" borderId="34" xfId="0" applyNumberFormat="1" applyFont="1" applyFill="1" applyBorder="1" applyAlignment="1">
      <protection locked="0" hidden="1"/>
    </xf>
    <xf numFmtId="0" fontId="51" fillId="0" borderId="7" xfId="0" applyNumberFormat="1" applyFont="1" applyFill="1" applyBorder="1" applyAlignment="1" applyProtection="1"/>
    <xf numFmtId="0" fontId="51" fillId="0" borderId="7" xfId="0" applyNumberFormat="1" applyFont="1" applyFill="1" applyBorder="1" applyAlignment="1" applyProtection="1">
      <alignment vertical="top"/>
    </xf>
    <xf numFmtId="165" fontId="51" fillId="0" borderId="0" xfId="0" applyNumberFormat="1" applyFont="1" applyFill="1" applyAlignment="1" applyProtection="1">
      <alignment horizontal="right"/>
    </xf>
    <xf numFmtId="0" fontId="51" fillId="0" borderId="0" xfId="0" applyNumberFormat="1" applyFont="1" applyFill="1" applyAlignment="1" applyProtection="1"/>
    <xf numFmtId="0" fontId="51" fillId="0" borderId="0" xfId="0" applyNumberFormat="1" applyFont="1" applyFill="1" applyAlignment="1" applyProtection="1">
      <alignment horizontal="centerContinuous"/>
    </xf>
    <xf numFmtId="165" fontId="51" fillId="0" borderId="0" xfId="0" applyNumberFormat="1" applyFont="1" applyFill="1" applyAlignment="1" applyProtection="1"/>
    <xf numFmtId="166" fontId="39" fillId="0" borderId="0" xfId="0" applyFont="1" applyFill="1" applyAlignment="1">
      <alignment horizontal="centerContinuous" readingOrder="1"/>
      <protection locked="0" hidden="1"/>
    </xf>
    <xf numFmtId="166" fontId="39" fillId="0" borderId="0" xfId="0" applyFont="1" applyFill="1" applyAlignment="1">
      <alignment horizontal="centerContinuous"/>
      <protection locked="0" hidden="1"/>
    </xf>
    <xf numFmtId="166" fontId="59" fillId="0" borderId="0" xfId="0" applyFont="1" applyFill="1" applyAlignment="1">
      <protection locked="0" hidden="1"/>
    </xf>
    <xf numFmtId="166" fontId="33" fillId="0" borderId="0" xfId="0" applyFont="1" applyFill="1" applyAlignment="1">
      <alignment horizontal="centerContinuous"/>
      <protection locked="0" hidden="1"/>
    </xf>
    <xf numFmtId="166" fontId="22" fillId="0" borderId="0" xfId="0" applyFont="1" applyFill="1" applyAlignment="1">
      <alignment horizontal="right"/>
      <protection locked="0" hidden="1"/>
    </xf>
    <xf numFmtId="166" fontId="51" fillId="2" borderId="8" xfId="0" applyFont="1" applyBorder="1" applyAlignment="1" applyProtection="1">
      <alignment horizontal="center" vertical="center"/>
    </xf>
    <xf numFmtId="166" fontId="31" fillId="0" borderId="12" xfId="0" applyFont="1" applyFill="1" applyBorder="1" applyAlignment="1">
      <alignment horizontal="left" wrapText="1" indent="1"/>
      <protection locked="0" hidden="1"/>
    </xf>
    <xf numFmtId="0" fontId="56" fillId="0" borderId="0" xfId="8" applyFont="1" applyAlignment="1">
      <alignment horizontal="centerContinuous"/>
    </xf>
    <xf numFmtId="0" fontId="11" fillId="0" borderId="0" xfId="19" applyFont="1" applyAlignment="1">
      <alignment horizontal="centerContinuous" vertical="center"/>
    </xf>
    <xf numFmtId="166" fontId="8" fillId="0" borderId="0" xfId="0" applyFont="1" applyFill="1" applyAlignment="1">
      <alignment horizontal="centerContinuous"/>
      <protection locked="0" hidden="1"/>
    </xf>
    <xf numFmtId="166" fontId="24" fillId="0" borderId="0" xfId="0" applyFont="1" applyFill="1" applyAlignment="1">
      <alignment horizontal="centerContinuous"/>
      <protection locked="0" hidden="1"/>
    </xf>
    <xf numFmtId="166" fontId="9" fillId="0" borderId="0" xfId="0" applyFont="1" applyFill="1" applyAlignment="1">
      <alignment horizontal="centerContinuous"/>
      <protection locked="0" hidden="1"/>
    </xf>
    <xf numFmtId="3" fontId="21" fillId="0" borderId="12" xfId="0" applyNumberFormat="1" applyFont="1" applyFill="1" applyBorder="1" applyAlignment="1">
      <alignment horizontal="center" vertical="center" wrapText="1"/>
      <protection locked="0" hidden="1"/>
    </xf>
    <xf numFmtId="1" fontId="9" fillId="0" borderId="12" xfId="0" applyNumberFormat="1" applyFont="1" applyFill="1" applyBorder="1" applyAlignment="1">
      <alignment horizontal="center" vertical="center"/>
      <protection locked="0" hidden="1"/>
    </xf>
    <xf numFmtId="1" fontId="9" fillId="0" borderId="6" xfId="0" applyNumberFormat="1" applyFont="1" applyFill="1" applyBorder="1" applyAlignment="1">
      <alignment horizontal="centerContinuous" vertical="center"/>
      <protection locked="0" hidden="1"/>
    </xf>
    <xf numFmtId="1" fontId="9" fillId="0" borderId="21" xfId="0" applyNumberFormat="1" applyFont="1" applyFill="1" applyBorder="1" applyAlignment="1">
      <alignment horizontal="center" vertical="center"/>
      <protection locked="0" hidden="1"/>
    </xf>
    <xf numFmtId="1" fontId="9" fillId="0" borderId="5" xfId="0" applyNumberFormat="1" applyFont="1" applyFill="1" applyBorder="1" applyAlignment="1">
      <alignment horizontal="center" vertical="center"/>
      <protection locked="0" hidden="1"/>
    </xf>
    <xf numFmtId="1" fontId="9" fillId="0" borderId="22" xfId="0" applyNumberFormat="1" applyFont="1" applyFill="1" applyBorder="1" applyAlignment="1">
      <alignment horizontal="center" vertical="center"/>
      <protection locked="0" hidden="1"/>
    </xf>
    <xf numFmtId="1" fontId="9" fillId="0" borderId="2" xfId="0" applyNumberFormat="1" applyFont="1" applyFill="1" applyBorder="1" applyAlignment="1">
      <alignment horizontal="center" vertical="center"/>
      <protection locked="0" hidden="1"/>
    </xf>
    <xf numFmtId="1" fontId="9" fillId="0" borderId="7" xfId="0" applyNumberFormat="1" applyFont="1" applyFill="1" applyBorder="1" applyAlignment="1">
      <alignment horizontal="center" vertical="center"/>
      <protection locked="0" hidden="1"/>
    </xf>
    <xf numFmtId="1" fontId="9" fillId="0" borderId="6" xfId="0" applyNumberFormat="1" applyFont="1" applyFill="1" applyBorder="1" applyAlignment="1">
      <alignment horizontal="center" vertical="center"/>
      <protection locked="0" hidden="1"/>
    </xf>
    <xf numFmtId="1" fontId="9" fillId="0" borderId="6" xfId="0" applyNumberFormat="1" applyFont="1" applyFill="1" applyBorder="1" applyAlignment="1">
      <alignment horizontal="center" vertical="center"/>
      <protection locked="0" hidden="1"/>
    </xf>
    <xf numFmtId="166" fontId="14" fillId="0" borderId="12" xfId="0" applyFont="1" applyFill="1" applyBorder="1" applyAlignment="1">
      <alignment horizontal="center" vertical="center" readingOrder="2"/>
      <protection locked="0" hidden="1"/>
    </xf>
    <xf numFmtId="3" fontId="21" fillId="0" borderId="11" xfId="0" applyNumberFormat="1" applyFont="1" applyFill="1" applyBorder="1" applyAlignment="1">
      <alignment horizontal="center" vertical="center" wrapText="1"/>
      <protection locked="0" hidden="1"/>
    </xf>
    <xf numFmtId="1" fontId="9" fillId="0" borderId="11" xfId="0" applyNumberFormat="1" applyFont="1" applyFill="1" applyBorder="1" applyAlignment="1">
      <alignment horizontal="center" vertical="center"/>
      <protection locked="0" hidden="1"/>
    </xf>
    <xf numFmtId="1" fontId="9" fillId="0" borderId="2" xfId="0" applyNumberFormat="1" applyFont="1" applyFill="1" applyBorder="1" applyAlignment="1">
      <alignment horizontal="center" vertical="center"/>
      <protection locked="0" hidden="1"/>
    </xf>
    <xf numFmtId="1" fontId="9" fillId="0" borderId="12" xfId="0" applyNumberFormat="1" applyFont="1" applyFill="1" applyBorder="1" applyAlignment="1">
      <alignment horizontal="center" vertical="center"/>
      <protection locked="0" hidden="1"/>
    </xf>
    <xf numFmtId="166" fontId="14" fillId="0" borderId="11" xfId="0" applyFont="1" applyFill="1" applyBorder="1" applyAlignment="1">
      <alignment horizontal="center" vertical="center" readingOrder="2"/>
      <protection locked="0" hidden="1"/>
    </xf>
    <xf numFmtId="3" fontId="21" fillId="0" borderId="8" xfId="0" applyNumberFormat="1" applyFont="1" applyFill="1" applyBorder="1" applyAlignment="1">
      <alignment horizontal="center" vertical="center" wrapText="1"/>
      <protection locked="0" hidden="1"/>
    </xf>
    <xf numFmtId="1" fontId="9" fillId="0" borderId="8" xfId="0" applyNumberFormat="1" applyFont="1" applyFill="1" applyBorder="1" applyAlignment="1">
      <alignment horizontal="center" vertical="center"/>
      <protection locked="0" hidden="1"/>
    </xf>
    <xf numFmtId="166" fontId="14" fillId="0" borderId="8" xfId="0" applyFont="1" applyFill="1" applyBorder="1" applyAlignment="1">
      <alignment horizontal="center" vertical="center" readingOrder="2"/>
      <protection locked="0" hidden="1"/>
    </xf>
    <xf numFmtId="3" fontId="9" fillId="0" borderId="11" xfId="0" applyNumberFormat="1" applyFont="1" applyFill="1" applyBorder="1" applyAlignment="1">
      <alignment horizontal="left" wrapText="1"/>
      <protection locked="0" hidden="1"/>
    </xf>
    <xf numFmtId="212" fontId="9" fillId="0" borderId="11" xfId="0" applyNumberFormat="1" applyFont="1" applyFill="1" applyBorder="1" applyAlignment="1" applyProtection="1">
      <alignment horizontal="right"/>
    </xf>
    <xf numFmtId="212" fontId="9" fillId="0" borderId="12" xfId="0" applyNumberFormat="1" applyFont="1" applyFill="1" applyBorder="1" applyAlignment="1" applyProtection="1">
      <alignment horizontal="right"/>
    </xf>
    <xf numFmtId="166" fontId="19" fillId="0" borderId="9" xfId="0" applyFont="1" applyFill="1" applyBorder="1" applyAlignment="1">
      <alignment horizontal="right" readingOrder="2"/>
      <protection locked="0" hidden="1"/>
    </xf>
    <xf numFmtId="166" fontId="9" fillId="0" borderId="11" xfId="0" applyFont="1" applyFill="1" applyBorder="1" applyAlignment="1">
      <alignment horizontal="left" indent="1"/>
      <protection locked="0" hidden="1"/>
    </xf>
    <xf numFmtId="212" fontId="8" fillId="0" borderId="11" xfId="0" applyNumberFormat="1" applyFont="1" applyFill="1" applyBorder="1" applyAlignment="1" applyProtection="1">
      <alignment horizontal="right"/>
    </xf>
    <xf numFmtId="212" fontId="5" fillId="0" borderId="11" xfId="0" applyNumberFormat="1" applyFont="1" applyFill="1" applyBorder="1" applyAlignment="1" applyProtection="1">
      <alignment horizontal="right"/>
    </xf>
    <xf numFmtId="166" fontId="19" fillId="0" borderId="9" xfId="0" applyFont="1" applyFill="1" applyBorder="1" applyAlignment="1">
      <alignment horizontal="right" indent="1" readingOrder="2"/>
      <protection locked="0" hidden="1"/>
    </xf>
    <xf numFmtId="3" fontId="8" fillId="0" borderId="11" xfId="0" applyNumberFormat="1" applyFont="1" applyFill="1" applyBorder="1" applyAlignment="1">
      <alignment horizontal="left" wrapText="1" indent="4"/>
      <protection locked="0" hidden="1"/>
    </xf>
    <xf numFmtId="166" fontId="20" fillId="0" borderId="9" xfId="0" applyFont="1" applyFill="1" applyBorder="1" applyAlignment="1">
      <alignment horizontal="right" indent="4" readingOrder="2"/>
      <protection locked="0" hidden="1"/>
    </xf>
    <xf numFmtId="3" fontId="8" fillId="0" borderId="11" xfId="0" applyNumberFormat="1" applyFont="1" applyFill="1" applyBorder="1" applyAlignment="1">
      <alignment horizontal="left" wrapText="1" indent="5"/>
      <protection locked="0" hidden="1"/>
    </xf>
    <xf numFmtId="212" fontId="5" fillId="0" borderId="9" xfId="0" applyNumberFormat="1" applyFont="1" applyFill="1" applyBorder="1" applyAlignment="1" applyProtection="1">
      <alignment horizontal="right"/>
    </xf>
    <xf numFmtId="166" fontId="20" fillId="0" borderId="9" xfId="0" applyFont="1" applyFill="1" applyBorder="1" applyAlignment="1">
      <alignment horizontal="right" indent="5" readingOrder="2"/>
      <protection locked="0" hidden="1"/>
    </xf>
    <xf numFmtId="3" fontId="9" fillId="0" borderId="11" xfId="0" applyNumberFormat="1" applyFont="1" applyFill="1" applyBorder="1" applyAlignment="1">
      <alignment horizontal="left" wrapText="1" indent="3"/>
      <protection locked="0" hidden="1"/>
    </xf>
    <xf numFmtId="166" fontId="19" fillId="0" borderId="9" xfId="0" applyFont="1" applyFill="1" applyBorder="1" applyAlignment="1">
      <alignment horizontal="right" indent="3" readingOrder="2"/>
      <protection locked="0" hidden="1"/>
    </xf>
    <xf numFmtId="206" fontId="44" fillId="0" borderId="0" xfId="0" applyNumberFormat="1" applyFont="1" applyFill="1" applyAlignment="1">
      <protection locked="0" hidden="1"/>
    </xf>
    <xf numFmtId="166" fontId="44" fillId="0" borderId="0" xfId="0" applyFont="1" applyFill="1" applyAlignment="1">
      <protection locked="0" hidden="1"/>
    </xf>
    <xf numFmtId="3" fontId="8" fillId="0" borderId="11" xfId="0" applyNumberFormat="1" applyFont="1" applyFill="1" applyBorder="1" applyAlignment="1">
      <alignment horizontal="left" wrapText="1" indent="3"/>
      <protection locked="0" hidden="1"/>
    </xf>
    <xf numFmtId="166" fontId="20" fillId="0" borderId="9" xfId="0" applyFont="1" applyFill="1" applyBorder="1" applyAlignment="1">
      <alignment horizontal="right" indent="3" readingOrder="2"/>
      <protection locked="0" hidden="1"/>
    </xf>
    <xf numFmtId="3" fontId="9" fillId="0" borderId="11" xfId="0" applyNumberFormat="1" applyFont="1" applyFill="1" applyBorder="1" applyAlignment="1">
      <alignment horizontal="left" readingOrder="1"/>
      <protection locked="0" hidden="1"/>
    </xf>
    <xf numFmtId="212" fontId="9" fillId="0" borderId="11" xfId="0" applyNumberFormat="1" applyFont="1" applyFill="1" applyBorder="1" applyAlignment="1">
      <alignment horizontal="right"/>
      <protection locked="0" hidden="1"/>
    </xf>
    <xf numFmtId="212" fontId="44" fillId="0" borderId="11" xfId="0" applyNumberFormat="1" applyFont="1" applyFill="1" applyBorder="1" applyAlignment="1" applyProtection="1">
      <alignment horizontal="right"/>
    </xf>
    <xf numFmtId="166" fontId="19" fillId="0" borderId="11" xfId="0" applyFont="1" applyFill="1" applyBorder="1" applyAlignment="1">
      <alignment horizontal="right" readingOrder="2"/>
      <protection locked="0" hidden="1"/>
    </xf>
    <xf numFmtId="212" fontId="44" fillId="0" borderId="8" xfId="0" applyNumberFormat="1" applyFont="1" applyFill="1" applyBorder="1" applyAlignment="1" applyProtection="1">
      <alignment horizontal="right"/>
    </xf>
    <xf numFmtId="212" fontId="9" fillId="0" borderId="8" xfId="0" applyNumberFormat="1" applyFont="1" applyFill="1" applyBorder="1" applyAlignment="1" applyProtection="1">
      <alignment horizontal="right"/>
    </xf>
    <xf numFmtId="166" fontId="8" fillId="0" borderId="7" xfId="0" applyFont="1" applyFill="1" applyBorder="1" applyAlignment="1">
      <alignment horizontal="left"/>
      <protection locked="0" hidden="1"/>
    </xf>
    <xf numFmtId="166" fontId="8" fillId="0" borderId="7" xfId="0" applyFont="1" applyFill="1" applyBorder="1" applyAlignment="1">
      <alignment horizontal="right" readingOrder="2"/>
      <protection locked="0" hidden="1"/>
    </xf>
    <xf numFmtId="0" fontId="8" fillId="0" borderId="0" xfId="19" applyFont="1"/>
    <xf numFmtId="0" fontId="10" fillId="0" borderId="0" xfId="19" applyFont="1" applyAlignment="1">
      <alignment horizontal="right" readingOrder="2"/>
    </xf>
    <xf numFmtId="206" fontId="8" fillId="0" borderId="0" xfId="0" applyNumberFormat="1" applyFont="1" applyFill="1" applyAlignment="1">
      <protection locked="0" hidden="1"/>
    </xf>
    <xf numFmtId="166" fontId="56" fillId="0" borderId="0" xfId="0" applyFont="1" applyFill="1" applyAlignment="1">
      <alignment horizontal="centerContinuous" wrapText="1"/>
      <protection locked="0" hidden="1"/>
    </xf>
    <xf numFmtId="0" fontId="29" fillId="0" borderId="23" xfId="29" applyFont="1" applyBorder="1" applyAlignment="1">
      <alignment horizontal="center" vertical="center" wrapText="1" readingOrder="1"/>
    </xf>
    <xf numFmtId="0" fontId="29" fillId="0" borderId="21" xfId="29" applyFont="1" applyBorder="1" applyAlignment="1">
      <alignment horizontal="left" vertical="center" wrapText="1" readingOrder="1"/>
    </xf>
    <xf numFmtId="0" fontId="29" fillId="0" borderId="5" xfId="29" applyFont="1" applyBorder="1" applyAlignment="1">
      <alignment horizontal="left" vertical="center" wrapText="1" readingOrder="1"/>
    </xf>
    <xf numFmtId="0" fontId="29" fillId="0" borderId="5" xfId="29" applyFont="1" applyBorder="1" applyAlignment="1">
      <alignment horizontal="right" vertical="center" wrapText="1" readingOrder="1"/>
    </xf>
    <xf numFmtId="0" fontId="29" fillId="0" borderId="22" xfId="29" applyFont="1" applyBorder="1" applyAlignment="1">
      <alignment horizontal="right" vertical="center" wrapText="1" readingOrder="1"/>
    </xf>
    <xf numFmtId="0" fontId="29" fillId="0" borderId="21" xfId="29" applyFont="1" applyBorder="1" applyAlignment="1">
      <alignment horizontal="center" vertical="center" wrapText="1" readingOrder="1"/>
    </xf>
    <xf numFmtId="0" fontId="29" fillId="0" borderId="22" xfId="29" applyFont="1" applyBorder="1" applyAlignment="1">
      <alignment horizontal="center" vertical="center" wrapText="1" readingOrder="1"/>
    </xf>
    <xf numFmtId="0" fontId="60" fillId="0" borderId="0" xfId="29" applyFont="1"/>
    <xf numFmtId="0" fontId="29" fillId="0" borderId="23" xfId="29" applyFont="1" applyBorder="1" applyAlignment="1">
      <alignment horizontal="center" vertical="center" wrapText="1" readingOrder="1"/>
    </xf>
    <xf numFmtId="0" fontId="29" fillId="0" borderId="12" xfId="29" applyFont="1" applyBorder="1" applyAlignment="1">
      <alignment horizontal="center" vertical="center" wrapText="1" readingOrder="1"/>
    </xf>
    <xf numFmtId="0" fontId="29" fillId="0" borderId="8" xfId="29" applyFont="1" applyBorder="1" applyAlignment="1">
      <alignment horizontal="center" vertical="center" wrapText="1" readingOrder="1"/>
    </xf>
    <xf numFmtId="0" fontId="31" fillId="0" borderId="23" xfId="29" applyFont="1" applyBorder="1" applyAlignment="1">
      <alignment horizontal="right" wrapText="1"/>
    </xf>
    <xf numFmtId="225" fontId="51" fillId="0" borderId="0" xfId="30" applyNumberFormat="1" applyFont="1"/>
    <xf numFmtId="0" fontId="22" fillId="0" borderId="23" xfId="29" applyFont="1" applyBorder="1" applyAlignment="1">
      <alignment horizontal="right" wrapText="1"/>
    </xf>
    <xf numFmtId="225" fontId="51" fillId="0" borderId="0" xfId="23" applyNumberFormat="1" applyFont="1"/>
    <xf numFmtId="0" fontId="5" fillId="0" borderId="7" xfId="29" applyFont="1" applyBorder="1" applyAlignment="1">
      <alignment horizontal="left" wrapText="1"/>
    </xf>
    <xf numFmtId="0" fontId="5" fillId="0" borderId="7" xfId="29" applyFont="1" applyBorder="1" applyAlignment="1">
      <alignment horizontal="right" wrapText="1" readingOrder="2"/>
    </xf>
    <xf numFmtId="0" fontId="5" fillId="0" borderId="0" xfId="29" applyFont="1" applyAlignment="1">
      <alignment horizontal="left" vertical="center" wrapText="1"/>
    </xf>
    <xf numFmtId="0" fontId="5" fillId="0" borderId="0" xfId="29" applyFont="1" applyAlignment="1">
      <alignment horizontal="right" vertical="center" wrapText="1" readingOrder="2"/>
    </xf>
    <xf numFmtId="0" fontId="5" fillId="0" borderId="0" xfId="29" applyFont="1" applyAlignment="1">
      <alignment horizontal="left" vertical="center"/>
    </xf>
    <xf numFmtId="0" fontId="5" fillId="0" borderId="0" xfId="29" applyFont="1" applyAlignment="1">
      <alignment horizontal="right" vertical="center" readingOrder="2"/>
    </xf>
    <xf numFmtId="0" fontId="5" fillId="0" borderId="0" xfId="29" applyFont="1" applyAlignment="1">
      <alignment horizontal="left" vertical="center"/>
    </xf>
    <xf numFmtId="166" fontId="5" fillId="0" borderId="7" xfId="26" applyFont="1" applyFill="1" applyBorder="1" applyAlignment="1" applyProtection="1">
      <alignment vertical="center"/>
    </xf>
    <xf numFmtId="166" fontId="5" fillId="0" borderId="0" xfId="26" applyFont="1" applyFill="1" applyAlignment="1" applyProtection="1">
      <alignment vertical="center"/>
    </xf>
    <xf numFmtId="49" fontId="5" fillId="0" borderId="0" xfId="26" applyNumberFormat="1" applyFont="1" applyFill="1" applyAlignment="1" applyProtection="1">
      <alignment horizontal="center"/>
    </xf>
    <xf numFmtId="166" fontId="16" fillId="0" borderId="0" xfId="26" applyFont="1" applyFill="1" applyAlignment="1" applyProtection="1">
      <alignment vertical="center"/>
    </xf>
    <xf numFmtId="0" fontId="29" fillId="0" borderId="0" xfId="26" applyNumberFormat="1" applyFont="1" applyFill="1" applyAlignment="1" applyProtection="1">
      <alignment horizontal="centerContinuous" readingOrder="2"/>
    </xf>
    <xf numFmtId="0" fontId="29" fillId="0" borderId="0" xfId="26" applyNumberFormat="1" applyFont="1" applyFill="1" applyAlignment="1" applyProtection="1">
      <alignment horizontal="center"/>
    </xf>
    <xf numFmtId="166" fontId="29" fillId="0" borderId="12" xfId="26" applyFont="1" applyFill="1" applyBorder="1" applyAlignment="1" applyProtection="1">
      <alignment horizontal="center" vertical="center" wrapText="1"/>
    </xf>
    <xf numFmtId="166" fontId="29" fillId="0" borderId="12" xfId="26" applyFont="1" applyFill="1" applyBorder="1" applyAlignment="1" applyProtection="1">
      <alignment horizontal="centerContinuous" vertical="center" wrapText="1"/>
    </xf>
    <xf numFmtId="166" fontId="16" fillId="0" borderId="0" xfId="26" applyFont="1" applyFill="1" applyAlignment="1" applyProtection="1">
      <alignment horizontal="center" vertical="center"/>
    </xf>
    <xf numFmtId="166" fontId="29" fillId="0" borderId="11" xfId="26" applyFont="1" applyFill="1" applyBorder="1" applyAlignment="1" applyProtection="1">
      <alignment horizontal="center" vertical="center" wrapText="1"/>
    </xf>
    <xf numFmtId="166" fontId="29" fillId="0" borderId="21" xfId="26" applyFont="1" applyFill="1" applyBorder="1" applyAlignment="1" applyProtection="1">
      <alignment horizontal="center" vertical="center" wrapText="1"/>
    </xf>
    <xf numFmtId="166" fontId="29" fillId="0" borderId="22" xfId="26" applyFont="1" applyFill="1" applyBorder="1" applyAlignment="1" applyProtection="1">
      <alignment horizontal="center" vertical="center" wrapText="1"/>
    </xf>
    <xf numFmtId="166" fontId="29" fillId="0" borderId="8" xfId="26" applyFont="1" applyFill="1" applyBorder="1" applyAlignment="1" applyProtection="1">
      <alignment horizontal="center" vertical="center" wrapText="1"/>
    </xf>
    <xf numFmtId="166" fontId="29" fillId="0" borderId="0" xfId="26" applyFont="1" applyFill="1" applyAlignment="1" applyProtection="1">
      <alignment vertical="center"/>
    </xf>
    <xf numFmtId="166" fontId="29" fillId="0" borderId="12" xfId="26" applyFont="1" applyFill="1" applyBorder="1" applyAlignment="1" applyProtection="1">
      <alignment wrapText="1"/>
    </xf>
    <xf numFmtId="224" fontId="62" fillId="0" borderId="11" xfId="2" applyNumberFormat="1" applyFont="1" applyFill="1" applyBorder="1" applyAlignment="1" applyProtection="1">
      <alignment readingOrder="2"/>
    </xf>
    <xf numFmtId="166" fontId="29" fillId="0" borderId="11" xfId="26" applyFont="1" applyFill="1" applyBorder="1" applyAlignment="1" applyProtection="1">
      <alignment wrapText="1"/>
    </xf>
    <xf numFmtId="224" fontId="62" fillId="0" borderId="11" xfId="2" applyNumberFormat="1" applyFont="1" applyFill="1" applyBorder="1" applyAlignment="1" applyProtection="1"/>
    <xf numFmtId="224" fontId="62" fillId="0" borderId="11" xfId="2" applyNumberFormat="1" applyFont="1" applyFill="1" applyBorder="1" applyAlignment="1" applyProtection="1">
      <alignment wrapText="1"/>
    </xf>
    <xf numFmtId="166" fontId="29" fillId="0" borderId="8" xfId="26" applyFont="1" applyFill="1" applyBorder="1" applyAlignment="1" applyProtection="1">
      <alignment horizontal="center" wrapText="1"/>
    </xf>
    <xf numFmtId="224" fontId="38" fillId="0" borderId="8" xfId="2" applyNumberFormat="1" applyFont="1" applyFill="1" applyBorder="1" applyAlignment="1" applyProtection="1">
      <alignment horizontal="center"/>
    </xf>
    <xf numFmtId="166" fontId="29" fillId="0" borderId="0" xfId="26" applyFont="1" applyFill="1" applyAlignment="1" applyProtection="1"/>
    <xf numFmtId="166" fontId="22" fillId="0" borderId="0" xfId="26" applyFont="1" applyFill="1" applyAlignment="1" applyProtection="1"/>
    <xf numFmtId="166" fontId="16" fillId="0" borderId="0" xfId="26" applyFont="1" applyFill="1" applyAlignment="1" applyProtection="1">
      <alignment wrapText="1"/>
    </xf>
    <xf numFmtId="166" fontId="5" fillId="0" borderId="0" xfId="26" applyFont="1" applyFill="1" applyAlignment="1" applyProtection="1"/>
    <xf numFmtId="166" fontId="59" fillId="0" borderId="0" xfId="26" applyFont="1" applyFill="1" applyAlignment="1" applyProtection="1">
      <alignment horizontal="right"/>
    </xf>
    <xf numFmtId="49" fontId="5" fillId="0" borderId="0" xfId="26" applyNumberFormat="1" applyFont="1" applyFill="1" applyAlignment="1" applyProtection="1">
      <alignment horizontal="centerContinuous"/>
    </xf>
    <xf numFmtId="166" fontId="16" fillId="0" borderId="0" xfId="26" applyFont="1" applyFill="1" applyAlignment="1" applyProtection="1">
      <alignment horizontal="right" vertical="center"/>
    </xf>
    <xf numFmtId="166" fontId="6" fillId="0" borderId="0" xfId="26" applyFont="1" applyFill="1" applyAlignment="1" applyProtection="1">
      <alignment vertical="center"/>
    </xf>
    <xf numFmtId="206" fontId="16" fillId="0" borderId="0" xfId="26" applyNumberFormat="1" applyFont="1" applyFill="1" applyAlignment="1" applyProtection="1">
      <alignment vertical="center"/>
    </xf>
    <xf numFmtId="166" fontId="16" fillId="0" borderId="0" xfId="26" applyFont="1" applyFill="1" applyAlignment="1" applyProtection="1">
      <alignment horizontal="left" vertical="center"/>
    </xf>
    <xf numFmtId="224" fontId="16" fillId="0" borderId="0" xfId="34" applyNumberFormat="1" applyFont="1" applyFill="1" applyAlignment="1" applyProtection="1">
      <alignment vertical="center"/>
    </xf>
    <xf numFmtId="166" fontId="29" fillId="0" borderId="1" xfId="26" applyFont="1" applyFill="1" applyBorder="1" applyAlignment="1" applyProtection="1">
      <alignment horizontal="center" vertical="center" wrapText="1"/>
    </xf>
    <xf numFmtId="166" fontId="29" fillId="0" borderId="9" xfId="26" applyFont="1" applyFill="1" applyBorder="1" applyAlignment="1" applyProtection="1">
      <alignment horizontal="center" vertical="center" wrapText="1"/>
    </xf>
    <xf numFmtId="166" fontId="31" fillId="0" borderId="4" xfId="26" applyFont="1" applyFill="1" applyBorder="1" applyAlignment="1" applyProtection="1">
      <alignment horizontal="left"/>
    </xf>
    <xf numFmtId="166" fontId="31" fillId="0" borderId="10" xfId="26" applyFont="1" applyFill="1" applyBorder="1" applyAlignment="1" applyProtection="1">
      <alignment horizontal="left"/>
    </xf>
    <xf numFmtId="166" fontId="31" fillId="0" borderId="1" xfId="26" applyFont="1" applyFill="1" applyBorder="1" applyAlignment="1" applyProtection="1"/>
    <xf numFmtId="166" fontId="63" fillId="0" borderId="7" xfId="26" applyFont="1" applyFill="1" applyBorder="1" applyAlignment="1" applyProtection="1">
      <alignment vertical="center"/>
    </xf>
    <xf numFmtId="166" fontId="63" fillId="0" borderId="0" xfId="26" applyFont="1" applyFill="1" applyAlignment="1" applyProtection="1">
      <alignment vertical="center"/>
    </xf>
    <xf numFmtId="0" fontId="12" fillId="0" borderId="0" xfId="26" applyNumberFormat="1" applyFont="1" applyFill="1" applyAlignment="1" applyProtection="1">
      <alignment horizontal="center"/>
    </xf>
    <xf numFmtId="0" fontId="14" fillId="0" borderId="0" xfId="26" applyNumberFormat="1" applyFont="1" applyFill="1" applyAlignment="1" applyProtection="1">
      <alignment horizontal="center" readingOrder="2"/>
    </xf>
    <xf numFmtId="0" fontId="29" fillId="0" borderId="0" xfId="26" applyNumberFormat="1" applyFont="1" applyFill="1" applyAlignment="1" applyProtection="1">
      <alignment horizontal="center"/>
    </xf>
    <xf numFmtId="166" fontId="29" fillId="0" borderId="23" xfId="26" applyFont="1" applyFill="1" applyBorder="1" applyAlignment="1" applyProtection="1">
      <alignment horizontal="center" vertical="center" wrapText="1"/>
    </xf>
    <xf numFmtId="166" fontId="64" fillId="0" borderId="0" xfId="26" applyFont="1" applyFill="1" applyAlignment="1" applyProtection="1">
      <alignment vertical="center"/>
    </xf>
    <xf numFmtId="166" fontId="29" fillId="0" borderId="1" xfId="26" applyFont="1" applyFill="1" applyBorder="1" applyAlignment="1" applyProtection="1">
      <alignment horizontal="center" vertical="center" wrapText="1"/>
    </xf>
    <xf numFmtId="166" fontId="29" fillId="0" borderId="9" xfId="26" applyFont="1" applyFill="1" applyBorder="1" applyAlignment="1" applyProtection="1">
      <alignment horizontal="center" vertical="center" wrapText="1"/>
    </xf>
    <xf numFmtId="206" fontId="28" fillId="0" borderId="1" xfId="0" applyNumberFormat="1" applyFont="1" applyFill="1" applyBorder="1" applyAlignment="1" applyProtection="1">
      <alignment vertical="center"/>
    </xf>
    <xf numFmtId="166" fontId="28" fillId="0" borderId="7" xfId="26" applyFont="1" applyFill="1" applyBorder="1" applyAlignment="1" applyProtection="1">
      <alignment vertical="center"/>
    </xf>
    <xf numFmtId="0" fontId="10" fillId="0" borderId="7" xfId="26" applyNumberFormat="1" applyFont="1" applyFill="1" applyBorder="1" applyAlignment="1" applyProtection="1">
      <alignment horizontal="right" readingOrder="2"/>
    </xf>
    <xf numFmtId="0" fontId="7" fillId="0" borderId="0" xfId="26" applyNumberFormat="1" applyFont="1" applyFill="1" applyAlignment="1" applyProtection="1">
      <alignment horizontal="centerContinuous"/>
    </xf>
    <xf numFmtId="0" fontId="11" fillId="0" borderId="0" xfId="26" applyNumberFormat="1" applyFont="1" applyFill="1" applyAlignment="1" applyProtection="1">
      <alignment horizontal="centerContinuous" readingOrder="2"/>
    </xf>
    <xf numFmtId="0" fontId="6" fillId="0" borderId="0" xfId="26" applyNumberFormat="1" applyFont="1" applyFill="1" applyAlignment="1" applyProtection="1">
      <alignment horizontal="centerContinuous"/>
    </xf>
    <xf numFmtId="166" fontId="66" fillId="0" borderId="4" xfId="26" applyFont="1" applyFill="1" applyBorder="1" applyAlignment="1" applyProtection="1">
      <alignment horizontal="center" vertical="center" wrapText="1"/>
    </xf>
    <xf numFmtId="166" fontId="66" fillId="0" borderId="3" xfId="26" applyFont="1" applyFill="1" applyBorder="1" applyAlignment="1" applyProtection="1">
      <alignment horizontal="center" vertical="center" wrapText="1"/>
    </xf>
    <xf numFmtId="166" fontId="66" fillId="0" borderId="10"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xf>
    <xf numFmtId="166" fontId="29" fillId="0" borderId="10" xfId="26" applyFont="1" applyFill="1" applyBorder="1" applyAlignment="1" applyProtection="1">
      <alignment horizontal="center" vertical="center"/>
    </xf>
    <xf numFmtId="166" fontId="29" fillId="0" borderId="12" xfId="26" applyFont="1" applyFill="1" applyBorder="1" applyAlignment="1" applyProtection="1">
      <alignment horizontal="center" vertical="center"/>
    </xf>
    <xf numFmtId="166" fontId="29" fillId="0" borderId="6" xfId="26" applyFont="1" applyFill="1" applyBorder="1" applyAlignment="1" applyProtection="1">
      <alignment horizontal="center" vertical="center"/>
    </xf>
    <xf numFmtId="166" fontId="29" fillId="0" borderId="8" xfId="26" applyFont="1" applyFill="1" applyBorder="1" applyAlignment="1" applyProtection="1">
      <alignment horizontal="center" vertical="center"/>
    </xf>
    <xf numFmtId="166" fontId="29" fillId="0" borderId="10" xfId="26" applyFont="1" applyFill="1" applyBorder="1" applyAlignment="1" applyProtection="1">
      <alignment horizontal="center" vertical="center"/>
    </xf>
    <xf numFmtId="166" fontId="31" fillId="0" borderId="1" xfId="26" applyFont="1" applyFill="1" applyBorder="1" applyAlignment="1" applyProtection="1">
      <alignment horizontal="left"/>
    </xf>
    <xf numFmtId="166" fontId="31" fillId="0" borderId="9" xfId="26" applyFont="1" applyFill="1" applyBorder="1" applyAlignment="1" applyProtection="1">
      <alignment horizontal="left"/>
    </xf>
    <xf numFmtId="224" fontId="6" fillId="0" borderId="11" xfId="2" applyNumberFormat="1" applyFont="1" applyBorder="1"/>
    <xf numFmtId="166" fontId="5" fillId="0" borderId="7" xfId="26" applyFont="1" applyFill="1" applyBorder="1" applyAlignment="1">
      <protection locked="0" hidden="1"/>
    </xf>
    <xf numFmtId="0" fontId="5" fillId="0" borderId="7" xfId="26" applyNumberFormat="1" applyFont="1" applyFill="1" applyBorder="1" applyAlignment="1" applyProtection="1"/>
    <xf numFmtId="166" fontId="5" fillId="0" borderId="0" xfId="26" applyFont="1" applyFill="1" applyAlignment="1">
      <protection locked="0" hidden="1"/>
    </xf>
    <xf numFmtId="166" fontId="10" fillId="0" borderId="0" xfId="26" applyFont="1" applyFill="1" applyAlignment="1">
      <alignment horizontal="right" readingOrder="2"/>
      <protection locked="0" hidden="1"/>
    </xf>
    <xf numFmtId="0" fontId="10" fillId="0" borderId="0" xfId="26" applyNumberFormat="1" applyFont="1" applyFill="1" applyAlignment="1" applyProtection="1">
      <alignment horizontal="right" readingOrder="2"/>
    </xf>
    <xf numFmtId="0" fontId="5" fillId="0" borderId="0" xfId="26" applyNumberFormat="1" applyFont="1" applyFill="1" applyAlignment="1" applyProtection="1">
      <alignment horizontal="centerContinuous"/>
    </xf>
    <xf numFmtId="166" fontId="28" fillId="0" borderId="0" xfId="26" applyFont="1" applyFill="1" applyAlignment="1" applyProtection="1">
      <alignment horizontal="centerContinuous" vertical="center"/>
    </xf>
    <xf numFmtId="211" fontId="28" fillId="0" borderId="0" xfId="26" applyNumberFormat="1" applyFont="1" applyFill="1" applyAlignment="1" applyProtection="1">
      <alignment vertical="center"/>
    </xf>
    <xf numFmtId="2" fontId="28" fillId="0" borderId="0" xfId="26" applyNumberFormat="1" applyFont="1" applyFill="1" applyAlignment="1" applyProtection="1">
      <alignment horizontal="centerContinuous" vertical="center"/>
    </xf>
    <xf numFmtId="2" fontId="28" fillId="0" borderId="0" xfId="26" applyNumberFormat="1" applyFont="1" applyFill="1" applyAlignment="1" applyProtection="1">
      <alignment vertical="center"/>
    </xf>
    <xf numFmtId="0" fontId="11" fillId="0" borderId="0" xfId="0" applyNumberFormat="1" applyFont="1" applyFill="1" applyAlignment="1" applyProtection="1">
      <alignment horizontal="centerContinuous" readingOrder="2"/>
    </xf>
    <xf numFmtId="166" fontId="6" fillId="0" borderId="3" xfId="0" applyFont="1" applyFill="1" applyBorder="1" applyAlignment="1">
      <alignment horizontal="left"/>
      <protection locked="0" hidden="1"/>
    </xf>
    <xf numFmtId="0" fontId="6" fillId="0" borderId="3" xfId="0" applyNumberFormat="1" applyFont="1" applyFill="1" applyBorder="1" applyAlignment="1" applyProtection="1">
      <alignment horizontal="centerContinuous" vertical="top" wrapText="1"/>
    </xf>
    <xf numFmtId="0" fontId="6" fillId="0" borderId="3" xfId="0" applyNumberFormat="1" applyFont="1" applyFill="1" applyBorder="1" applyAlignment="1" applyProtection="1">
      <alignment vertical="top" wrapText="1"/>
    </xf>
    <xf numFmtId="0" fontId="15" fillId="0" borderId="3" xfId="0" applyNumberFormat="1" applyFont="1" applyFill="1" applyBorder="1" applyAlignment="1" applyProtection="1">
      <alignment vertical="top"/>
    </xf>
    <xf numFmtId="166" fontId="15" fillId="0" borderId="3" xfId="0" applyFont="1" applyFill="1" applyBorder="1" applyAlignment="1">
      <protection locked="0" hidden="1"/>
    </xf>
    <xf numFmtId="0" fontId="6" fillId="0" borderId="0" xfId="0" applyNumberFormat="1" applyFont="1" applyFill="1" applyAlignment="1" applyProtection="1">
      <alignment vertical="top"/>
    </xf>
    <xf numFmtId="0" fontId="12" fillId="0" borderId="4" xfId="0" applyNumberFormat="1" applyFont="1" applyFill="1" applyBorder="1" applyAlignment="1" applyProtection="1">
      <alignment horizontal="left" vertical="center" indent="3"/>
    </xf>
    <xf numFmtId="0" fontId="12" fillId="0" borderId="3" xfId="0" applyNumberFormat="1" applyFont="1" applyFill="1" applyBorder="1" applyAlignment="1" applyProtection="1">
      <alignment horizontal="left" vertical="center" indent="3"/>
    </xf>
    <xf numFmtId="0" fontId="6" fillId="0" borderId="3" xfId="0" applyNumberFormat="1" applyFont="1" applyFill="1" applyBorder="1" applyAlignment="1" applyProtection="1">
      <alignment horizontal="centerContinuous" vertical="top"/>
    </xf>
    <xf numFmtId="0" fontId="6" fillId="0" borderId="5" xfId="0" applyNumberFormat="1" applyFont="1" applyFill="1" applyBorder="1" applyAlignment="1" applyProtection="1">
      <alignment vertical="top"/>
    </xf>
    <xf numFmtId="0" fontId="14" fillId="0" borderId="3" xfId="0" applyNumberFormat="1" applyFont="1" applyFill="1" applyBorder="1" applyAlignment="1" applyProtection="1">
      <alignment horizontal="right" vertical="center" indent="3"/>
    </xf>
    <xf numFmtId="0" fontId="6" fillId="0" borderId="24" xfId="0" applyNumberFormat="1" applyFont="1" applyFill="1" applyBorder="1" applyAlignment="1" applyProtection="1">
      <alignment vertical="top" wrapText="1"/>
    </xf>
    <xf numFmtId="0" fontId="12" fillId="0" borderId="5"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Continuous" vertical="top"/>
    </xf>
    <xf numFmtId="0" fontId="6" fillId="0" borderId="5" xfId="0" applyNumberFormat="1" applyFont="1" applyFill="1" applyBorder="1" applyAlignment="1" applyProtection="1">
      <alignment vertical="top" wrapText="1"/>
    </xf>
    <xf numFmtId="0" fontId="14" fillId="0" borderId="1"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xf>
    <xf numFmtId="0" fontId="12" fillId="0" borderId="4" xfId="0" applyNumberFormat="1" applyFont="1" applyFill="1" applyBorder="1" applyAlignment="1" applyProtection="1">
      <alignment horizontal="left" vertical="center" indent="2"/>
    </xf>
    <xf numFmtId="0" fontId="12" fillId="0" borderId="3" xfId="0" applyNumberFormat="1" applyFont="1" applyFill="1" applyBorder="1" applyAlignment="1" applyProtection="1">
      <alignment vertical="center"/>
    </xf>
    <xf numFmtId="0" fontId="14" fillId="0" borderId="3" xfId="0" applyNumberFormat="1" applyFont="1" applyFill="1" applyBorder="1" applyAlignment="1" applyProtection="1">
      <alignment horizontal="centerContinuous" vertical="center"/>
    </xf>
    <xf numFmtId="0" fontId="14" fillId="0" borderId="3" xfId="0" applyNumberFormat="1" applyFont="1" applyFill="1" applyBorder="1" applyAlignment="1" applyProtection="1">
      <alignment horizontal="right" vertical="center" indent="2" readingOrder="2"/>
    </xf>
    <xf numFmtId="0" fontId="14" fillId="0" borderId="15" xfId="0" applyNumberFormat="1" applyFont="1" applyFill="1" applyBorder="1" applyAlignment="1" applyProtection="1">
      <alignment horizontal="center" vertical="top" wrapText="1"/>
    </xf>
    <xf numFmtId="0" fontId="12" fillId="0" borderId="5" xfId="0" applyNumberFormat="1" applyFont="1" applyFill="1" applyBorder="1" applyAlignment="1" applyProtection="1">
      <alignment vertical="top"/>
    </xf>
    <xf numFmtId="0" fontId="12" fillId="0" borderId="12"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 vertical="top" readingOrder="2"/>
    </xf>
    <xf numFmtId="0" fontId="14" fillId="0" borderId="0" xfId="0" applyNumberFormat="1" applyFont="1" applyFill="1" applyAlignment="1" applyProtection="1">
      <alignment horizontal="center" vertical="top" readingOrder="2"/>
    </xf>
    <xf numFmtId="0" fontId="14" fillId="0" borderId="9"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horizontal="center" vertical="top" wrapText="1"/>
    </xf>
    <xf numFmtId="0" fontId="12" fillId="0" borderId="9" xfId="0" applyNumberFormat="1" applyFont="1" applyFill="1" applyBorder="1" applyAlignment="1" applyProtection="1">
      <alignment horizontal="center" vertical="top" wrapText="1"/>
    </xf>
    <xf numFmtId="0" fontId="14" fillId="0" borderId="11" xfId="0" applyNumberFormat="1" applyFont="1" applyFill="1" applyBorder="1" applyAlignment="1" applyProtection="1">
      <alignment horizontal="center" vertical="top" readingOrder="2"/>
    </xf>
    <xf numFmtId="0" fontId="14" fillId="0" borderId="11" xfId="0" applyNumberFormat="1" applyFont="1" applyFill="1" applyBorder="1" applyAlignment="1" applyProtection="1">
      <alignment horizontal="centerContinuous" vertical="top" readingOrder="2"/>
    </xf>
    <xf numFmtId="0" fontId="14" fillId="0" borderId="11"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Continuous" vertical="top"/>
    </xf>
    <xf numFmtId="0" fontId="12" fillId="0" borderId="1" xfId="0" applyNumberFormat="1" applyFont="1" applyFill="1" applyBorder="1" applyAlignment="1" applyProtection="1">
      <alignment horizontal="center"/>
    </xf>
    <xf numFmtId="0" fontId="12" fillId="0" borderId="0" xfId="0" applyNumberFormat="1" applyFont="1" applyFill="1" applyAlignment="1" applyProtection="1">
      <alignment horizontal="center" wrapText="1"/>
    </xf>
    <xf numFmtId="0" fontId="12" fillId="0" borderId="4" xfId="0" applyNumberFormat="1" applyFont="1" applyFill="1" applyBorder="1" applyAlignment="1" applyProtection="1">
      <alignment horizontal="center" vertical="top" wrapText="1"/>
    </xf>
    <xf numFmtId="0" fontId="12" fillId="0" borderId="10" xfId="0" applyNumberFormat="1" applyFont="1" applyFill="1" applyBorder="1" applyAlignment="1" applyProtection="1">
      <alignment horizontal="center" vertical="top" wrapText="1"/>
    </xf>
    <xf numFmtId="0" fontId="14" fillId="0" borderId="10" xfId="0" applyNumberFormat="1" applyFont="1" applyFill="1" applyBorder="1" applyAlignment="1" applyProtection="1">
      <alignment horizontal="center" vertical="top" readingOrder="2"/>
    </xf>
    <xf numFmtId="0" fontId="12" fillId="0" borderId="8" xfId="0" applyNumberFormat="1" applyFont="1" applyFill="1" applyBorder="1" applyAlignment="1" applyProtection="1">
      <alignment horizontal="center" vertical="top" wrapText="1"/>
    </xf>
    <xf numFmtId="0" fontId="12" fillId="0" borderId="4" xfId="0" applyNumberFormat="1" applyFont="1" applyFill="1" applyBorder="1" applyAlignment="1" applyProtection="1">
      <alignment horizontal="center" vertical="top" wrapText="1"/>
    </xf>
    <xf numFmtId="0" fontId="12" fillId="0" borderId="18" xfId="0" applyNumberFormat="1" applyFont="1" applyFill="1" applyBorder="1" applyAlignment="1" applyProtection="1"/>
    <xf numFmtId="189" fontId="18" fillId="0" borderId="1" xfId="0" applyNumberFormat="1" applyFont="1" applyFill="1" applyBorder="1" applyAlignment="1">
      <alignment horizontal="right"/>
      <protection locked="0" hidden="1"/>
    </xf>
    <xf numFmtId="189" fontId="18" fillId="0" borderId="9" xfId="0" applyNumberFormat="1" applyFont="1" applyFill="1" applyBorder="1" applyAlignment="1">
      <alignment horizontal="right"/>
      <protection locked="0" hidden="1"/>
    </xf>
    <xf numFmtId="0" fontId="18" fillId="0" borderId="7" xfId="0" applyNumberFormat="1" applyFont="1" applyFill="1" applyBorder="1" applyAlignment="1" applyProtection="1">
      <alignment wrapText="1"/>
    </xf>
    <xf numFmtId="0" fontId="8" fillId="0" borderId="7" xfId="0" applyNumberFormat="1" applyFont="1" applyFill="1" applyBorder="1" applyAlignment="1" applyProtection="1">
      <alignment horizontal="right" wrapText="1"/>
    </xf>
    <xf numFmtId="0" fontId="18" fillId="0" borderId="0" xfId="0" applyNumberFormat="1" applyFont="1" applyFill="1" applyAlignment="1" applyProtection="1">
      <alignment wrapText="1"/>
    </xf>
    <xf numFmtId="0" fontId="39" fillId="0" borderId="0" xfId="0" applyNumberFormat="1" applyFont="1" applyFill="1" applyAlignment="1" applyProtection="1">
      <alignment horizontal="centerContinuous" readingOrder="1"/>
    </xf>
    <xf numFmtId="0" fontId="59" fillId="0" borderId="0" xfId="0" applyNumberFormat="1" applyFont="1" applyFill="1" applyAlignment="1" applyProtection="1">
      <alignment horizontal="centerContinuous" readingOrder="1"/>
    </xf>
    <xf numFmtId="0" fontId="59" fillId="0" borderId="0" xfId="0" applyNumberFormat="1" applyFont="1" applyFill="1" applyAlignment="1" applyProtection="1">
      <alignment readingOrder="1"/>
    </xf>
    <xf numFmtId="166" fontId="39" fillId="0" borderId="0" xfId="0" applyFont="1" applyFill="1" applyAlignment="1" applyProtection="1">
      <alignment horizontal="centerContinuous" readingOrder="1"/>
    </xf>
    <xf numFmtId="166" fontId="51" fillId="0" borderId="7" xfId="0" applyFont="1" applyFill="1" applyBorder="1" applyAlignment="1">
      <alignment readingOrder="1"/>
      <protection locked="0" hidden="1"/>
    </xf>
    <xf numFmtId="166" fontId="51" fillId="0" borderId="6" xfId="0" applyFont="1" applyFill="1" applyBorder="1" applyAlignment="1">
      <alignment readingOrder="1"/>
      <protection locked="0" hidden="1"/>
    </xf>
    <xf numFmtId="166" fontId="51" fillId="0" borderId="3" xfId="0" applyFont="1" applyFill="1" applyBorder="1" applyAlignment="1">
      <alignment vertical="top" readingOrder="1"/>
      <protection locked="0" hidden="1"/>
    </xf>
    <xf numFmtId="166" fontId="51" fillId="0" borderId="10" xfId="0" applyFont="1" applyFill="1" applyBorder="1" applyAlignment="1">
      <alignment vertical="top" readingOrder="1"/>
      <protection locked="0" hidden="1"/>
    </xf>
    <xf numFmtId="166" fontId="51" fillId="0" borderId="6" xfId="0" applyFont="1" applyFill="1" applyBorder="1" applyAlignment="1">
      <alignment horizontal="center" vertical="center" wrapText="1" readingOrder="1"/>
      <protection locked="0" hidden="1"/>
    </xf>
    <xf numFmtId="166" fontId="51" fillId="0" borderId="10" xfId="0" applyFont="1" applyFill="1" applyBorder="1" applyAlignment="1">
      <alignment wrapText="1" readingOrder="1"/>
      <protection locked="0" hidden="1"/>
    </xf>
    <xf numFmtId="166" fontId="51" fillId="0" borderId="3" xfId="0" applyFont="1" applyFill="1" applyBorder="1" applyAlignment="1">
      <alignment wrapText="1" readingOrder="1"/>
      <protection locked="0" hidden="1"/>
    </xf>
    <xf numFmtId="166" fontId="42" fillId="0" borderId="1" xfId="0" applyFont="1" applyFill="1" applyBorder="1" applyAlignment="1" applyProtection="1">
      <alignment horizontal="center" vertical="top" wrapText="1" readingOrder="1"/>
    </xf>
    <xf numFmtId="166" fontId="42" fillId="0" borderId="9" xfId="0" applyFont="1" applyFill="1" applyBorder="1" applyAlignment="1" applyProtection="1">
      <alignment horizontal="center" vertical="top" wrapText="1" readingOrder="1"/>
    </xf>
    <xf numFmtId="166" fontId="42" fillId="0" borderId="4" xfId="0" applyFont="1" applyFill="1" applyBorder="1" applyAlignment="1" applyProtection="1">
      <alignment horizontal="center" vertical="top" wrapText="1" readingOrder="1"/>
    </xf>
    <xf numFmtId="166" fontId="42" fillId="0" borderId="10" xfId="0" applyFont="1" applyFill="1" applyBorder="1" applyAlignment="1" applyProtection="1">
      <alignment horizontal="center" vertical="top" wrapText="1" readingOrder="1"/>
    </xf>
    <xf numFmtId="166" fontId="51" fillId="0" borderId="8" xfId="0" applyFont="1" applyFill="1" applyBorder="1" applyAlignment="1">
      <alignment horizontal="center" vertical="center" wrapText="1" readingOrder="1"/>
      <protection locked="0" hidden="1"/>
    </xf>
    <xf numFmtId="166" fontId="29" fillId="0" borderId="1" xfId="0" applyFont="1" applyFill="1" applyBorder="1" applyAlignment="1">
      <alignment horizontal="left" vertical="top" readingOrder="1"/>
      <protection locked="0" hidden="1"/>
    </xf>
    <xf numFmtId="166" fontId="29" fillId="0" borderId="9" xfId="0" applyFont="1" applyFill="1" applyBorder="1" applyAlignment="1">
      <alignment horizontal="left" vertical="top" readingOrder="1"/>
      <protection locked="0" hidden="1"/>
    </xf>
    <xf numFmtId="165" fontId="16" fillId="0" borderId="11" xfId="0" applyNumberFormat="1" applyFont="1" applyFill="1" applyBorder="1" applyAlignment="1" applyProtection="1">
      <alignment horizontal="right" vertical="top" indent="1"/>
    </xf>
    <xf numFmtId="165" fontId="29" fillId="0" borderId="11" xfId="0" applyNumberFormat="1" applyFont="1" applyFill="1" applyBorder="1" applyAlignment="1" applyProtection="1">
      <alignment horizontal="right" vertical="top" indent="1"/>
    </xf>
    <xf numFmtId="165" fontId="16" fillId="0" borderId="11" xfId="0" applyNumberFormat="1" applyFont="1" applyFill="1" applyBorder="1" applyAlignment="1" applyProtection="1">
      <alignment horizontal="right" vertical="top" indent="2"/>
    </xf>
    <xf numFmtId="165" fontId="29" fillId="0" borderId="11" xfId="0" applyNumberFormat="1" applyFont="1" applyFill="1" applyBorder="1" applyAlignment="1" applyProtection="1">
      <alignment horizontal="right" vertical="top" indent="2"/>
    </xf>
    <xf numFmtId="165" fontId="29" fillId="0" borderId="9" xfId="0" applyNumberFormat="1" applyFont="1" applyFill="1" applyBorder="1" applyAlignment="1" applyProtection="1">
      <alignment horizontal="right" vertical="top" indent="2"/>
    </xf>
    <xf numFmtId="165" fontId="29" fillId="0" borderId="9" xfId="0" applyNumberFormat="1" applyFont="1" applyFill="1" applyBorder="1" applyAlignment="1" applyProtection="1">
      <alignment horizontal="right" vertical="top" indent="1"/>
    </xf>
    <xf numFmtId="165" fontId="22" fillId="0" borderId="0" xfId="0" applyNumberFormat="1" applyFont="1" applyFill="1" applyAlignment="1">
      <alignment readingOrder="1"/>
      <protection locked="0" hidden="1"/>
    </xf>
    <xf numFmtId="166" fontId="22" fillId="0" borderId="0" xfId="0" applyFont="1" applyFill="1" applyAlignment="1">
      <alignment vertical="top" readingOrder="1"/>
      <protection locked="0" hidden="1"/>
    </xf>
    <xf numFmtId="166" fontId="29" fillId="0" borderId="1" xfId="0" applyFont="1" applyFill="1" applyBorder="1" applyAlignment="1">
      <alignment horizontal="left" readingOrder="1"/>
      <protection locked="0" hidden="1"/>
    </xf>
    <xf numFmtId="166" fontId="29" fillId="0" borderId="9" xfId="0" applyFont="1" applyFill="1" applyBorder="1" applyAlignment="1">
      <alignment horizontal="left" readingOrder="1"/>
      <protection locked="0" hidden="1"/>
    </xf>
    <xf numFmtId="165" fontId="22" fillId="0" borderId="0" xfId="0" applyNumberFormat="1" applyFont="1" applyFill="1" applyAlignment="1">
      <alignment horizontal="right" indent="1" readingOrder="1"/>
      <protection locked="0" hidden="1"/>
    </xf>
    <xf numFmtId="166" fontId="22" fillId="0" borderId="0" xfId="0" applyFont="1" applyFill="1" applyAlignment="1">
      <alignment horizontal="right" indent="1" readingOrder="1"/>
      <protection locked="0" hidden="1"/>
    </xf>
    <xf numFmtId="0" fontId="16" fillId="0" borderId="7" xfId="0" applyNumberFormat="1" applyFont="1" applyFill="1" applyBorder="1" applyAlignment="1" applyProtection="1">
      <alignment readingOrder="1"/>
    </xf>
    <xf numFmtId="166" fontId="22" fillId="0" borderId="0" xfId="0" applyFont="1" applyFill="1" applyAlignment="1" applyProtection="1">
      <alignment horizontal="centerContinuous"/>
    </xf>
    <xf numFmtId="166" fontId="22" fillId="0" borderId="0" xfId="0" applyFont="1" applyFill="1" applyAlignment="1" applyProtection="1">
      <alignment horizontal="left"/>
    </xf>
    <xf numFmtId="166" fontId="5" fillId="0" borderId="0" xfId="0" applyFont="1" applyFill="1" applyAlignment="1" applyProtection="1">
      <alignment horizontal="left"/>
    </xf>
    <xf numFmtId="166" fontId="5" fillId="0" borderId="0" xfId="0" applyFont="1" applyFill="1" applyAlignment="1" applyProtection="1">
      <alignment horizontal="centerContinuous"/>
    </xf>
    <xf numFmtId="206" fontId="5" fillId="0" borderId="0" xfId="0" applyNumberFormat="1" applyFont="1" applyFill="1" applyAlignment="1" applyProtection="1">
      <alignment horizontal="centerContinuous"/>
    </xf>
    <xf numFmtId="166" fontId="5" fillId="0" borderId="0" xfId="0" applyFont="1" applyFill="1" applyAlignment="1" applyProtection="1"/>
    <xf numFmtId="206" fontId="5" fillId="0" borderId="0" xfId="0" applyNumberFormat="1" applyFont="1" applyFill="1" applyAlignment="1">
      <alignment horizontal="centerContinuous"/>
      <protection locked="0" hidden="1"/>
    </xf>
    <xf numFmtId="166" fontId="11" fillId="0" borderId="0" xfId="0" applyFont="1" applyFill="1" applyAlignment="1">
      <alignment horizontal="centerContinuous"/>
      <protection locked="0" hidden="1"/>
    </xf>
    <xf numFmtId="166" fontId="16" fillId="0" borderId="0" xfId="0" applyFont="1" applyFill="1" applyAlignment="1" applyProtection="1"/>
    <xf numFmtId="206" fontId="5" fillId="0" borderId="0" xfId="0" applyNumberFormat="1" applyFont="1" applyFill="1" applyAlignment="1" applyProtection="1"/>
    <xf numFmtId="166" fontId="16" fillId="0" borderId="0" xfId="0" applyFont="1" applyFill="1" applyAlignment="1" applyProtection="1">
      <alignment horizontal="right"/>
    </xf>
    <xf numFmtId="2" fontId="39" fillId="0" borderId="12" xfId="0" applyNumberFormat="1" applyFont="1" applyFill="1" applyBorder="1" applyAlignment="1" applyProtection="1">
      <alignment horizontal="center" vertical="center" wrapText="1"/>
    </xf>
    <xf numFmtId="166" fontId="29" fillId="0" borderId="12" xfId="0" applyFont="1" applyFill="1" applyBorder="1" applyAlignment="1" applyProtection="1">
      <alignment horizontal="centerContinuous" vertical="top" readingOrder="2"/>
    </xf>
    <xf numFmtId="166" fontId="29" fillId="0" borderId="7" xfId="0" applyFont="1" applyFill="1" applyBorder="1" applyAlignment="1" applyProtection="1">
      <alignment horizontal="centerContinuous" readingOrder="2"/>
    </xf>
    <xf numFmtId="166" fontId="29" fillId="0" borderId="6" xfId="0" applyFont="1" applyFill="1" applyBorder="1" applyAlignment="1" applyProtection="1">
      <alignment horizontal="centerContinuous"/>
    </xf>
    <xf numFmtId="166" fontId="29" fillId="0" borderId="2" xfId="0" applyFont="1" applyFill="1" applyBorder="1" applyAlignment="1" applyProtection="1">
      <alignment horizontal="centerContinuous" vertical="top"/>
    </xf>
    <xf numFmtId="166" fontId="29" fillId="0" borderId="7" xfId="0" applyFont="1" applyFill="1" applyBorder="1" applyAlignment="1" applyProtection="1">
      <alignment horizontal="centerContinuous" vertical="top"/>
    </xf>
    <xf numFmtId="166" fontId="29" fillId="0" borderId="6" xfId="0" applyFont="1" applyFill="1" applyBorder="1" applyAlignment="1" applyProtection="1">
      <alignment horizontal="centerContinuous" vertical="top"/>
    </xf>
    <xf numFmtId="206" fontId="29" fillId="0" borderId="2" xfId="0" applyNumberFormat="1" applyFont="1" applyFill="1" applyBorder="1" applyAlignment="1" applyProtection="1">
      <alignment horizontal="centerContinuous" vertical="top"/>
    </xf>
    <xf numFmtId="166" fontId="29" fillId="0" borderId="12" xfId="0" applyFont="1" applyFill="1" applyBorder="1" applyAlignment="1" applyProtection="1">
      <alignment horizontal="center" wrapText="1"/>
    </xf>
    <xf numFmtId="2" fontId="39" fillId="0" borderId="11" xfId="0" applyNumberFormat="1" applyFont="1" applyFill="1" applyBorder="1" applyAlignment="1" applyProtection="1">
      <alignment horizontal="center" vertical="center" wrapText="1"/>
    </xf>
    <xf numFmtId="166" fontId="29" fillId="0" borderId="4" xfId="0" applyFont="1" applyFill="1" applyBorder="1" applyAlignment="1" applyProtection="1">
      <alignment horizontal="center" vertical="center"/>
    </xf>
    <xf numFmtId="166" fontId="29" fillId="0" borderId="3" xfId="0" applyFont="1" applyFill="1" applyBorder="1" applyAlignment="1" applyProtection="1">
      <alignment horizontal="center" vertical="center"/>
    </xf>
    <xf numFmtId="166" fontId="29" fillId="0" borderId="10" xfId="0" applyFont="1" applyFill="1" applyBorder="1" applyAlignment="1" applyProtection="1">
      <alignment horizontal="center" vertical="center"/>
    </xf>
    <xf numFmtId="166" fontId="29" fillId="0" borderId="1" xfId="0" applyFont="1" applyFill="1" applyBorder="1" applyAlignment="1" applyProtection="1">
      <alignment horizontal="center" vertical="center"/>
    </xf>
    <xf numFmtId="166" fontId="29" fillId="0" borderId="0" xfId="0" applyFont="1" applyFill="1" applyAlignment="1" applyProtection="1">
      <alignment horizontal="center" vertical="center"/>
    </xf>
    <xf numFmtId="166" fontId="29" fillId="0" borderId="9" xfId="0" applyFont="1" applyFill="1" applyBorder="1" applyAlignment="1" applyProtection="1">
      <alignment horizontal="center" vertical="center"/>
    </xf>
    <xf numFmtId="0" fontId="16" fillId="0" borderId="11" xfId="0" applyNumberFormat="1" applyFont="1" applyFill="1" applyBorder="1" applyAlignment="1" applyProtection="1"/>
    <xf numFmtId="166" fontId="29" fillId="0" borderId="12" xfId="0" applyFont="1" applyFill="1" applyBorder="1" applyAlignment="1" applyProtection="1">
      <alignment horizontal="center"/>
    </xf>
    <xf numFmtId="166" fontId="29" fillId="0" borderId="4" xfId="0" applyFont="1" applyFill="1" applyBorder="1" applyAlignment="1" applyProtection="1">
      <alignment horizontal="centerContinuous" vertical="center"/>
    </xf>
    <xf numFmtId="166" fontId="16" fillId="0" borderId="10" xfId="0" applyFont="1" applyFill="1" applyBorder="1" applyAlignment="1" applyProtection="1">
      <alignment horizontal="centerContinuous" vertical="center"/>
    </xf>
    <xf numFmtId="166" fontId="16" fillId="0" borderId="3" xfId="0" applyFont="1" applyFill="1" applyBorder="1" applyAlignment="1" applyProtection="1">
      <alignment horizontal="centerContinuous" vertical="center"/>
    </xf>
    <xf numFmtId="166" fontId="29" fillId="0" borderId="11" xfId="0" applyFont="1" applyFill="1" applyBorder="1" applyAlignment="1" applyProtection="1">
      <alignment horizontal="center"/>
    </xf>
    <xf numFmtId="206" fontId="29" fillId="0" borderId="4" xfId="0" applyNumberFormat="1" applyFont="1" applyFill="1" applyBorder="1" applyAlignment="1" applyProtection="1">
      <alignment horizontal="centerContinuous" vertical="center"/>
    </xf>
    <xf numFmtId="166" fontId="29" fillId="0" borderId="11" xfId="0" applyFont="1" applyFill="1" applyBorder="1" applyAlignment="1" applyProtection="1">
      <alignment horizontal="center" vertical="top" wrapText="1"/>
    </xf>
    <xf numFmtId="166" fontId="44" fillId="0" borderId="12" xfId="0" applyFont="1" applyFill="1" applyBorder="1" applyAlignment="1" applyProtection="1">
      <alignment horizontal="center"/>
    </xf>
    <xf numFmtId="166" fontId="29" fillId="0" borderId="11" xfId="0" applyFont="1" applyFill="1" applyBorder="1" applyAlignment="1" applyProtection="1">
      <alignment horizontal="center" vertical="top"/>
    </xf>
    <xf numFmtId="206" fontId="44" fillId="0" borderId="12" xfId="0" applyNumberFormat="1" applyFont="1" applyFill="1" applyBorder="1" applyAlignment="1" applyProtection="1">
      <alignment horizontal="center"/>
    </xf>
    <xf numFmtId="2" fontId="39" fillId="0" borderId="8" xfId="0" applyNumberFormat="1" applyFont="1" applyFill="1" applyBorder="1" applyAlignment="1" applyProtection="1">
      <alignment horizontal="center" vertical="center" wrapText="1"/>
    </xf>
    <xf numFmtId="166" fontId="44" fillId="0" borderId="8" xfId="0" applyFont="1" applyFill="1" applyBorder="1" applyAlignment="1" applyProtection="1">
      <alignment horizontal="center"/>
    </xf>
    <xf numFmtId="166" fontId="44" fillId="0" borderId="4" xfId="0" applyFont="1" applyFill="1" applyBorder="1" applyAlignment="1" applyProtection="1">
      <alignment horizontal="center"/>
    </xf>
    <xf numFmtId="166" fontId="29" fillId="0" borderId="8" xfId="0" applyFont="1" applyFill="1" applyBorder="1" applyAlignment="1" applyProtection="1">
      <alignment horizontal="center" vertical="top"/>
    </xf>
    <xf numFmtId="206" fontId="44" fillId="0" borderId="8" xfId="0" applyNumberFormat="1" applyFont="1" applyFill="1" applyBorder="1" applyAlignment="1" applyProtection="1">
      <alignment horizontal="center"/>
    </xf>
    <xf numFmtId="0" fontId="16" fillId="0" borderId="8" xfId="0" applyNumberFormat="1" applyFont="1" applyFill="1" applyBorder="1" applyAlignment="1" applyProtection="1"/>
    <xf numFmtId="166" fontId="29" fillId="0" borderId="8" xfId="0" applyFont="1" applyFill="1" applyBorder="1" applyAlignment="1" applyProtection="1">
      <alignment horizontal="left" indent="1"/>
    </xf>
    <xf numFmtId="166" fontId="29" fillId="0" borderId="8" xfId="0" applyFont="1" applyFill="1" applyBorder="1" applyAlignment="1" applyProtection="1">
      <alignment horizontal="right" indent="1"/>
    </xf>
    <xf numFmtId="166" fontId="16" fillId="0" borderId="8" xfId="0" applyFont="1" applyFill="1" applyBorder="1" applyAlignment="1" applyProtection="1">
      <alignment horizontal="left" wrapText="1" indent="1"/>
    </xf>
    <xf numFmtId="166" fontId="16" fillId="0" borderId="8" xfId="0" applyFont="1" applyFill="1" applyBorder="1" applyAlignment="1" applyProtection="1">
      <alignment horizontal="right" wrapText="1" indent="1"/>
    </xf>
    <xf numFmtId="166" fontId="16" fillId="0" borderId="23" xfId="0" applyFont="1" applyFill="1" applyBorder="1" applyAlignment="1" applyProtection="1">
      <alignment horizontal="left" indent="1"/>
    </xf>
    <xf numFmtId="166" fontId="16" fillId="0" borderId="23" xfId="0" applyFont="1" applyFill="1" applyBorder="1" applyAlignment="1" applyProtection="1">
      <alignment horizontal="right" indent="1"/>
    </xf>
    <xf numFmtId="166" fontId="16" fillId="0" borderId="12" xfId="0" applyFont="1" applyFill="1" applyBorder="1" applyAlignment="1" applyProtection="1">
      <alignment horizontal="left" indent="1"/>
    </xf>
    <xf numFmtId="166" fontId="16" fillId="0" borderId="12" xfId="0" applyFont="1" applyFill="1" applyBorder="1" applyAlignment="1" applyProtection="1">
      <alignment horizontal="right" indent="1"/>
    </xf>
    <xf numFmtId="166" fontId="16" fillId="0" borderId="12" xfId="0" applyFont="1" applyFill="1" applyBorder="1" applyAlignment="1" applyProtection="1">
      <alignment horizontal="left" wrapText="1" indent="1"/>
    </xf>
    <xf numFmtId="166" fontId="16" fillId="0" borderId="12" xfId="0" applyFont="1" applyFill="1" applyBorder="1" applyAlignment="1" applyProtection="1">
      <alignment horizontal="right" wrapText="1" indent="1"/>
    </xf>
    <xf numFmtId="165" fontId="5" fillId="4" borderId="12" xfId="0" applyNumberFormat="1" applyFont="1" applyFill="1" applyBorder="1" applyAlignment="1" applyProtection="1"/>
    <xf numFmtId="165" fontId="5" fillId="4" borderId="23" xfId="0" applyNumberFormat="1" applyFont="1" applyFill="1" applyBorder="1" applyAlignment="1" applyProtection="1"/>
    <xf numFmtId="206" fontId="44" fillId="0" borderId="0" xfId="0" applyNumberFormat="1" applyFont="1" applyFill="1" applyAlignment="1" applyProtection="1"/>
    <xf numFmtId="166" fontId="5" fillId="0" borderId="0" xfId="0" applyFont="1" applyFill="1" applyAlignment="1">
      <alignment horizontal="centerContinuous" wrapText="1"/>
      <protection locked="0" hidden="1"/>
    </xf>
    <xf numFmtId="166" fontId="7" fillId="0" borderId="0" xfId="0" applyFont="1" applyFill="1" applyAlignment="1">
      <alignment horizontal="centerContinuous" wrapText="1"/>
      <protection locked="0" hidden="1"/>
    </xf>
    <xf numFmtId="165" fontId="16" fillId="0" borderId="11" xfId="0" applyNumberFormat="1" applyFont="1" applyFill="1" applyBorder="1" applyAlignment="1">
      <alignment horizontal="right" readingOrder="2"/>
      <protection locked="0" hidden="1"/>
    </xf>
    <xf numFmtId="166" fontId="51" fillId="0" borderId="7" xfId="0" applyFont="1" applyFill="1" applyBorder="1" applyAlignment="1">
      <protection locked="0" hidden="1"/>
    </xf>
    <xf numFmtId="166" fontId="11" fillId="0" borderId="0" xfId="0" applyFont="1" applyFill="1" applyAlignment="1">
      <alignment horizontal="centerContinuous" wrapText="1"/>
      <protection locked="0" hidden="1"/>
    </xf>
    <xf numFmtId="0" fontId="11" fillId="0" borderId="0" xfId="0" applyNumberFormat="1" applyFont="1" applyFill="1" applyAlignment="1" applyProtection="1">
      <alignment horizontal="centerContinuous" wrapText="1"/>
    </xf>
    <xf numFmtId="0" fontId="6" fillId="0" borderId="0" xfId="0" applyNumberFormat="1" applyFont="1" applyFill="1" applyAlignment="1" applyProtection="1">
      <alignment horizontal="centerContinuous" wrapText="1"/>
    </xf>
    <xf numFmtId="0" fontId="7" fillId="0" borderId="0" xfId="0" applyNumberFormat="1" applyFont="1" applyFill="1" applyAlignment="1" applyProtection="1">
      <alignment horizontal="centerContinuous" wrapText="1"/>
    </xf>
    <xf numFmtId="0" fontId="7" fillId="0" borderId="0" xfId="0" applyNumberFormat="1" applyFont="1" applyFill="1" applyAlignment="1" applyProtection="1">
      <alignment horizontal="centerContinuous" readingOrder="1"/>
    </xf>
    <xf numFmtId="0" fontId="12" fillId="0" borderId="22" xfId="0" applyNumberFormat="1" applyFont="1" applyFill="1" applyBorder="1" applyAlignment="1" applyProtection="1">
      <alignment horizontal="right" vertical="center" indent="2" readingOrder="2"/>
    </xf>
    <xf numFmtId="0" fontId="12" fillId="0" borderId="21" xfId="0" applyNumberFormat="1" applyFont="1" applyFill="1" applyBorder="1" applyAlignment="1" applyProtection="1">
      <alignment horizontal="left" vertical="center" indent="2"/>
    </xf>
    <xf numFmtId="0" fontId="12" fillId="0" borderId="12" xfId="0" applyNumberFormat="1" applyFont="1" applyFill="1" applyBorder="1" applyAlignment="1" applyProtection="1">
      <alignment horizontal="right" vertical="center" readingOrder="2"/>
    </xf>
    <xf numFmtId="165" fontId="18" fillId="0" borderId="1" xfId="0" applyNumberFormat="1" applyFont="1" applyFill="1" applyBorder="1" applyAlignment="1">
      <alignment horizontal="right" indent="1"/>
      <protection locked="0" hidden="1"/>
    </xf>
    <xf numFmtId="165" fontId="18" fillId="0" borderId="1" xfId="0" applyNumberFormat="1" applyFont="1" applyFill="1" applyBorder="1" applyAlignment="1">
      <alignment horizontal="right" indent="1" readingOrder="1"/>
      <protection locked="0" hidden="1"/>
    </xf>
    <xf numFmtId="165" fontId="18" fillId="0" borderId="11" xfId="0" applyNumberFormat="1" applyFont="1" applyFill="1" applyBorder="1" applyAlignment="1">
      <alignment horizontal="right" indent="1"/>
      <protection locked="0" hidden="1"/>
    </xf>
    <xf numFmtId="165" fontId="18" fillId="0" borderId="1" xfId="0" applyNumberFormat="1" applyFont="1" applyFill="1" applyBorder="1" applyAlignment="1">
      <alignment horizontal="right" vertical="top" indent="1"/>
      <protection locked="0" hidden="1"/>
    </xf>
    <xf numFmtId="165" fontId="18" fillId="0" borderId="11" xfId="0" applyNumberFormat="1" applyFont="1" applyFill="1" applyBorder="1" applyAlignment="1">
      <alignment horizontal="right" vertical="top" indent="1"/>
      <protection locked="0" hidden="1"/>
    </xf>
    <xf numFmtId="165" fontId="22" fillId="0" borderId="8" xfId="0" applyNumberFormat="1" applyFont="1" applyFill="1" applyBorder="1" applyAlignment="1">
      <alignment horizontal="center"/>
      <protection locked="0" hidden="1"/>
    </xf>
    <xf numFmtId="0" fontId="51" fillId="0" borderId="7" xfId="0" applyNumberFormat="1" applyFont="1" applyFill="1" applyBorder="1" applyAlignment="1" applyProtection="1">
      <alignment horizontal="right" readingOrder="2"/>
    </xf>
    <xf numFmtId="0" fontId="51" fillId="0" borderId="0" xfId="0" applyNumberFormat="1" applyFont="1" applyFill="1" applyAlignment="1" applyProtection="1">
      <alignment horizontal="right" readingOrder="2"/>
    </xf>
    <xf numFmtId="0" fontId="12" fillId="0" borderId="21" xfId="0" applyNumberFormat="1" applyFont="1" applyFill="1" applyBorder="1" applyAlignment="1" applyProtection="1">
      <alignment horizontal="centerContinuous" vertical="center" readingOrder="1"/>
    </xf>
    <xf numFmtId="0" fontId="12" fillId="0" borderId="5" xfId="0" applyNumberFormat="1" applyFont="1" applyFill="1" applyBorder="1" applyAlignment="1" applyProtection="1">
      <alignment horizontal="centerContinuous" vertical="center" readingOrder="2"/>
    </xf>
    <xf numFmtId="0" fontId="12" fillId="0" borderId="22" xfId="0" applyNumberFormat="1" applyFont="1" applyFill="1" applyBorder="1" applyAlignment="1" applyProtection="1">
      <alignment horizontal="right" vertical="center" readingOrder="2"/>
    </xf>
    <xf numFmtId="0" fontId="12" fillId="0" borderId="21" xfId="0" applyNumberFormat="1" applyFont="1" applyFill="1" applyBorder="1" applyAlignment="1" applyProtection="1">
      <alignment vertical="center"/>
    </xf>
    <xf numFmtId="0" fontId="12" fillId="0" borderId="5" xfId="0" applyNumberFormat="1" applyFont="1" applyFill="1" applyBorder="1" applyAlignment="1" applyProtection="1">
      <alignment horizontal="right" vertical="center" readingOrder="2"/>
    </xf>
    <xf numFmtId="164" fontId="51" fillId="0" borderId="0" xfId="0" applyNumberFormat="1" applyFont="1" applyFill="1" applyAlignment="1" applyProtection="1"/>
    <xf numFmtId="166" fontId="18" fillId="0" borderId="0" xfId="0" applyFont="1" applyFill="1" applyAlignment="1">
      <alignment readingOrder="1"/>
      <protection locked="0" hidden="1"/>
    </xf>
    <xf numFmtId="165" fontId="16" fillId="0" borderId="9" xfId="0" applyNumberFormat="1" applyFont="1" applyFill="1" applyBorder="1" applyAlignment="1">
      <alignment horizontal="right"/>
      <protection locked="0" hidden="1"/>
    </xf>
    <xf numFmtId="206" fontId="5" fillId="0" borderId="7" xfId="0" applyNumberFormat="1" applyFont="1" applyFill="1" applyBorder="1" applyAlignment="1">
      <protection locked="0" hidden="1"/>
    </xf>
    <xf numFmtId="206" fontId="51" fillId="0" borderId="7" xfId="0" applyNumberFormat="1" applyFont="1" applyFill="1" applyBorder="1" applyAlignment="1">
      <protection locked="0" hidden="1"/>
    </xf>
    <xf numFmtId="206" fontId="51" fillId="0" borderId="0" xfId="0" applyNumberFormat="1" applyFont="1" applyFill="1" applyAlignment="1">
      <protection locked="0" hidden="1"/>
    </xf>
    <xf numFmtId="166" fontId="12" fillId="0" borderId="2" xfId="0" applyFont="1" applyFill="1" applyBorder="1" applyAlignment="1">
      <alignment vertical="center"/>
      <protection locked="0" hidden="1"/>
    </xf>
    <xf numFmtId="0" fontId="12" fillId="0" borderId="23" xfId="0" applyNumberFormat="1" applyFont="1" applyFill="1" applyBorder="1" applyAlignment="1" applyProtection="1">
      <alignment horizontal="left" vertical="center" indent="1" readingOrder="1"/>
    </xf>
    <xf numFmtId="0" fontId="14" fillId="0" borderId="22" xfId="0" applyNumberFormat="1" applyFont="1" applyFill="1" applyBorder="1" applyAlignment="1" applyProtection="1">
      <alignment horizontal="right" vertical="center" indent="1" readingOrder="2"/>
    </xf>
    <xf numFmtId="166" fontId="12" fillId="0" borderId="21" xfId="0" applyFont="1" applyFill="1" applyBorder="1" applyAlignment="1">
      <alignment horizontal="left" vertical="center" indent="1" readingOrder="1"/>
      <protection locked="0" hidden="1"/>
    </xf>
    <xf numFmtId="166" fontId="14" fillId="0" borderId="22" xfId="0" applyFont="1" applyFill="1" applyBorder="1" applyAlignment="1">
      <alignment horizontal="right" vertical="center" indent="1" readingOrder="2"/>
      <protection locked="0" hidden="1"/>
    </xf>
    <xf numFmtId="166" fontId="12" fillId="0" borderId="13" xfId="0" applyFont="1" applyFill="1" applyBorder="1" applyAlignment="1">
      <alignment vertical="center"/>
      <protection locked="0" hidden="1"/>
    </xf>
    <xf numFmtId="166" fontId="14" fillId="0" borderId="20" xfId="0" applyFont="1" applyFill="1" applyBorder="1" applyAlignment="1">
      <alignment horizontal="center" vertical="top"/>
      <protection locked="0" hidden="1"/>
    </xf>
    <xf numFmtId="166" fontId="12" fillId="0" borderId="1" xfId="0" applyFont="1" applyFill="1" applyBorder="1" applyAlignment="1">
      <alignment vertical="top"/>
      <protection locked="0" hidden="1"/>
    </xf>
    <xf numFmtId="166" fontId="12" fillId="0" borderId="0" xfId="0" applyFont="1" applyFill="1" applyAlignment="1">
      <alignment vertical="top"/>
      <protection locked="0" hidden="1"/>
    </xf>
    <xf numFmtId="166" fontId="14" fillId="0" borderId="1" xfId="0" applyFont="1" applyFill="1" applyBorder="1" applyAlignment="1">
      <alignment horizontal="center" vertical="top"/>
      <protection locked="0" hidden="1"/>
    </xf>
    <xf numFmtId="166" fontId="14" fillId="0" borderId="11" xfId="0" applyFont="1" applyFill="1" applyBorder="1" applyAlignment="1">
      <alignment horizontal="center" vertical="top"/>
      <protection locked="0" hidden="1"/>
    </xf>
    <xf numFmtId="166" fontId="14" fillId="0" borderId="11" xfId="0" applyFont="1" applyFill="1" applyBorder="1" applyAlignment="1">
      <alignment horizontal="centerContinuous" vertical="top"/>
      <protection locked="0" hidden="1"/>
    </xf>
    <xf numFmtId="166" fontId="12" fillId="0" borderId="11" xfId="0" applyFont="1" applyFill="1" applyBorder="1" applyAlignment="1">
      <alignment vertical="top"/>
      <protection locked="0" hidden="1"/>
    </xf>
    <xf numFmtId="166" fontId="14" fillId="0" borderId="6" xfId="0" applyFont="1" applyFill="1" applyBorder="1" applyAlignment="1">
      <alignment horizontal="centerContinuous" vertical="top"/>
      <protection locked="0" hidden="1"/>
    </xf>
    <xf numFmtId="166" fontId="12" fillId="0" borderId="6" xfId="0" applyFont="1" applyFill="1" applyBorder="1" applyAlignment="1">
      <alignment horizontal="centerContinuous" vertical="top"/>
      <protection locked="0" hidden="1"/>
    </xf>
    <xf numFmtId="166" fontId="14" fillId="0" borderId="19" xfId="0" applyFont="1" applyFill="1" applyBorder="1" applyAlignment="1">
      <alignment horizontal="center" vertical="top"/>
      <protection locked="0" hidden="1"/>
    </xf>
    <xf numFmtId="166" fontId="14" fillId="0" borderId="11" xfId="0" applyFont="1" applyFill="1" applyBorder="1" applyAlignment="1">
      <alignment horizontal="center" vertical="top" readingOrder="2"/>
      <protection locked="0" hidden="1"/>
    </xf>
    <xf numFmtId="166" fontId="12" fillId="0" borderId="20" xfId="0" applyFont="1" applyFill="1" applyBorder="1" applyAlignment="1">
      <alignment horizontal="center" vertical="top"/>
      <protection locked="0" hidden="1"/>
    </xf>
    <xf numFmtId="166" fontId="12" fillId="0" borderId="0" xfId="0" applyFont="1" applyFill="1" applyAlignment="1">
      <alignment horizontal="centerContinuous" vertical="top"/>
      <protection locked="0" hidden="1"/>
    </xf>
    <xf numFmtId="166" fontId="12" fillId="0" borderId="11" xfId="0" applyFont="1" applyFill="1" applyBorder="1" applyAlignment="1">
      <alignment horizontal="center" vertical="top"/>
      <protection locked="0" hidden="1"/>
    </xf>
    <xf numFmtId="166" fontId="12" fillId="0" borderId="11" xfId="0" applyFont="1" applyFill="1" applyBorder="1" applyAlignment="1">
      <alignment horizontal="centerContinuous" vertical="top"/>
      <protection locked="0" hidden="1"/>
    </xf>
    <xf numFmtId="166" fontId="12" fillId="0" borderId="19" xfId="0" applyFont="1" applyFill="1" applyBorder="1" applyAlignment="1">
      <alignment horizontal="center" vertical="top"/>
      <protection locked="0" hidden="1"/>
    </xf>
    <xf numFmtId="166" fontId="12" fillId="0" borderId="4" xfId="0" applyFont="1" applyFill="1" applyBorder="1" applyAlignment="1">
      <alignment horizontal="centerContinuous" vertical="top"/>
      <protection locked="0" hidden="1"/>
    </xf>
    <xf numFmtId="166" fontId="12" fillId="0" borderId="3" xfId="0" applyFont="1" applyFill="1" applyBorder="1" applyAlignment="1">
      <alignment horizontal="centerContinuous" vertical="top"/>
      <protection locked="0" hidden="1"/>
    </xf>
    <xf numFmtId="166" fontId="12" fillId="0" borderId="8" xfId="0" applyFont="1" applyFill="1" applyBorder="1" applyAlignment="1">
      <alignment horizontal="center" vertical="top"/>
      <protection locked="0" hidden="1"/>
    </xf>
    <xf numFmtId="166" fontId="12" fillId="0" borderId="10" xfId="0" applyFont="1" applyFill="1" applyBorder="1" applyAlignment="1">
      <alignment horizontal="center" vertical="top"/>
      <protection locked="0" hidden="1"/>
    </xf>
    <xf numFmtId="166" fontId="12" fillId="0" borderId="10" xfId="0" applyFont="1" applyFill="1" applyBorder="1" applyAlignment="1">
      <alignment vertical="top"/>
      <protection locked="0" hidden="1"/>
    </xf>
    <xf numFmtId="166" fontId="12" fillId="0" borderId="8" xfId="0" applyFont="1" applyFill="1" applyBorder="1" applyAlignment="1">
      <alignment vertical="top"/>
      <protection locked="0" hidden="1"/>
    </xf>
    <xf numFmtId="166" fontId="12" fillId="0" borderId="14" xfId="0" applyFont="1" applyFill="1" applyBorder="1" applyAlignment="1">
      <alignment vertical="top"/>
      <protection locked="0" hidden="1"/>
    </xf>
    <xf numFmtId="176" fontId="18" fillId="0" borderId="11" xfId="0" applyNumberFormat="1" applyFont="1" applyFill="1" applyBorder="1" applyAlignment="1">
      <protection locked="0" hidden="1"/>
    </xf>
    <xf numFmtId="202" fontId="18" fillId="0" borderId="11" xfId="0" applyNumberFormat="1" applyFont="1" applyFill="1" applyBorder="1" applyAlignment="1">
      <protection locked="0" hidden="1"/>
    </xf>
    <xf numFmtId="170" fontId="18" fillId="0" borderId="11" xfId="0" applyNumberFormat="1" applyFont="1" applyFill="1" applyBorder="1" applyAlignment="1">
      <protection locked="0" hidden="1"/>
    </xf>
    <xf numFmtId="177" fontId="18" fillId="0" borderId="11" xfId="0" applyNumberFormat="1" applyFont="1" applyFill="1" applyBorder="1" applyAlignment="1">
      <protection locked="0" hidden="1"/>
    </xf>
    <xf numFmtId="178" fontId="18" fillId="0" borderId="11" xfId="0" applyNumberFormat="1" applyFont="1" applyFill="1" applyBorder="1" applyAlignment="1">
      <protection locked="0" hidden="1"/>
    </xf>
    <xf numFmtId="167" fontId="22" fillId="0" borderId="12" xfId="0" applyNumberFormat="1" applyFont="1" applyFill="1" applyBorder="1" applyAlignment="1">
      <protection locked="0" hidden="1"/>
    </xf>
    <xf numFmtId="183" fontId="18" fillId="0" borderId="11" xfId="0" applyNumberFormat="1" applyFont="1" applyFill="1" applyBorder="1" applyAlignment="1">
      <protection locked="0" hidden="1"/>
    </xf>
    <xf numFmtId="188" fontId="18" fillId="0" borderId="20" xfId="0" applyNumberFormat="1" applyFont="1" applyFill="1" applyBorder="1" applyAlignment="1">
      <protection locked="0" hidden="1"/>
    </xf>
    <xf numFmtId="164" fontId="22" fillId="0" borderId="0" xfId="0" applyNumberFormat="1" applyFont="1" applyFill="1" applyAlignment="1">
      <alignment vertical="top"/>
      <protection locked="0" hidden="1"/>
    </xf>
    <xf numFmtId="1" fontId="22" fillId="0" borderId="0" xfId="0" applyNumberFormat="1" applyFont="1" applyFill="1" applyAlignment="1">
      <alignment vertical="top"/>
      <protection locked="0" hidden="1"/>
    </xf>
    <xf numFmtId="165" fontId="6" fillId="0" borderId="0" xfId="0" applyNumberFormat="1" applyFont="1" applyFill="1" applyAlignment="1">
      <protection locked="0" hidden="1"/>
    </xf>
    <xf numFmtId="165" fontId="6" fillId="0" borderId="0" xfId="0" applyNumberFormat="1" applyFont="1" applyFill="1" applyAlignment="1">
      <alignment horizontal="centerContinuous"/>
      <protection locked="0" hidden="1"/>
    </xf>
    <xf numFmtId="206" fontId="8" fillId="0" borderId="0" xfId="0" applyNumberFormat="1" applyFont="1" applyFill="1" applyAlignment="1">
      <alignment horizontal="centerContinuous"/>
      <protection locked="0" hidden="1"/>
    </xf>
    <xf numFmtId="0" fontId="12" fillId="0" borderId="21" xfId="0" applyNumberFormat="1" applyFont="1" applyFill="1" applyBorder="1" applyAlignment="1" applyProtection="1">
      <alignment horizontal="left" vertical="center" indent="1" readingOrder="1"/>
    </xf>
    <xf numFmtId="166" fontId="14" fillId="0" borderId="19" xfId="0" applyFont="1" applyFill="1" applyBorder="1" applyAlignment="1">
      <alignment horizontal="center"/>
      <protection locked="0" hidden="1"/>
    </xf>
    <xf numFmtId="0" fontId="5" fillId="0" borderId="11" xfId="0" applyNumberFormat="1" applyFont="1" applyFill="1" applyBorder="1" applyAlignment="1" applyProtection="1"/>
    <xf numFmtId="166" fontId="12" fillId="0" borderId="3" xfId="0" applyFont="1" applyFill="1" applyBorder="1" applyAlignment="1">
      <alignment horizontal="center" vertical="top"/>
      <protection locked="0" hidden="1"/>
    </xf>
    <xf numFmtId="166" fontId="12" fillId="0" borderId="17" xfId="0" applyFont="1" applyFill="1" applyBorder="1" applyAlignment="1">
      <alignment horizontal="center" vertical="top"/>
      <protection locked="0" hidden="1"/>
    </xf>
    <xf numFmtId="166" fontId="8" fillId="0" borderId="0" xfId="0" applyFont="1" applyFill="1" applyAlignment="1">
      <alignment horizontal="center" vertical="top"/>
      <protection locked="0" hidden="1"/>
    </xf>
    <xf numFmtId="170" fontId="18" fillId="0" borderId="11" xfId="0" applyNumberFormat="1" applyFont="1" applyFill="1" applyBorder="1" applyAlignment="1">
      <alignment horizontal="right" indent="1"/>
      <protection locked="0" hidden="1"/>
    </xf>
    <xf numFmtId="164" fontId="18" fillId="0" borderId="11" xfId="0" applyNumberFormat="1" applyFont="1" applyFill="1" applyBorder="1" applyAlignment="1">
      <alignment horizontal="right" indent="2"/>
      <protection locked="0" hidden="1"/>
    </xf>
    <xf numFmtId="179" fontId="18" fillId="0" borderId="11" xfId="0" applyNumberFormat="1" applyFont="1" applyFill="1" applyBorder="1" applyAlignment="1">
      <protection locked="0" hidden="1"/>
    </xf>
    <xf numFmtId="216" fontId="18" fillId="0" borderId="9" xfId="0" applyNumberFormat="1" applyFont="1" applyFill="1" applyBorder="1" applyAlignment="1">
      <protection locked="0" hidden="1"/>
    </xf>
    <xf numFmtId="165" fontId="18" fillId="0" borderId="9" xfId="0" applyNumberFormat="1" applyFont="1" applyFill="1" applyBorder="1" applyAlignment="1">
      <alignment horizontal="right" indent="1"/>
      <protection locked="0" hidden="1"/>
    </xf>
    <xf numFmtId="170" fontId="18" fillId="0" borderId="9" xfId="0" applyNumberFormat="1" applyFont="1" applyFill="1" applyBorder="1" applyAlignment="1">
      <alignment horizontal="right" indent="1"/>
      <protection locked="0" hidden="1"/>
    </xf>
    <xf numFmtId="167" fontId="18" fillId="0" borderId="20" xfId="0" applyNumberFormat="1" applyFont="1" applyFill="1" applyBorder="1" applyAlignment="1">
      <protection locked="0" hidden="1"/>
    </xf>
    <xf numFmtId="216" fontId="22" fillId="0" borderId="11" xfId="0" applyNumberFormat="1" applyFont="1" applyFill="1" applyBorder="1" applyAlignment="1">
      <protection locked="0" hidden="1"/>
    </xf>
    <xf numFmtId="216" fontId="22" fillId="0" borderId="8" xfId="0" applyNumberFormat="1" applyFont="1" applyFill="1" applyBorder="1" applyAlignment="1">
      <protection locked="0" hidden="1"/>
    </xf>
    <xf numFmtId="166" fontId="5" fillId="0" borderId="7" xfId="0" applyFont="1" applyFill="1" applyBorder="1" applyAlignment="1">
      <alignment readingOrder="2"/>
      <protection locked="0" hidden="1"/>
    </xf>
    <xf numFmtId="22" fontId="8" fillId="0" borderId="0" xfId="0" applyNumberFormat="1" applyFont="1" applyFill="1" applyAlignment="1">
      <alignment horizontal="left"/>
      <protection locked="0" hidden="1"/>
    </xf>
    <xf numFmtId="187" fontId="22" fillId="0" borderId="1" xfId="0" applyNumberFormat="1" applyFont="1" applyFill="1" applyBorder="1" applyAlignment="1">
      <alignment horizontal="right"/>
      <protection locked="0" hidden="1"/>
    </xf>
    <xf numFmtId="220" fontId="22" fillId="0" borderId="1" xfId="0" applyNumberFormat="1" applyFont="1" applyFill="1" applyBorder="1" applyAlignment="1">
      <alignment horizontal="right"/>
      <protection locked="0" hidden="1"/>
    </xf>
    <xf numFmtId="223" fontId="22" fillId="0" borderId="1" xfId="0" applyNumberFormat="1" applyFont="1" applyFill="1" applyBorder="1" applyAlignment="1">
      <alignment horizontal="right"/>
      <protection locked="0" hidden="1"/>
    </xf>
    <xf numFmtId="208" fontId="22" fillId="0" borderId="1" xfId="0" applyNumberFormat="1" applyFont="1" applyFill="1" applyBorder="1" applyAlignment="1">
      <alignment horizontal="right"/>
      <protection locked="0" hidden="1"/>
    </xf>
    <xf numFmtId="177" fontId="22" fillId="0" borderId="4" xfId="0" applyNumberFormat="1" applyFont="1" applyFill="1" applyBorder="1" applyAlignment="1">
      <alignment horizontal="right"/>
      <protection locked="0" hidden="1"/>
    </xf>
    <xf numFmtId="171" fontId="22" fillId="0" borderId="4" xfId="0" applyNumberFormat="1" applyFont="1" applyFill="1" applyBorder="1" applyAlignment="1">
      <alignment horizontal="right"/>
      <protection locked="0" hidden="1"/>
    </xf>
    <xf numFmtId="187" fontId="22" fillId="0" borderId="4" xfId="0" applyNumberFormat="1" applyFont="1" applyFill="1" applyBorder="1" applyAlignment="1">
      <alignment horizontal="right"/>
      <protection locked="0" hidden="1"/>
    </xf>
    <xf numFmtId="220" fontId="22" fillId="0" borderId="4" xfId="0" applyNumberFormat="1" applyFont="1" applyFill="1" applyBorder="1" applyAlignment="1">
      <alignment horizontal="right"/>
      <protection locked="0" hidden="1"/>
    </xf>
    <xf numFmtId="221" fontId="22" fillId="0" borderId="4" xfId="0" applyNumberFormat="1" applyFont="1" applyFill="1" applyBorder="1" applyAlignment="1">
      <alignment horizontal="right"/>
      <protection locked="0" hidden="1"/>
    </xf>
    <xf numFmtId="223" fontId="22" fillId="0" borderId="4" xfId="0" applyNumberFormat="1" applyFont="1" applyFill="1" applyBorder="1" applyAlignment="1">
      <alignment horizontal="right"/>
      <protection locked="0" hidden="1"/>
    </xf>
    <xf numFmtId="208" fontId="22" fillId="0" borderId="4" xfId="0" applyNumberFormat="1" applyFont="1" applyFill="1" applyBorder="1" applyAlignment="1">
      <alignment horizontal="right"/>
      <protection locked="0" hidden="1"/>
    </xf>
    <xf numFmtId="222" fontId="22" fillId="0" borderId="8" xfId="0" applyNumberFormat="1" applyFont="1" applyFill="1" applyBorder="1" applyAlignment="1">
      <alignment horizontal="right"/>
      <protection locked="0" hidden="1"/>
    </xf>
    <xf numFmtId="178" fontId="22" fillId="0" borderId="1" xfId="0" applyNumberFormat="1" applyFont="1" applyFill="1" applyBorder="1" applyAlignment="1">
      <alignment horizontal="right"/>
      <protection locked="0" hidden="1"/>
    </xf>
    <xf numFmtId="178" fontId="22" fillId="0" borderId="4" xfId="0" applyNumberFormat="1" applyFont="1" applyFill="1" applyBorder="1" applyAlignment="1">
      <alignment horizontal="right"/>
      <protection locked="0" hidden="1"/>
    </xf>
    <xf numFmtId="219" fontId="5" fillId="0" borderId="7" xfId="0" applyNumberFormat="1" applyFont="1" applyFill="1" applyBorder="1" applyAlignment="1" applyProtection="1"/>
    <xf numFmtId="166" fontId="21" fillId="0" borderId="2" xfId="0" applyFont="1" applyFill="1" applyBorder="1" applyAlignment="1">
      <alignment horizontal="left"/>
      <protection locked="0" hidden="1"/>
    </xf>
    <xf numFmtId="164" fontId="18" fillId="0" borderId="12" xfId="0" applyNumberFormat="1" applyFont="1" applyFill="1" applyBorder="1" applyAlignment="1">
      <alignment horizontal="center"/>
      <protection locked="0" hidden="1"/>
    </xf>
    <xf numFmtId="164" fontId="18" fillId="0" borderId="11" xfId="0" applyNumberFormat="1" applyFont="1" applyFill="1" applyBorder="1" applyAlignment="1">
      <alignment horizontal="center" vertical="top"/>
      <protection locked="0" hidden="1"/>
    </xf>
    <xf numFmtId="164" fontId="18" fillId="0" borderId="11" xfId="0" applyNumberFormat="1" applyFont="1" applyFill="1" applyBorder="1" applyAlignment="1">
      <alignment horizontal="center"/>
      <protection locked="0" hidden="1"/>
    </xf>
    <xf numFmtId="206" fontId="22" fillId="0" borderId="3" xfId="0" applyNumberFormat="1" applyFont="1" applyFill="1" applyBorder="1" applyAlignment="1">
      <protection locked="0" hidden="1"/>
    </xf>
    <xf numFmtId="164" fontId="51" fillId="0" borderId="0" xfId="0" applyNumberFormat="1" applyFont="1" applyFill="1" applyAlignment="1">
      <protection locked="0" hidden="1"/>
    </xf>
    <xf numFmtId="198" fontId="70" fillId="0" borderId="0" xfId="0" applyNumberFormat="1" applyFont="1" applyFill="1" applyAlignment="1">
      <alignment horizontal="right" indent="1"/>
      <protection locked="0" hidden="1"/>
    </xf>
    <xf numFmtId="206" fontId="51" fillId="0" borderId="0" xfId="0" applyNumberFormat="1" applyFont="1" applyFill="1" applyAlignment="1">
      <alignment horizontal="right"/>
      <protection locked="0" hidden="1"/>
    </xf>
    <xf numFmtId="0" fontId="23" fillId="0" borderId="0" xfId="0" applyNumberFormat="1" applyFont="1" applyFill="1" applyAlignment="1" applyProtection="1">
      <alignment horizontal="centerContinuous"/>
    </xf>
    <xf numFmtId="0" fontId="8" fillId="0" borderId="0" xfId="0" applyNumberFormat="1" applyFont="1" applyFill="1" applyAlignment="1" applyProtection="1">
      <alignment horizontal="left"/>
    </xf>
    <xf numFmtId="0" fontId="14" fillId="0" borderId="2" xfId="0" applyNumberFormat="1" applyFont="1" applyFill="1" applyBorder="1" applyAlignment="1" applyProtection="1">
      <alignment horizontal="centerContinuous"/>
    </xf>
    <xf numFmtId="0" fontId="12" fillId="0" borderId="10" xfId="0" applyNumberFormat="1" applyFont="1" applyFill="1" applyBorder="1" applyAlignment="1" applyProtection="1">
      <alignment horizontal="center" vertical="top" wrapText="1"/>
    </xf>
    <xf numFmtId="0" fontId="12" fillId="0" borderId="0" xfId="26" applyNumberFormat="1" applyFont="1" applyFill="1" applyAlignment="1" applyProtection="1">
      <alignment horizontal="center"/>
    </xf>
    <xf numFmtId="0" fontId="12" fillId="0" borderId="0" xfId="26" applyNumberFormat="1" applyFont="1" applyFill="1" applyAlignment="1" applyProtection="1">
      <alignment horizontal="centerContinuous" readingOrder="2"/>
    </xf>
    <xf numFmtId="0" fontId="12" fillId="0" borderId="0" xfId="26" applyNumberFormat="1" applyFont="1" applyFill="1" applyAlignment="1" applyProtection="1">
      <alignment horizontal="center" readingOrder="2"/>
    </xf>
    <xf numFmtId="166" fontId="71" fillId="0" borderId="0" xfId="0" applyFont="1" applyFill="1" applyAlignment="1">
      <alignment horizontal="centerContinuous"/>
      <protection locked="0" hidden="1"/>
    </xf>
    <xf numFmtId="166" fontId="12" fillId="0" borderId="12" xfId="26" applyFont="1" applyFill="1" applyBorder="1" applyAlignment="1" applyProtection="1">
      <alignment horizontal="center" vertical="center" wrapText="1"/>
    </xf>
    <xf numFmtId="166" fontId="12" fillId="0" borderId="5" xfId="26" applyFont="1" applyFill="1" applyBorder="1" applyAlignment="1" applyProtection="1">
      <alignment horizontal="centerContinuous" vertical="center" wrapText="1"/>
    </xf>
    <xf numFmtId="166" fontId="12" fillId="0" borderId="22" xfId="26" applyFont="1" applyFill="1" applyBorder="1" applyAlignment="1" applyProtection="1">
      <alignment horizontal="centerContinuous" vertical="center" wrapText="1"/>
    </xf>
    <xf numFmtId="166" fontId="6" fillId="0" borderId="0" xfId="26" applyFont="1" applyFill="1" applyAlignment="1" applyProtection="1">
      <alignment horizontal="center" vertical="center"/>
    </xf>
    <xf numFmtId="166" fontId="12" fillId="0" borderId="11" xfId="26" applyFont="1" applyFill="1" applyBorder="1" applyAlignment="1" applyProtection="1">
      <alignment horizontal="center" vertical="center" wrapText="1"/>
    </xf>
    <xf numFmtId="166" fontId="12" fillId="0" borderId="21" xfId="26" applyFont="1" applyFill="1" applyBorder="1" applyAlignment="1" applyProtection="1">
      <alignment horizontal="center" vertical="center" wrapText="1"/>
    </xf>
    <xf numFmtId="166" fontId="12" fillId="0" borderId="22" xfId="26" applyFont="1" applyFill="1" applyBorder="1" applyAlignment="1" applyProtection="1">
      <alignment horizontal="center" vertical="center" wrapText="1"/>
    </xf>
    <xf numFmtId="166" fontId="12" fillId="0" borderId="12" xfId="26" applyFont="1" applyFill="1" applyBorder="1" applyAlignment="1" applyProtection="1">
      <alignment horizontal="center" vertical="center" wrapText="1"/>
    </xf>
    <xf numFmtId="166" fontId="12" fillId="0" borderId="8" xfId="26" applyFont="1" applyFill="1" applyBorder="1" applyAlignment="1" applyProtection="1">
      <alignment horizontal="center" vertical="center" wrapText="1"/>
    </xf>
    <xf numFmtId="166" fontId="12" fillId="0" borderId="8" xfId="26" applyFont="1" applyFill="1" applyBorder="1" applyAlignment="1" applyProtection="1">
      <alignment horizontal="center" vertical="center" wrapText="1"/>
    </xf>
    <xf numFmtId="166" fontId="12" fillId="0" borderId="0" xfId="26" applyFont="1" applyFill="1" applyAlignment="1" applyProtection="1">
      <alignment vertical="center"/>
    </xf>
    <xf numFmtId="166" fontId="21" fillId="0" borderId="1" xfId="26" applyFont="1" applyFill="1" applyBorder="1" applyAlignment="1" applyProtection="1">
      <alignment horizontal="left" vertical="center"/>
    </xf>
    <xf numFmtId="166" fontId="12" fillId="0" borderId="12" xfId="26" applyFont="1" applyFill="1" applyBorder="1" applyAlignment="1" applyProtection="1">
      <alignment vertical="center" wrapText="1"/>
    </xf>
    <xf numFmtId="224" fontId="72" fillId="0" borderId="11" xfId="2" applyNumberFormat="1" applyFont="1" applyFill="1" applyBorder="1" applyAlignment="1" applyProtection="1">
      <alignment vertical="center" readingOrder="2"/>
    </xf>
    <xf numFmtId="224" fontId="6" fillId="0" borderId="0" xfId="34" applyNumberFormat="1" applyFont="1" applyFill="1" applyAlignment="1" applyProtection="1">
      <alignment vertical="center"/>
    </xf>
    <xf numFmtId="166" fontId="12" fillId="0" borderId="43" xfId="26" applyFont="1" applyFill="1" applyBorder="1" applyAlignment="1" applyProtection="1">
      <alignment vertical="center" wrapText="1"/>
    </xf>
    <xf numFmtId="224" fontId="72" fillId="0" borderId="43" xfId="2" applyNumberFormat="1" applyFont="1" applyFill="1" applyBorder="1" applyAlignment="1" applyProtection="1">
      <alignment vertical="center"/>
    </xf>
    <xf numFmtId="224" fontId="72" fillId="0" borderId="43" xfId="2" applyNumberFormat="1" applyFont="1" applyFill="1" applyBorder="1" applyAlignment="1" applyProtection="1">
      <alignment vertical="center" wrapText="1"/>
    </xf>
    <xf numFmtId="166" fontId="21" fillId="0" borderId="4" xfId="26" applyFont="1" applyFill="1" applyBorder="1" applyAlignment="1" applyProtection="1">
      <alignment horizontal="left"/>
    </xf>
    <xf numFmtId="166" fontId="12" fillId="0" borderId="8" xfId="26" applyFont="1" applyFill="1" applyBorder="1" applyAlignment="1" applyProtection="1">
      <alignment horizontal="center" wrapText="1"/>
    </xf>
    <xf numFmtId="224" fontId="56" fillId="0" borderId="8" xfId="2" applyNumberFormat="1" applyFont="1" applyFill="1" applyBorder="1" applyAlignment="1" applyProtection="1">
      <alignment horizontal="center"/>
    </xf>
    <xf numFmtId="166" fontId="12" fillId="0" borderId="0" xfId="26" applyFont="1" applyFill="1" applyAlignment="1" applyProtection="1"/>
    <xf numFmtId="166" fontId="6" fillId="0" borderId="0" xfId="26" applyFont="1" applyFill="1" applyAlignment="1" applyProtection="1">
      <alignment wrapText="1"/>
    </xf>
    <xf numFmtId="166" fontId="8" fillId="0" borderId="0" xfId="26" applyFont="1" applyFill="1" applyAlignment="1" applyProtection="1"/>
    <xf numFmtId="166" fontId="6" fillId="0" borderId="0" xfId="26" applyFont="1" applyFill="1" applyAlignment="1" applyProtection="1">
      <alignment horizontal="right" readingOrder="2"/>
    </xf>
    <xf numFmtId="166" fontId="18" fillId="0" borderId="0" xfId="26" applyFont="1" applyFill="1" applyAlignment="1" applyProtection="1"/>
    <xf numFmtId="166" fontId="23" fillId="0" borderId="0" xfId="26" applyFont="1" applyFill="1" applyAlignment="1" applyProtection="1">
      <alignment horizontal="right"/>
    </xf>
    <xf numFmtId="166" fontId="8" fillId="0" borderId="0" xfId="26" applyFont="1" applyFill="1" applyAlignment="1" applyProtection="1">
      <alignment vertical="center"/>
    </xf>
    <xf numFmtId="49" fontId="8" fillId="0" borderId="0" xfId="26" applyNumberFormat="1" applyFont="1" applyFill="1" applyAlignment="1" applyProtection="1">
      <alignment horizontal="center"/>
    </xf>
    <xf numFmtId="166" fontId="6" fillId="0" borderId="0" xfId="26" applyFont="1" applyFill="1" applyAlignment="1" applyProtection="1">
      <alignment horizontal="right" vertical="center"/>
    </xf>
    <xf numFmtId="206" fontId="6" fillId="0" borderId="0" xfId="26" applyNumberFormat="1" applyFont="1" applyFill="1" applyAlignment="1" applyProtection="1">
      <alignment vertical="center"/>
    </xf>
    <xf numFmtId="166" fontId="6" fillId="0" borderId="0" xfId="26" applyFont="1" applyFill="1" applyAlignment="1" applyProtection="1">
      <alignment horizontal="left" vertical="center"/>
    </xf>
    <xf numFmtId="166" fontId="20" fillId="0" borderId="7" xfId="0" applyFont="1" applyFill="1" applyBorder="1" applyAlignment="1">
      <alignment horizontal="right" readingOrder="2"/>
      <protection locked="0" hidden="1"/>
    </xf>
    <xf numFmtId="0" fontId="20" fillId="0" borderId="0" xfId="22" applyFont="1" applyAlignment="1">
      <alignment horizontal="right" readingOrder="2"/>
    </xf>
    <xf numFmtId="0" fontId="20" fillId="0" borderId="0" xfId="22" applyFont="1" applyAlignment="1">
      <alignment horizontal="centerContinuous" readingOrder="2"/>
    </xf>
    <xf numFmtId="164" fontId="8" fillId="0" borderId="0" xfId="0" applyNumberFormat="1" applyFont="1" applyFill="1" applyAlignment="1" applyProtection="1">
      <alignment horizontal="centerContinuous"/>
    </xf>
    <xf numFmtId="0" fontId="12" fillId="0" borderId="5" xfId="0" applyNumberFormat="1" applyFont="1" applyFill="1" applyBorder="1" applyAlignment="1" applyProtection="1">
      <alignment horizontal="right" vertical="center" indent="2" readingOrder="2"/>
    </xf>
    <xf numFmtId="0" fontId="12" fillId="0" borderId="7" xfId="0" applyNumberFormat="1" applyFont="1" applyFill="1" applyBorder="1" applyAlignment="1" applyProtection="1">
      <alignment horizontal="centerContinuous" vertical="center"/>
    </xf>
    <xf numFmtId="167" fontId="18" fillId="0" borderId="11" xfId="0" applyNumberFormat="1" applyFont="1" applyFill="1" applyBorder="1" applyAlignment="1">
      <alignment horizontal="right" vertical="top"/>
      <protection locked="0" hidden="1"/>
    </xf>
    <xf numFmtId="185" fontId="18" fillId="0" borderId="11" xfId="0" applyNumberFormat="1" applyFont="1" applyFill="1" applyBorder="1" applyAlignment="1">
      <alignment horizontal="right" vertical="top"/>
      <protection locked="0" hidden="1"/>
    </xf>
    <xf numFmtId="189" fontId="18" fillId="0" borderId="11" xfId="0" applyNumberFormat="1" applyFont="1" applyFill="1" applyBorder="1" applyAlignment="1">
      <alignment horizontal="right" vertical="top"/>
      <protection locked="0" hidden="1"/>
    </xf>
    <xf numFmtId="179" fontId="18" fillId="0" borderId="11" xfId="0" applyNumberFormat="1" applyFont="1" applyFill="1" applyBorder="1" applyAlignment="1">
      <alignment horizontal="right" vertical="top"/>
      <protection locked="0" hidden="1"/>
    </xf>
    <xf numFmtId="164" fontId="5" fillId="0" borderId="0" xfId="0" applyNumberFormat="1" applyFont="1" applyFill="1" applyAlignment="1" applyProtection="1">
      <alignment horizontal="centerContinuous"/>
    </xf>
    <xf numFmtId="0" fontId="4" fillId="0" borderId="0" xfId="0" applyNumberFormat="1" applyFont="1" applyFill="1" applyAlignment="1" applyProtection="1"/>
    <xf numFmtId="172" fontId="18" fillId="0" borderId="1" xfId="0" applyNumberFormat="1" applyFont="1" applyFill="1" applyBorder="1" applyAlignment="1">
      <alignment horizontal="right" vertical="top"/>
      <protection locked="0" hidden="1"/>
    </xf>
    <xf numFmtId="188" fontId="18" fillId="0" borderId="11" xfId="0" applyNumberFormat="1" applyFont="1" applyFill="1" applyBorder="1" applyAlignment="1">
      <alignment horizontal="right" vertical="top"/>
      <protection locked="0" hidden="1"/>
    </xf>
    <xf numFmtId="172" fontId="18" fillId="0" borderId="11" xfId="0" applyNumberFormat="1" applyFont="1" applyFill="1" applyBorder="1" applyAlignment="1">
      <alignment horizontal="right" vertical="top"/>
      <protection locked="0" hidden="1"/>
    </xf>
    <xf numFmtId="172" fontId="18" fillId="0" borderId="0" xfId="0" applyNumberFormat="1" applyFont="1" applyFill="1" applyAlignment="1">
      <alignment horizontal="right" vertical="top"/>
      <protection locked="0" hidden="1"/>
    </xf>
    <xf numFmtId="187" fontId="18" fillId="0" borderId="0" xfId="0" applyNumberFormat="1" applyFont="1" applyFill="1" applyAlignment="1">
      <alignment horizontal="right" vertical="top"/>
      <protection locked="0" hidden="1"/>
    </xf>
    <xf numFmtId="171" fontId="18" fillId="0" borderId="11" xfId="0" applyNumberFormat="1" applyFont="1" applyFill="1" applyBorder="1" applyAlignment="1">
      <alignment horizontal="right" vertical="top"/>
      <protection locked="0" hidden="1"/>
    </xf>
    <xf numFmtId="164" fontId="51" fillId="0" borderId="0" xfId="0" applyNumberFormat="1" applyFont="1" applyFill="1" applyAlignment="1" applyProtection="1">
      <alignment horizontal="right"/>
    </xf>
    <xf numFmtId="1" fontId="18" fillId="0" borderId="0" xfId="0" applyNumberFormat="1" applyFont="1" applyFill="1" applyAlignment="1" applyProtection="1">
      <alignment horizontal="center" vertical="center" textRotation="90"/>
    </xf>
    <xf numFmtId="0" fontId="14" fillId="0" borderId="7" xfId="0" applyNumberFormat="1" applyFont="1" applyFill="1" applyBorder="1" applyAlignment="1" applyProtection="1">
      <alignment horizontal="centerContinuous"/>
    </xf>
    <xf numFmtId="174" fontId="18" fillId="0" borderId="11" xfId="0" applyNumberFormat="1" applyFont="1" applyFill="1" applyBorder="1" applyAlignment="1">
      <alignment horizontal="right"/>
      <protection locked="0" hidden="1"/>
    </xf>
    <xf numFmtId="185" fontId="18" fillId="0" borderId="1" xfId="0" applyNumberFormat="1" applyFont="1" applyFill="1" applyBorder="1" applyAlignment="1">
      <alignment horizontal="right" vertical="top"/>
      <protection locked="0" hidden="1"/>
    </xf>
    <xf numFmtId="167" fontId="18" fillId="0" borderId="1" xfId="0" applyNumberFormat="1" applyFont="1" applyFill="1" applyBorder="1" applyAlignment="1">
      <alignment horizontal="right" vertical="top"/>
      <protection locked="0" hidden="1"/>
    </xf>
    <xf numFmtId="184" fontId="18" fillId="0" borderId="0" xfId="0" applyNumberFormat="1" applyFont="1" applyFill="1" applyAlignment="1">
      <alignment horizontal="right" vertical="top"/>
      <protection locked="0" hidden="1"/>
    </xf>
    <xf numFmtId="184" fontId="18" fillId="0" borderId="11" xfId="0" applyNumberFormat="1" applyFont="1" applyFill="1" applyBorder="1" applyAlignment="1">
      <alignment horizontal="right" vertical="top"/>
      <protection locked="0" hidden="1"/>
    </xf>
    <xf numFmtId="166" fontId="14" fillId="0" borderId="0" xfId="0" applyFont="1" applyFill="1" applyAlignment="1">
      <alignment horizontal="centerContinuous"/>
      <protection locked="0" hidden="1"/>
    </xf>
    <xf numFmtId="166" fontId="51" fillId="0" borderId="0" xfId="0" applyFont="1" applyFill="1" applyAlignment="1">
      <alignment horizontal="center" vertical="center"/>
      <protection locked="0" hidden="1"/>
    </xf>
    <xf numFmtId="165" fontId="8" fillId="0" borderId="1" xfId="0" applyNumberFormat="1" applyFont="1" applyFill="1" applyBorder="1" applyAlignment="1">
      <alignment horizontal="right" indent="2"/>
      <protection locked="0" hidden="1"/>
    </xf>
    <xf numFmtId="165" fontId="8" fillId="0" borderId="11" xfId="0" applyNumberFormat="1" applyFont="1" applyFill="1" applyBorder="1" applyAlignment="1">
      <alignment horizontal="right" indent="2"/>
      <protection locked="0" hidden="1"/>
    </xf>
    <xf numFmtId="205" fontId="8" fillId="0" borderId="11" xfId="0" applyNumberFormat="1" applyFont="1" applyFill="1" applyBorder="1" applyAlignment="1">
      <alignment horizontal="right" indent="2"/>
      <protection locked="0" hidden="1"/>
    </xf>
    <xf numFmtId="166" fontId="9" fillId="0" borderId="0" xfId="0" applyFont="1" applyFill="1" applyAlignment="1">
      <alignment horizontal="right" indent="2"/>
      <protection locked="0" hidden="1"/>
    </xf>
    <xf numFmtId="166" fontId="8" fillId="0" borderId="0" xfId="0" applyFont="1" applyFill="1" applyAlignment="1">
      <alignment horizontal="right" indent="2"/>
      <protection locked="0" hidden="1"/>
    </xf>
    <xf numFmtId="166" fontId="51" fillId="0" borderId="7" xfId="0" applyFont="1" applyFill="1" applyBorder="1" applyAlignment="1">
      <alignment horizontal="right" readingOrder="2"/>
      <protection locked="0" hidden="1"/>
    </xf>
    <xf numFmtId="166" fontId="51" fillId="0" borderId="0" xfId="0" applyFont="1" applyFill="1" applyAlignment="1">
      <alignment horizontal="right" indent="1" readingOrder="2"/>
      <protection locked="0" hidden="1"/>
    </xf>
    <xf numFmtId="1" fontId="6" fillId="0" borderId="0" xfId="0" applyNumberFormat="1" applyFont="1" applyFill="1" applyAlignment="1">
      <alignment horizontal="center" vertical="center" textRotation="90"/>
      <protection locked="0" hidden="1"/>
    </xf>
    <xf numFmtId="0" fontId="51" fillId="0" borderId="13" xfId="0" applyNumberFormat="1" applyFont="1" applyFill="1" applyBorder="1" applyAlignment="1" applyProtection="1"/>
    <xf numFmtId="0" fontId="51" fillId="0" borderId="9" xfId="0" applyNumberFormat="1" applyFont="1" applyFill="1" applyBorder="1" applyAlignment="1" applyProtection="1"/>
    <xf numFmtId="0" fontId="51" fillId="0" borderId="19" xfId="0" applyNumberFormat="1" applyFont="1" applyFill="1" applyBorder="1" applyAlignment="1" applyProtection="1"/>
    <xf numFmtId="0" fontId="51" fillId="0" borderId="9" xfId="0" applyNumberFormat="1" applyFont="1" applyFill="1" applyBorder="1" applyAlignment="1" applyProtection="1">
      <alignment horizontal="center" vertical="center"/>
    </xf>
    <xf numFmtId="182" fontId="18" fillId="0" borderId="1" xfId="0" applyNumberFormat="1" applyFont="1" applyFill="1" applyBorder="1" applyAlignment="1">
      <protection locked="0" hidden="1"/>
    </xf>
    <xf numFmtId="169" fontId="18" fillId="0" borderId="1" xfId="0" applyNumberFormat="1" applyFont="1" applyFill="1" applyBorder="1" applyAlignment="1">
      <protection locked="0" hidden="1"/>
    </xf>
    <xf numFmtId="181" fontId="18" fillId="0" borderId="11" xfId="0" applyNumberFormat="1" applyFont="1" applyFill="1" applyBorder="1" applyAlignment="1">
      <protection locked="0" hidden="1"/>
    </xf>
    <xf numFmtId="182" fontId="18" fillId="0" borderId="1" xfId="0" applyNumberFormat="1" applyFont="1" applyFill="1" applyBorder="1" applyAlignment="1">
      <alignment vertical="top"/>
      <protection locked="0" hidden="1"/>
    </xf>
    <xf numFmtId="168" fontId="18" fillId="0" borderId="1" xfId="0" applyNumberFormat="1" applyFont="1" applyFill="1" applyBorder="1" applyAlignment="1">
      <alignment vertical="top"/>
      <protection locked="0" hidden="1"/>
    </xf>
    <xf numFmtId="187" fontId="18" fillId="0" borderId="1" xfId="0" applyNumberFormat="1" applyFont="1" applyFill="1" applyBorder="1" applyAlignment="1">
      <alignment vertical="top"/>
      <protection locked="0" hidden="1"/>
    </xf>
    <xf numFmtId="214" fontId="18" fillId="0" borderId="1" xfId="0" applyNumberFormat="1" applyFont="1" applyFill="1" applyBorder="1" applyAlignment="1">
      <alignment vertical="top"/>
      <protection locked="0" hidden="1"/>
    </xf>
    <xf numFmtId="169" fontId="18" fillId="0" borderId="1" xfId="0" applyNumberFormat="1" applyFont="1" applyFill="1" applyBorder="1" applyAlignment="1">
      <alignment vertical="top"/>
      <protection locked="0" hidden="1"/>
    </xf>
    <xf numFmtId="181" fontId="18" fillId="0" borderId="1" xfId="0" applyNumberFormat="1" applyFont="1" applyFill="1" applyBorder="1" applyAlignment="1">
      <alignment vertical="top"/>
      <protection locked="0" hidden="1"/>
    </xf>
    <xf numFmtId="184" fontId="18" fillId="0" borderId="1" xfId="0" applyNumberFormat="1" applyFont="1" applyFill="1" applyBorder="1" applyAlignment="1">
      <alignment vertical="top"/>
      <protection locked="0" hidden="1"/>
    </xf>
    <xf numFmtId="187" fontId="18" fillId="0" borderId="16" xfId="0" applyNumberFormat="1" applyFont="1" applyFill="1" applyBorder="1" applyAlignment="1">
      <alignment vertical="top"/>
      <protection locked="0" hidden="1"/>
    </xf>
    <xf numFmtId="213" fontId="18" fillId="0" borderId="20" xfId="0" applyNumberFormat="1" applyFont="1" applyFill="1" applyBorder="1" applyAlignment="1">
      <alignment vertical="top"/>
      <protection locked="0" hidden="1"/>
    </xf>
    <xf numFmtId="0" fontId="51" fillId="0" borderId="1" xfId="0" applyNumberFormat="1" applyFont="1" applyFill="1" applyBorder="1" applyAlignment="1" applyProtection="1"/>
    <xf numFmtId="0" fontId="51" fillId="0" borderId="8" xfId="0" applyNumberFormat="1" applyFont="1" applyFill="1" applyBorder="1" applyAlignment="1" applyProtection="1">
      <alignment wrapText="1"/>
    </xf>
    <xf numFmtId="172" fontId="18" fillId="0" borderId="0" xfId="0" applyNumberFormat="1" applyFont="1" applyFill="1" applyAlignment="1">
      <protection locked="0" hidden="1"/>
    </xf>
    <xf numFmtId="204" fontId="18" fillId="0" borderId="11" xfId="0" applyNumberFormat="1" applyFont="1" applyFill="1" applyBorder="1" applyAlignment="1">
      <protection locked="0" hidden="1"/>
    </xf>
    <xf numFmtId="215" fontId="18" fillId="0" borderId="11" xfId="0" applyNumberFormat="1" applyFont="1" applyFill="1" applyBorder="1" applyAlignment="1">
      <protection locked="0" hidden="1"/>
    </xf>
    <xf numFmtId="172" fontId="18" fillId="0" borderId="0" xfId="0" applyNumberFormat="1" applyFont="1" applyFill="1" applyAlignment="1">
      <alignment vertical="top"/>
      <protection locked="0" hidden="1"/>
    </xf>
    <xf numFmtId="172" fontId="18" fillId="0" borderId="11" xfId="0" applyNumberFormat="1" applyFont="1" applyFill="1" applyBorder="1" applyAlignment="1">
      <alignment vertical="top"/>
      <protection locked="0" hidden="1"/>
    </xf>
    <xf numFmtId="167" fontId="18" fillId="0" borderId="11" xfId="0" applyNumberFormat="1" applyFont="1" applyFill="1" applyBorder="1" applyAlignment="1">
      <alignment vertical="top"/>
      <protection locked="0" hidden="1"/>
    </xf>
    <xf numFmtId="187" fontId="18" fillId="0" borderId="11" xfId="0" applyNumberFormat="1" applyFont="1" applyFill="1" applyBorder="1" applyAlignment="1">
      <alignment vertical="top"/>
      <protection locked="0" hidden="1"/>
    </xf>
    <xf numFmtId="204" fontId="18" fillId="0" borderId="11" xfId="0" applyNumberFormat="1" applyFont="1" applyFill="1" applyBorder="1" applyAlignment="1">
      <alignment vertical="top"/>
      <protection locked="0" hidden="1"/>
    </xf>
    <xf numFmtId="185" fontId="18" fillId="0" borderId="11" xfId="0" applyNumberFormat="1" applyFont="1" applyFill="1" applyBorder="1" applyAlignment="1">
      <alignment vertical="top"/>
      <protection locked="0" hidden="1"/>
    </xf>
    <xf numFmtId="215" fontId="18" fillId="0" borderId="11" xfId="0" applyNumberFormat="1" applyFont="1" applyFill="1" applyBorder="1" applyAlignment="1">
      <alignment vertical="top"/>
      <protection locked="0" hidden="1"/>
    </xf>
    <xf numFmtId="167" fontId="18" fillId="0" borderId="16" xfId="0" applyNumberFormat="1" applyFont="1" applyFill="1" applyBorder="1" applyAlignment="1">
      <alignment vertical="top"/>
      <protection locked="0" hidden="1"/>
    </xf>
    <xf numFmtId="203" fontId="18" fillId="0" borderId="20" xfId="0" applyNumberFormat="1" applyFont="1" applyFill="1" applyBorder="1" applyAlignment="1">
      <alignment vertical="top"/>
      <protection locked="0" hidden="1"/>
    </xf>
    <xf numFmtId="0" fontId="6" fillId="0" borderId="15" xfId="0" applyNumberFormat="1" applyFont="1" applyFill="1" applyBorder="1" applyAlignment="1" applyProtection="1">
      <alignment vertical="top" wrapText="1"/>
    </xf>
    <xf numFmtId="0" fontId="15" fillId="0" borderId="3" xfId="0" applyNumberFormat="1" applyFont="1" applyFill="1" applyBorder="1" applyAlignment="1" applyProtection="1">
      <alignment horizontal="centerContinuous" vertical="top"/>
    </xf>
    <xf numFmtId="0" fontId="12" fillId="0" borderId="11" xfId="0" applyNumberFormat="1" applyFont="1" applyFill="1" applyBorder="1" applyAlignment="1" applyProtection="1">
      <alignment horizontal="centerContinuous" vertical="top"/>
    </xf>
    <xf numFmtId="0" fontId="14" fillId="0" borderId="9" xfId="0" applyNumberFormat="1" applyFont="1" applyFill="1" applyBorder="1" applyAlignment="1" applyProtection="1">
      <alignment horizontal="centerContinuous" vertical="top" readingOrder="2"/>
    </xf>
    <xf numFmtId="0" fontId="12" fillId="0" borderId="15" xfId="0" applyNumberFormat="1" applyFont="1" applyFill="1" applyBorder="1" applyAlignment="1" applyProtection="1">
      <alignment horizontal="center" wrapText="1"/>
    </xf>
    <xf numFmtId="0" fontId="12" fillId="0" borderId="8" xfId="0" applyNumberFormat="1" applyFont="1" applyFill="1" applyBorder="1" applyAlignment="1" applyProtection="1">
      <alignment horizontal="centerContinuous" vertical="top" wrapText="1"/>
    </xf>
    <xf numFmtId="0" fontId="12" fillId="0" borderId="18" xfId="0" applyNumberFormat="1" applyFont="1" applyFill="1" applyBorder="1" applyAlignment="1" applyProtection="1">
      <alignment horizontal="center" vertical="top" wrapText="1"/>
    </xf>
    <xf numFmtId="208" fontId="18" fillId="0" borderId="9" xfId="0" applyNumberFormat="1" applyFont="1" applyFill="1" applyBorder="1" applyAlignment="1">
      <alignment horizontal="right"/>
      <protection locked="0" hidden="1"/>
    </xf>
    <xf numFmtId="164" fontId="6" fillId="0" borderId="0" xfId="0" applyNumberFormat="1" applyFont="1" applyFill="1" applyAlignment="1" applyProtection="1">
      <alignment horizontal="right"/>
    </xf>
    <xf numFmtId="166" fontId="58" fillId="0" borderId="0" xfId="0" applyFont="1" applyFill="1" applyAlignment="1">
      <alignment horizontal="centerContinuous"/>
      <protection locked="0" hidden="1"/>
    </xf>
    <xf numFmtId="166" fontId="73" fillId="0" borderId="0" xfId="0" applyFont="1" applyFill="1" applyAlignment="1">
      <alignment horizontal="centerContinuous"/>
      <protection locked="0" hidden="1"/>
    </xf>
    <xf numFmtId="166" fontId="12" fillId="0" borderId="2" xfId="0" applyFont="1" applyFill="1" applyBorder="1" applyAlignment="1">
      <alignment horizontal="left"/>
      <protection locked="0" hidden="1"/>
    </xf>
    <xf numFmtId="166" fontId="12" fillId="0" borderId="7" xfId="0" applyFont="1" applyFill="1" applyBorder="1" applyAlignment="1">
      <alignment horizontal="left"/>
      <protection locked="0" hidden="1"/>
    </xf>
    <xf numFmtId="166" fontId="12" fillId="0" borderId="1" xfId="0" applyFont="1" applyFill="1" applyBorder="1" applyAlignment="1">
      <alignment horizontal="left" vertical="top"/>
      <protection locked="0" hidden="1"/>
    </xf>
    <xf numFmtId="166" fontId="12" fillId="0" borderId="0" xfId="0" applyFont="1" applyFill="1" applyAlignment="1">
      <alignment horizontal="left" vertical="top"/>
      <protection locked="0" hidden="1"/>
    </xf>
    <xf numFmtId="166" fontId="16" fillId="0" borderId="7" xfId="0" applyFont="1" applyFill="1" applyBorder="1" applyAlignment="1">
      <protection locked="0" hidden="1"/>
    </xf>
    <xf numFmtId="0" fontId="20" fillId="0" borderId="7" xfId="22" applyFont="1" applyBorder="1" applyAlignment="1">
      <alignment horizontal="right" readingOrder="2"/>
    </xf>
    <xf numFmtId="166" fontId="22" fillId="0" borderId="0" xfId="0" applyFont="1" applyFill="1" applyAlignment="1">
      <alignment horizontal="right" readingOrder="2"/>
      <protection locked="0" hidden="1"/>
    </xf>
    <xf numFmtId="166" fontId="51" fillId="0" borderId="0" xfId="0" applyFont="1" applyFill="1" applyAlignment="1">
      <alignment readingOrder="2"/>
      <protection locked="0" hidden="1"/>
    </xf>
    <xf numFmtId="0" fontId="11" fillId="0" borderId="0" xfId="22" applyFont="1" applyAlignment="1">
      <alignment horizontal="centerContinuous"/>
    </xf>
    <xf numFmtId="15" fontId="9" fillId="0" borderId="11" xfId="22" applyNumberFormat="1" applyFont="1" applyBorder="1" applyAlignment="1">
      <alignment horizontal="center"/>
    </xf>
    <xf numFmtId="2" fontId="8" fillId="0" borderId="11" xfId="22" applyNumberFormat="1" applyFont="1" applyBorder="1" applyAlignment="1">
      <alignment horizontal="right" indent="3"/>
    </xf>
    <xf numFmtId="210" fontId="8" fillId="0" borderId="11" xfId="0" applyNumberFormat="1" applyFont="1" applyFill="1" applyBorder="1" applyAlignment="1">
      <alignment horizontal="center"/>
      <protection locked="0" hidden="1"/>
    </xf>
    <xf numFmtId="2" fontId="8" fillId="0" borderId="11" xfId="22" applyNumberFormat="1" applyFont="1" applyBorder="1" applyAlignment="1">
      <alignment horizontal="center"/>
    </xf>
    <xf numFmtId="166" fontId="6" fillId="0" borderId="0" xfId="0" applyFont="1" applyFill="1" applyAlignment="1">
      <alignment horizontal="centerContinuous" vertical="center"/>
      <protection locked="0" hidden="1"/>
    </xf>
    <xf numFmtId="166" fontId="6" fillId="0" borderId="0" xfId="0" applyFont="1" applyFill="1" applyAlignment="1">
      <alignment vertical="center" wrapText="1"/>
      <protection locked="0" hidden="1"/>
    </xf>
    <xf numFmtId="166" fontId="18" fillId="0" borderId="3" xfId="0" applyFont="1" applyFill="1" applyBorder="1" applyAlignment="1">
      <protection locked="0" hidden="1"/>
    </xf>
    <xf numFmtId="166" fontId="15" fillId="0" borderId="0" xfId="0" applyFont="1" applyFill="1" applyAlignment="1">
      <alignment horizontal="right" readingOrder="2"/>
      <protection locked="0" hidden="1"/>
    </xf>
    <xf numFmtId="166" fontId="12" fillId="0" borderId="21" xfId="0" applyFont="1" applyFill="1" applyBorder="1" applyAlignment="1">
      <alignment horizontal="left" vertical="center" indent="2"/>
      <protection locked="0" hidden="1"/>
    </xf>
    <xf numFmtId="166" fontId="14" fillId="0" borderId="22" xfId="0" applyFont="1" applyFill="1" applyBorder="1" applyAlignment="1">
      <alignment horizontal="right" vertical="center" indent="2" readingOrder="2"/>
      <protection locked="0" hidden="1"/>
    </xf>
    <xf numFmtId="166" fontId="24" fillId="0" borderId="12" xfId="0" applyFont="1" applyFill="1" applyBorder="1" applyAlignment="1">
      <alignment horizontal="center" vertical="center" wrapText="1"/>
      <protection locked="0" hidden="1"/>
    </xf>
    <xf numFmtId="166" fontId="12" fillId="0" borderId="1" xfId="0" applyFont="1" applyFill="1" applyBorder="1" applyAlignment="1">
      <alignment horizontal="center" vertical="center"/>
      <protection locked="0" hidden="1"/>
    </xf>
    <xf numFmtId="166" fontId="14" fillId="0" borderId="11" xfId="0" applyFont="1" applyFill="1" applyBorder="1" applyAlignment="1">
      <alignment horizontal="center" vertical="center"/>
      <protection locked="0" hidden="1"/>
    </xf>
    <xf numFmtId="166" fontId="14" fillId="0" borderId="1" xfId="0" applyFont="1" applyFill="1" applyBorder="1" applyAlignment="1">
      <alignment horizontal="center" vertical="center"/>
      <protection locked="0" hidden="1"/>
    </xf>
    <xf numFmtId="166" fontId="24" fillId="0" borderId="11" xfId="0" applyFont="1" applyFill="1" applyBorder="1" applyAlignment="1">
      <alignment horizontal="center" vertical="center" wrapText="1"/>
      <protection locked="0" hidden="1"/>
    </xf>
    <xf numFmtId="166" fontId="24" fillId="0" borderId="8" xfId="0" applyFont="1" applyFill="1" applyBorder="1" applyAlignment="1">
      <alignment horizontal="center" vertical="center" wrapText="1"/>
      <protection locked="0" hidden="1"/>
    </xf>
    <xf numFmtId="209" fontId="12" fillId="0" borderId="1" xfId="0" applyNumberFormat="1" applyFont="1" applyFill="1" applyBorder="1" applyAlignment="1">
      <alignment horizontal="left" wrapText="1" indent="1"/>
      <protection locked="0" hidden="1"/>
    </xf>
    <xf numFmtId="2" fontId="6" fillId="0" borderId="11" xfId="0" applyNumberFormat="1" applyFont="1" applyFill="1" applyBorder="1" applyAlignment="1">
      <alignment horizontal="right" indent="1"/>
      <protection locked="0" hidden="1"/>
    </xf>
    <xf numFmtId="2" fontId="24" fillId="0" borderId="11" xfId="0" applyNumberFormat="1" applyFont="1" applyFill="1" applyBorder="1" applyAlignment="1">
      <alignment horizontal="right" indent="1" readingOrder="2"/>
      <protection locked="0" hidden="1"/>
    </xf>
    <xf numFmtId="209" fontId="12" fillId="0" borderId="1" xfId="0" applyNumberFormat="1" applyFont="1" applyFill="1" applyBorder="1" applyAlignment="1">
      <alignment horizontal="left" indent="1"/>
      <protection locked="0" hidden="1"/>
    </xf>
    <xf numFmtId="209" fontId="12" fillId="0" borderId="1" xfId="0" applyNumberFormat="1" applyFont="1" applyFill="1" applyBorder="1" applyAlignment="1">
      <alignment horizontal="center"/>
      <protection locked="0" hidden="1"/>
    </xf>
    <xf numFmtId="2" fontId="29" fillId="0" borderId="11" xfId="0" applyNumberFormat="1" applyFont="1" applyFill="1" applyBorder="1" applyAlignment="1">
      <alignment horizontal="right" indent="1"/>
      <protection locked="0" hidden="1"/>
    </xf>
    <xf numFmtId="2" fontId="24" fillId="0" borderId="11" xfId="0" applyNumberFormat="1" applyFont="1" applyFill="1" applyBorder="1" applyAlignment="1">
      <alignment horizontal="center" readingOrder="2"/>
      <protection locked="0" hidden="1"/>
    </xf>
    <xf numFmtId="166" fontId="72" fillId="0" borderId="0" xfId="0" applyFont="1" applyFill="1" applyAlignment="1">
      <alignment horizontal="centerContinuous"/>
      <protection locked="0" hidden="1"/>
    </xf>
    <xf numFmtId="166" fontId="6" fillId="0" borderId="0" xfId="0" applyFont="1" applyFill="1" applyAlignment="1">
      <alignment horizontal="centerContinuous" vertical="center" wrapText="1"/>
      <protection locked="0" hidden="1"/>
    </xf>
    <xf numFmtId="0" fontId="7" fillId="0" borderId="0" xfId="0" applyNumberFormat="1" applyFont="1" applyFill="1" applyAlignment="1" applyProtection="1">
      <alignment horizontal="centerContinuous" vertical="top"/>
    </xf>
    <xf numFmtId="0" fontId="11" fillId="0" borderId="0" xfId="0" applyNumberFormat="1" applyFont="1" applyFill="1" applyAlignment="1" applyProtection="1">
      <alignment horizontal="centerContinuous" vertical="top"/>
    </xf>
    <xf numFmtId="190" fontId="18" fillId="0" borderId="0" xfId="0" applyNumberFormat="1" applyFont="1" applyFill="1" applyAlignment="1">
      <protection locked="0" hidden="1"/>
    </xf>
    <xf numFmtId="182" fontId="18" fillId="0" borderId="9" xfId="0" applyNumberFormat="1" applyFont="1" applyFill="1" applyBorder="1" applyAlignment="1">
      <protection locked="0" hidden="1"/>
    </xf>
    <xf numFmtId="190" fontId="18" fillId="0" borderId="11" xfId="0" applyNumberFormat="1" applyFont="1" applyFill="1" applyBorder="1" applyAlignment="1">
      <alignment horizontal="right" vertical="top"/>
      <protection locked="0" hidden="1"/>
    </xf>
    <xf numFmtId="190" fontId="18" fillId="0" borderId="11" xfId="0" applyNumberFormat="1" applyFont="1" applyFill="1" applyBorder="1" applyAlignment="1">
      <alignment vertical="top"/>
      <protection locked="0" hidden="1"/>
    </xf>
    <xf numFmtId="182" fontId="18" fillId="0" borderId="11" xfId="0" applyNumberFormat="1" applyFont="1" applyFill="1" applyBorder="1" applyAlignment="1">
      <alignment vertical="top"/>
      <protection locked="0" hidden="1"/>
    </xf>
    <xf numFmtId="190" fontId="22" fillId="0" borderId="0" xfId="0" applyNumberFormat="1" applyFont="1" applyFill="1" applyAlignment="1">
      <protection locked="0" hidden="1"/>
    </xf>
    <xf numFmtId="170" fontId="5" fillId="0" borderId="0" xfId="0" applyNumberFormat="1" applyFont="1" applyFill="1" applyAlignment="1" applyProtection="1">
      <alignment horizontal="centerContinuous" wrapText="1"/>
    </xf>
    <xf numFmtId="0" fontId="11" fillId="0" borderId="0" xfId="0" applyNumberFormat="1" applyFont="1" applyFill="1" applyAlignment="1" applyProtection="1">
      <alignment horizontal="centerContinuous" vertical="center"/>
    </xf>
    <xf numFmtId="181" fontId="18" fillId="0" borderId="0" xfId="0" applyNumberFormat="1" applyFont="1" applyFill="1" applyAlignment="1">
      <protection locked="0" hidden="1"/>
    </xf>
    <xf numFmtId="175" fontId="18" fillId="0" borderId="11" xfId="0" applyNumberFormat="1" applyFont="1" applyFill="1" applyBorder="1" applyAlignment="1">
      <protection locked="0" hidden="1"/>
    </xf>
    <xf numFmtId="181" fontId="18" fillId="0" borderId="9" xfId="0" applyNumberFormat="1" applyFont="1" applyFill="1" applyBorder="1" applyAlignment="1">
      <protection locked="0" hidden="1"/>
    </xf>
    <xf numFmtId="181" fontId="18" fillId="0" borderId="11" xfId="0" applyNumberFormat="1" applyFont="1" applyFill="1" applyBorder="1" applyAlignment="1">
      <alignment vertical="top"/>
      <protection locked="0" hidden="1"/>
    </xf>
    <xf numFmtId="175" fontId="18" fillId="0" borderId="11" xfId="0" applyNumberFormat="1" applyFont="1" applyFill="1" applyBorder="1" applyAlignment="1">
      <alignment vertical="top"/>
      <protection locked="0" hidden="1"/>
    </xf>
    <xf numFmtId="181" fontId="18" fillId="0" borderId="0" xfId="0" applyNumberFormat="1" applyFont="1" applyFill="1" applyAlignment="1" applyProtection="1"/>
    <xf numFmtId="170" fontId="51" fillId="0" borderId="0" xfId="0" applyNumberFormat="1" applyFont="1" applyFill="1" applyAlignment="1" applyProtection="1">
      <alignment horizontal="centerContinuous"/>
    </xf>
    <xf numFmtId="181" fontId="18" fillId="0" borderId="0" xfId="0" applyNumberFormat="1" applyFont="1" applyFill="1" applyAlignment="1" applyProtection="1">
      <alignment horizontal="centerContinuous"/>
    </xf>
    <xf numFmtId="166" fontId="21" fillId="0" borderId="0" xfId="0" applyFont="1" applyFill="1" applyAlignment="1">
      <protection locked="0" hidden="1"/>
    </xf>
    <xf numFmtId="179" fontId="18" fillId="0" borderId="1" xfId="0" applyNumberFormat="1" applyFont="1" applyFill="1" applyBorder="1" applyAlignment="1">
      <protection locked="0" hidden="1"/>
    </xf>
    <xf numFmtId="201" fontId="18" fillId="0" borderId="11" xfId="0" applyNumberFormat="1" applyFont="1" applyFill="1" applyBorder="1" applyAlignment="1">
      <alignment horizontal="right"/>
      <protection locked="0" hidden="1"/>
    </xf>
    <xf numFmtId="191" fontId="18" fillId="0" borderId="15" xfId="0" applyNumberFormat="1" applyFont="1" applyFill="1" applyBorder="1" applyAlignment="1">
      <protection locked="0" hidden="1"/>
    </xf>
    <xf numFmtId="195" fontId="18" fillId="0" borderId="11" xfId="0" applyNumberFormat="1" applyFont="1" applyFill="1" applyBorder="1" applyAlignment="1">
      <protection locked="0" hidden="1"/>
    </xf>
    <xf numFmtId="180" fontId="18" fillId="0" borderId="11" xfId="0" applyNumberFormat="1" applyFont="1" applyFill="1" applyBorder="1" applyAlignment="1">
      <protection locked="0" hidden="1"/>
    </xf>
    <xf numFmtId="165" fontId="18" fillId="0" borderId="11" xfId="0" applyNumberFormat="1" applyFont="1" applyFill="1" applyBorder="1" applyAlignment="1">
      <alignment horizontal="right" indent="2"/>
      <protection locked="0" hidden="1"/>
    </xf>
    <xf numFmtId="171" fontId="18" fillId="0" borderId="9" xfId="0" applyNumberFormat="1" applyFont="1" applyFill="1" applyBorder="1" applyAlignment="1">
      <protection locked="0" hidden="1"/>
    </xf>
    <xf numFmtId="3" fontId="51" fillId="0" borderId="0" xfId="0" applyNumberFormat="1" applyFont="1" applyFill="1" applyAlignment="1" applyProtection="1"/>
    <xf numFmtId="0" fontId="39" fillId="0" borderId="3" xfId="28" applyFont="1" applyBorder="1" applyAlignment="1">
      <alignment horizontal="center"/>
    </xf>
    <xf numFmtId="0" fontId="16" fillId="0" borderId="0" xfId="28" applyFont="1"/>
    <xf numFmtId="0" fontId="39" fillId="6" borderId="21" xfId="28" applyFont="1" applyFill="1" applyBorder="1" applyAlignment="1">
      <alignment horizontal="center" vertical="center"/>
    </xf>
    <xf numFmtId="0" fontId="39" fillId="6" borderId="5" xfId="28" applyFont="1" applyFill="1" applyBorder="1" applyAlignment="1">
      <alignment horizontal="center" vertical="center"/>
    </xf>
    <xf numFmtId="0" fontId="39" fillId="6" borderId="22" xfId="28" applyFont="1" applyFill="1" applyBorder="1" applyAlignment="1">
      <alignment horizontal="center" vertical="center"/>
    </xf>
    <xf numFmtId="0" fontId="29" fillId="7" borderId="23" xfId="28" applyFont="1" applyFill="1" applyBorder="1" applyAlignment="1">
      <alignment horizontal="left" vertical="center"/>
    </xf>
    <xf numFmtId="0" fontId="29" fillId="8" borderId="23" xfId="28" applyFont="1" applyFill="1" applyBorder="1" applyAlignment="1">
      <alignment vertical="center"/>
    </xf>
    <xf numFmtId="0" fontId="29" fillId="8" borderId="23" xfId="28" applyFont="1" applyFill="1" applyBorder="1" applyAlignment="1">
      <alignment vertical="center" wrapText="1"/>
    </xf>
    <xf numFmtId="0" fontId="16" fillId="8" borderId="21" xfId="28" applyFont="1" applyFill="1" applyBorder="1" applyAlignment="1">
      <alignment horizontal="left" vertical="top" wrapText="1"/>
    </xf>
    <xf numFmtId="0" fontId="16" fillId="8" borderId="5" xfId="28" applyFont="1" applyFill="1" applyBorder="1" applyAlignment="1">
      <alignment horizontal="left" vertical="top" wrapText="1"/>
    </xf>
    <xf numFmtId="0" fontId="16" fillId="8" borderId="22" xfId="28" applyFont="1" applyFill="1" applyBorder="1" applyAlignment="1">
      <alignment horizontal="left" vertical="top" wrapText="1"/>
    </xf>
    <xf numFmtId="0" fontId="29" fillId="8" borderId="23" xfId="28" applyFont="1" applyFill="1" applyBorder="1" applyAlignment="1">
      <alignment horizontal="left" vertical="center"/>
    </xf>
    <xf numFmtId="0" fontId="29" fillId="5" borderId="23" xfId="28" applyFont="1" applyFill="1" applyBorder="1" applyAlignment="1">
      <alignment horizontal="center" vertical="center"/>
    </xf>
    <xf numFmtId="0" fontId="29" fillId="9" borderId="23" xfId="28" applyFont="1" applyFill="1" applyBorder="1" applyAlignment="1">
      <alignment horizontal="center" vertical="center"/>
    </xf>
    <xf numFmtId="0" fontId="29" fillId="9" borderId="23" xfId="28" applyFont="1" applyFill="1" applyBorder="1" applyAlignment="1">
      <alignment horizontal="center" vertical="center"/>
    </xf>
    <xf numFmtId="0" fontId="16" fillId="5" borderId="23" xfId="28" applyFont="1" applyFill="1" applyBorder="1" applyAlignment="1">
      <alignment vertical="center" wrapText="1"/>
    </xf>
    <xf numFmtId="0" fontId="16" fillId="5" borderId="23" xfId="28" applyFont="1" applyFill="1" applyBorder="1" applyAlignment="1">
      <alignment horizontal="left" vertical="top" wrapText="1"/>
    </xf>
    <xf numFmtId="0" fontId="16" fillId="5" borderId="23" xfId="28" applyFont="1" applyFill="1" applyBorder="1" applyAlignment="1">
      <alignment horizontal="center" vertical="center"/>
    </xf>
    <xf numFmtId="49" fontId="16" fillId="5" borderId="23" xfId="28" applyNumberFormat="1" applyFont="1" applyFill="1" applyBorder="1" applyAlignment="1">
      <alignment horizontal="left" vertical="top" wrapText="1"/>
    </xf>
    <xf numFmtId="49" fontId="16" fillId="5" borderId="23" xfId="28" applyNumberFormat="1" applyFont="1" applyFill="1" applyBorder="1" applyAlignment="1">
      <alignment horizontal="center" vertical="center"/>
    </xf>
    <xf numFmtId="0" fontId="16" fillId="0" borderId="0" xfId="28" applyFont="1" applyAlignment="1">
      <alignment vertical="center"/>
    </xf>
    <xf numFmtId="0" fontId="16" fillId="5" borderId="23" xfId="28" applyFont="1" applyFill="1" applyBorder="1" applyAlignment="1">
      <alignment horizontal="center" vertical="center" wrapText="1"/>
    </xf>
    <xf numFmtId="0" fontId="16" fillId="0" borderId="23" xfId="28" applyFont="1" applyBorder="1" applyAlignment="1">
      <alignment horizontal="center" vertical="center"/>
    </xf>
    <xf numFmtId="0" fontId="16" fillId="0" borderId="23" xfId="28" applyFont="1" applyBorder="1" applyAlignment="1">
      <alignment vertical="center" wrapText="1"/>
    </xf>
    <xf numFmtId="0" fontId="16" fillId="0" borderId="21" xfId="28" applyFont="1" applyBorder="1" applyAlignment="1">
      <alignment horizontal="left" vertical="top" wrapText="1"/>
    </xf>
    <xf numFmtId="0" fontId="16" fillId="0" borderId="5" xfId="28" applyFont="1" applyBorder="1" applyAlignment="1">
      <alignment horizontal="left" vertical="top" wrapText="1"/>
    </xf>
    <xf numFmtId="0" fontId="16" fillId="0" borderId="22" xfId="28" applyFont="1" applyBorder="1" applyAlignment="1">
      <alignment horizontal="left" vertical="top" wrapText="1"/>
    </xf>
    <xf numFmtId="49" fontId="16" fillId="0" borderId="23" xfId="28" applyNumberFormat="1" applyFont="1" applyBorder="1" applyAlignment="1">
      <alignment horizontal="center" vertical="center"/>
    </xf>
    <xf numFmtId="0" fontId="16" fillId="0" borderId="23" xfId="28" applyFont="1" applyBorder="1" applyAlignment="1">
      <alignment horizontal="center" vertical="center" wrapText="1"/>
    </xf>
    <xf numFmtId="0" fontId="75" fillId="5" borderId="23" xfId="28" applyFont="1" applyFill="1" applyBorder="1" applyAlignment="1">
      <alignment horizontal="left" vertical="top" wrapText="1"/>
    </xf>
    <xf numFmtId="0" fontId="46" fillId="5" borderId="23" xfId="28" applyFont="1" applyFill="1" applyBorder="1" applyAlignment="1">
      <alignment horizontal="left" vertical="top" wrapText="1"/>
    </xf>
    <xf numFmtId="0" fontId="29" fillId="5" borderId="23" xfId="28" applyFont="1" applyFill="1" applyBorder="1" applyAlignment="1">
      <alignment horizontal="center" vertical="center" wrapText="1"/>
    </xf>
    <xf numFmtId="0" fontId="29" fillId="8" borderId="12" xfId="28" applyFont="1" applyFill="1" applyBorder="1" applyAlignment="1">
      <alignment horizontal="left" vertical="center"/>
    </xf>
    <xf numFmtId="0" fontId="29" fillId="8" borderId="8" xfId="28" applyFont="1" applyFill="1" applyBorder="1" applyAlignment="1">
      <alignment horizontal="left" vertical="center"/>
    </xf>
    <xf numFmtId="0" fontId="29" fillId="8" borderId="8" xfId="28" applyFont="1" applyFill="1" applyBorder="1" applyAlignment="1">
      <alignment horizontal="left" vertical="center"/>
    </xf>
    <xf numFmtId="0" fontId="29" fillId="7" borderId="23" xfId="28" applyFont="1" applyFill="1" applyBorder="1" applyAlignment="1">
      <alignment vertical="center" wrapText="1"/>
    </xf>
    <xf numFmtId="0" fontId="16" fillId="7" borderId="23" xfId="28" applyFont="1" applyFill="1" applyBorder="1" applyAlignment="1">
      <alignment horizontal="left" vertical="top" wrapText="1"/>
    </xf>
    <xf numFmtId="0" fontId="16" fillId="7" borderId="23" xfId="28" applyFont="1" applyFill="1" applyBorder="1" applyAlignment="1">
      <alignment horizontal="left" vertical="center" wrapText="1"/>
    </xf>
    <xf numFmtId="0" fontId="16" fillId="0" borderId="0" xfId="28" applyFont="1" applyAlignment="1">
      <alignment horizontal="left" vertical="top" wrapText="1"/>
    </xf>
    <xf numFmtId="0" fontId="16" fillId="0" borderId="0" xfId="28" applyFont="1" applyAlignment="1">
      <alignment horizontal="left" vertical="top"/>
    </xf>
    <xf numFmtId="166" fontId="76" fillId="0" borderId="0" xfId="0" applyFont="1" applyFill="1" applyAlignment="1">
      <protection locked="0" hidden="1"/>
    </xf>
    <xf numFmtId="166" fontId="76" fillId="0" borderId="31" xfId="0" applyFont="1" applyFill="1" applyBorder="1" applyAlignment="1">
      <protection locked="0" hidden="1"/>
    </xf>
    <xf numFmtId="166" fontId="76" fillId="0" borderId="32" xfId="0" applyFont="1" applyFill="1" applyBorder="1" applyAlignment="1">
      <protection locked="0" hidden="1"/>
    </xf>
    <xf numFmtId="166" fontId="76" fillId="0" borderId="33" xfId="0" applyFont="1" applyFill="1" applyBorder="1" applyAlignment="1">
      <protection locked="0" hidden="1"/>
    </xf>
    <xf numFmtId="166" fontId="7" fillId="0" borderId="34" xfId="0" applyFont="1" applyFill="1" applyBorder="1" applyAlignment="1">
      <alignment horizontal="centerContinuous"/>
      <protection locked="0" hidden="1"/>
    </xf>
    <xf numFmtId="166" fontId="59" fillId="0" borderId="0" xfId="0" applyFont="1" applyFill="1" applyAlignment="1">
      <alignment horizontal="centerContinuous"/>
      <protection locked="0" hidden="1"/>
    </xf>
    <xf numFmtId="166" fontId="23" fillId="0" borderId="0" xfId="0" applyFont="1" applyFill="1" applyAlignment="1">
      <alignment horizontal="centerContinuous"/>
      <protection locked="0" hidden="1"/>
    </xf>
    <xf numFmtId="166" fontId="23" fillId="0" borderId="35" xfId="0" applyFont="1" applyFill="1" applyBorder="1" applyAlignment="1">
      <alignment horizontal="centerContinuous"/>
      <protection locked="0" hidden="1"/>
    </xf>
    <xf numFmtId="166" fontId="23" fillId="0" borderId="0" xfId="0" applyFont="1" applyFill="1" applyAlignment="1">
      <protection locked="0" hidden="1"/>
    </xf>
    <xf numFmtId="166" fontId="77" fillId="0" borderId="0" xfId="0" applyFont="1" applyFill="1" applyAlignment="1">
      <alignment horizontal="centerContinuous"/>
      <protection locked="0" hidden="1"/>
    </xf>
    <xf numFmtId="166" fontId="76" fillId="0" borderId="34" xfId="0" applyFont="1" applyFill="1" applyBorder="1" applyAlignment="1">
      <alignment vertical="top"/>
      <protection locked="0" hidden="1"/>
    </xf>
    <xf numFmtId="166" fontId="78" fillId="0" borderId="0" xfId="0" applyFont="1" applyFill="1" applyAlignment="1">
      <alignment readingOrder="1"/>
      <protection locked="0" hidden="1"/>
    </xf>
    <xf numFmtId="166" fontId="61" fillId="0" borderId="0" xfId="0" applyFont="1" applyFill="1" applyAlignment="1">
      <alignment vertical="top"/>
      <protection locked="0" hidden="1"/>
    </xf>
    <xf numFmtId="166" fontId="79" fillId="0" borderId="0" xfId="0" applyFont="1" applyFill="1" applyAlignment="1">
      <alignment horizontal="center" vertical="top"/>
      <protection locked="0" hidden="1"/>
    </xf>
    <xf numFmtId="166" fontId="80" fillId="0" borderId="0" xfId="0" applyFont="1" applyFill="1" applyAlignment="1">
      <alignment horizontal="right" readingOrder="2"/>
      <protection locked="0" hidden="1"/>
    </xf>
    <xf numFmtId="166" fontId="76" fillId="0" borderId="35" xfId="0" applyFont="1" applyFill="1" applyBorder="1" applyAlignment="1">
      <alignment vertical="top"/>
      <protection locked="0" hidden="1"/>
    </xf>
    <xf numFmtId="166" fontId="76" fillId="0" borderId="0" xfId="0" applyFont="1" applyFill="1" applyAlignment="1">
      <alignment vertical="top"/>
      <protection locked="0" hidden="1"/>
    </xf>
    <xf numFmtId="166" fontId="76" fillId="0" borderId="34" xfId="0" applyFont="1" applyFill="1" applyBorder="1" applyAlignment="1">
      <protection locked="0" hidden="1"/>
    </xf>
    <xf numFmtId="166" fontId="34" fillId="0" borderId="0" xfId="0" applyFont="1" applyFill="1" applyAlignment="1">
      <protection locked="0" hidden="1"/>
    </xf>
    <xf numFmtId="166" fontId="79" fillId="0" borderId="0" xfId="0" applyFont="1" applyFill="1" applyAlignment="1">
      <protection locked="0" hidden="1"/>
    </xf>
    <xf numFmtId="166" fontId="79" fillId="0" borderId="0" xfId="0" applyFont="1" applyFill="1" applyAlignment="1">
      <alignment horizontal="center"/>
      <protection locked="0" hidden="1"/>
    </xf>
    <xf numFmtId="166" fontId="81" fillId="0" borderId="0" xfId="0" applyFont="1" applyFill="1" applyAlignment="1">
      <alignment horizontal="right"/>
      <protection locked="0" hidden="1"/>
    </xf>
    <xf numFmtId="166" fontId="76" fillId="0" borderId="35" xfId="0" applyFont="1" applyFill="1" applyBorder="1" applyAlignment="1">
      <protection locked="0" hidden="1"/>
    </xf>
    <xf numFmtId="166" fontId="76" fillId="0" borderId="36" xfId="0" applyFont="1" applyFill="1" applyBorder="1" applyAlignment="1">
      <protection locked="0" hidden="1"/>
    </xf>
    <xf numFmtId="166" fontId="76" fillId="0" borderId="36" xfId="0" applyFont="1" applyFill="1" applyBorder="1" applyAlignment="1">
      <alignment horizontal="right"/>
      <protection locked="0" hidden="1"/>
    </xf>
    <xf numFmtId="166" fontId="82" fillId="0" borderId="36" xfId="0" applyFont="1" applyFill="1" applyBorder="1" applyAlignment="1">
      <alignment horizontal="right"/>
      <protection locked="0" hidden="1"/>
    </xf>
    <xf numFmtId="166" fontId="82" fillId="0" borderId="36" xfId="0" applyFont="1" applyFill="1" applyBorder="1" applyAlignment="1">
      <alignment horizontal="right" readingOrder="2"/>
      <protection locked="0" hidden="1"/>
    </xf>
    <xf numFmtId="166" fontId="6" fillId="0" borderId="34" xfId="0" applyFont="1" applyFill="1" applyBorder="1" applyAlignment="1">
      <protection locked="0" hidden="1"/>
    </xf>
    <xf numFmtId="166" fontId="6" fillId="0" borderId="0" xfId="0" applyFont="1" applyFill="1" applyAlignment="1">
      <alignment horizontal="right"/>
      <protection locked="0" hidden="1"/>
    </xf>
    <xf numFmtId="166" fontId="6" fillId="0" borderId="35" xfId="0" applyFont="1" applyFill="1" applyBorder="1" applyAlignment="1">
      <protection locked="0" hidden="1"/>
    </xf>
    <xf numFmtId="166" fontId="76" fillId="0" borderId="36" xfId="0" applyFont="1" applyFill="1" applyBorder="1" applyAlignment="1">
      <alignment wrapText="1"/>
      <protection locked="0" hidden="1"/>
    </xf>
    <xf numFmtId="166" fontId="76" fillId="0" borderId="37" xfId="0" applyFont="1" applyFill="1" applyBorder="1" applyAlignment="1">
      <protection locked="0" hidden="1"/>
    </xf>
    <xf numFmtId="166" fontId="76" fillId="0" borderId="38" xfId="0" applyFont="1" applyFill="1" applyBorder="1" applyAlignment="1">
      <protection locked="0" hidden="1"/>
    </xf>
    <xf numFmtId="166" fontId="76" fillId="0" borderId="38" xfId="0" applyFont="1" applyFill="1" applyBorder="1" applyAlignment="1">
      <alignment horizontal="right"/>
      <protection locked="0" hidden="1"/>
    </xf>
    <xf numFmtId="166" fontId="76" fillId="0" borderId="39" xfId="0" applyFont="1" applyFill="1" applyBorder="1" applyAlignment="1">
      <protection locked="0" hidden="1"/>
    </xf>
    <xf numFmtId="166" fontId="76" fillId="0" borderId="0" xfId="0" applyFont="1" applyFill="1" applyAlignment="1">
      <alignment horizontal="right"/>
      <protection locked="0" hidden="1"/>
    </xf>
    <xf numFmtId="166" fontId="76" fillId="0" borderId="32" xfId="0" applyFont="1" applyFill="1" applyBorder="1" applyAlignment="1">
      <alignment horizontal="right"/>
      <protection locked="0" hidden="1"/>
    </xf>
    <xf numFmtId="166" fontId="34" fillId="0" borderId="36" xfId="0" applyFont="1" applyFill="1" applyBorder="1" applyAlignment="1">
      <protection locked="0" hidden="1"/>
    </xf>
    <xf numFmtId="166" fontId="81" fillId="0" borderId="36" xfId="0" applyFont="1" applyFill="1" applyBorder="1" applyAlignment="1">
      <alignment horizontal="right"/>
      <protection locked="0" hidden="1"/>
    </xf>
    <xf numFmtId="166" fontId="18" fillId="0" borderId="34" xfId="0" applyFont="1" applyFill="1" applyBorder="1" applyAlignment="1">
      <protection locked="0" hidden="1"/>
    </xf>
    <xf numFmtId="166" fontId="18" fillId="0" borderId="35" xfId="0" applyFont="1" applyFill="1" applyBorder="1" applyAlignment="1">
      <protection locked="0" hidden="1"/>
    </xf>
  </cellXfs>
  <cellStyles count="35">
    <cellStyle name="%" xfId="1" xr:uid="{00000000-0005-0000-0000-000000000000}"/>
    <cellStyle name="Comma" xfId="34" builtinId="3"/>
    <cellStyle name="Comma 2" xfId="2" xr:uid="{00000000-0005-0000-0000-000002000000}"/>
    <cellStyle name="Comma 3" xfId="3" xr:uid="{00000000-0005-0000-0000-000003000000}"/>
    <cellStyle name="Comma 4" xfId="4" xr:uid="{00000000-0005-0000-0000-000004000000}"/>
    <cellStyle name="Currency 2" xfId="5" xr:uid="{00000000-0005-0000-0000-000005000000}"/>
    <cellStyle name="Microsoft Excel found an error in the formula you entered. Do you want to accept the correction proposed below?_x000a__x000a_|_x000a__x000a_• To accept the correction, click Yes._x000a_• To close this message and correct the formula yourself, click No." xfId="6" xr:uid="{00000000-0005-0000-0000-000006000000}"/>
    <cellStyle name="MS_Arabic" xfId="7" xr:uid="{00000000-0005-0000-0000-000007000000}"/>
    <cellStyle name="MS_Latin" xfId="8" xr:uid="{00000000-0005-0000-0000-000008000000}"/>
    <cellStyle name="Normal" xfId="0" builtinId="0"/>
    <cellStyle name="Normal 2" xfId="9" xr:uid="{00000000-0005-0000-0000-00000A000000}"/>
    <cellStyle name="Normal 2 2" xfId="10" xr:uid="{00000000-0005-0000-0000-00000B000000}"/>
    <cellStyle name="Normal 2 2 2" xfId="11" xr:uid="{00000000-0005-0000-0000-00000C000000}"/>
    <cellStyle name="Normal 2 3" xfId="12" xr:uid="{00000000-0005-0000-0000-00000D000000}"/>
    <cellStyle name="Normal 2 4" xfId="13" xr:uid="{00000000-0005-0000-0000-00000E000000}"/>
    <cellStyle name="Normal 3" xfId="14" xr:uid="{00000000-0005-0000-0000-00000F000000}"/>
    <cellStyle name="Normal 3 2" xfId="15" xr:uid="{00000000-0005-0000-0000-000010000000}"/>
    <cellStyle name="Normal 4" xfId="16" xr:uid="{00000000-0005-0000-0000-000011000000}"/>
    <cellStyle name="Normal 5" xfId="17" xr:uid="{00000000-0005-0000-0000-000012000000}"/>
    <cellStyle name="Normal 6" xfId="26" xr:uid="{00000000-0005-0000-0000-000013000000}"/>
    <cellStyle name="Normal 7" xfId="27" xr:uid="{00000000-0005-0000-0000-000014000000}"/>
    <cellStyle name="Normal 7 2" xfId="31" xr:uid="{00000000-0005-0000-0000-000015000000}"/>
    <cellStyle name="Normal 8" xfId="28" xr:uid="{00000000-0005-0000-0000-000016000000}"/>
    <cellStyle name="Normal 9" xfId="29" xr:uid="{00000000-0005-0000-0000-000017000000}"/>
    <cellStyle name="Normal 9 2" xfId="32" xr:uid="{00000000-0005-0000-0000-000018000000}"/>
    <cellStyle name="Normal_Sheet1" xfId="18" xr:uid="{00000000-0005-0000-0000-000019000000}"/>
    <cellStyle name="Normal_TABLE21 (2)" xfId="19" xr:uid="{00000000-0005-0000-0000-00001A000000}"/>
    <cellStyle name="Normal_TABLE22 (2)" xfId="20" xr:uid="{00000000-0005-0000-0000-00001B000000}"/>
    <cellStyle name="Normal_TABLE27" xfId="21" xr:uid="{00000000-0005-0000-0000-00001C000000}"/>
    <cellStyle name="Normal_TABLE8 (2)" xfId="22" xr:uid="{00000000-0005-0000-0000-00001D000000}"/>
    <cellStyle name="Percent 2" xfId="23" xr:uid="{00000000-0005-0000-0000-00001E000000}"/>
    <cellStyle name="Percent 3" xfId="24" xr:uid="{00000000-0005-0000-0000-00001F000000}"/>
    <cellStyle name="Percent 4" xfId="30" xr:uid="{00000000-0005-0000-0000-000020000000}"/>
    <cellStyle name="Percent 4 2" xfId="33" xr:uid="{00000000-0005-0000-0000-000021000000}"/>
    <cellStyle name="Style 1" xfId="25" xr:uid="{00000000-0005-0000-0000-00002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11</xdr:col>
      <xdr:colOff>0</xdr:colOff>
      <xdr:row>10</xdr:row>
      <xdr:rowOff>152400</xdr:rowOff>
    </xdr:from>
    <xdr:to>
      <xdr:col>11</xdr:col>
      <xdr:colOff>0</xdr:colOff>
      <xdr:row>10</xdr:row>
      <xdr:rowOff>152400</xdr:rowOff>
    </xdr:to>
    <xdr:sp macro="" textlink="">
      <xdr:nvSpPr>
        <xdr:cNvPr id="54733" name="Line 1">
          <a:extLst>
            <a:ext uri="{FF2B5EF4-FFF2-40B4-BE49-F238E27FC236}">
              <a16:creationId xmlns:a16="http://schemas.microsoft.com/office/drawing/2014/main" id="{00000000-0008-0000-1900-0000CDD50000}"/>
            </a:ext>
          </a:extLst>
        </xdr:cNvPr>
        <xdr:cNvSpPr>
          <a:spLocks noChangeShapeType="1"/>
        </xdr:cNvSpPr>
      </xdr:nvSpPr>
      <xdr:spPr bwMode="auto">
        <a:xfrm flipH="1">
          <a:off x="12268200" y="14859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80"/>
  <sheetViews>
    <sheetView tabSelected="1" zoomScale="75" zoomScaleNormal="75" workbookViewId="0">
      <selection activeCell="B2" sqref="B2"/>
    </sheetView>
  </sheetViews>
  <sheetFormatPr defaultColWidth="7.77734375" defaultRowHeight="13.8"/>
  <cols>
    <col min="1" max="1" width="2.21875" style="2041" customWidth="1"/>
    <col min="2" max="2" width="76.77734375" style="2041" customWidth="1"/>
    <col min="3" max="3" width="3.77734375" style="2041" customWidth="1"/>
    <col min="4" max="4" width="5.77734375" style="2041" customWidth="1"/>
    <col min="5" max="5" width="3.77734375" style="2041" customWidth="1"/>
    <col min="6" max="6" width="76.77734375" style="2041" customWidth="1"/>
    <col min="7" max="7" width="2.21875" style="2041" customWidth="1"/>
    <col min="8" max="16384" width="7.77734375" style="2041"/>
  </cols>
  <sheetData>
    <row r="1" spans="1:7" ht="21.3" customHeight="1" thickBot="1"/>
    <row r="2" spans="1:7" ht="9" customHeight="1">
      <c r="A2" s="2042"/>
      <c r="B2" s="2043"/>
      <c r="C2" s="2043"/>
      <c r="D2" s="2043"/>
      <c r="E2" s="2043"/>
      <c r="F2" s="2043"/>
      <c r="G2" s="2044"/>
    </row>
    <row r="3" spans="1:7" s="2049" customFormat="1" ht="17.399999999999999">
      <c r="A3" s="2045" t="s">
        <v>1788</v>
      </c>
      <c r="B3" s="2046"/>
      <c r="C3" s="1660"/>
      <c r="D3" s="2046"/>
      <c r="E3" s="1660"/>
      <c r="F3" s="2047"/>
      <c r="G3" s="2048"/>
    </row>
    <row r="4" spans="1:7" s="2049" customFormat="1" ht="9" customHeight="1">
      <c r="A4" s="2045"/>
      <c r="B4" s="2047"/>
      <c r="C4" s="2047"/>
      <c r="D4" s="2050"/>
      <c r="E4" s="2047"/>
      <c r="F4" s="2047"/>
      <c r="G4" s="2048"/>
    </row>
    <row r="5" spans="1:7" s="2049" customFormat="1" ht="14.85" customHeight="1">
      <c r="A5" s="2045" t="s">
        <v>1789</v>
      </c>
      <c r="B5" s="2047"/>
      <c r="C5" s="2047"/>
      <c r="D5" s="2050"/>
      <c r="E5" s="2047"/>
      <c r="F5" s="2047"/>
      <c r="G5" s="2048"/>
    </row>
    <row r="6" spans="1:7" s="2057" customFormat="1" ht="21.3" customHeight="1">
      <c r="A6" s="2051"/>
      <c r="B6" s="2052" t="s">
        <v>0</v>
      </c>
      <c r="C6" s="2053"/>
      <c r="D6" s="2054"/>
      <c r="E6" s="2053"/>
      <c r="F6" s="2055" t="s">
        <v>1</v>
      </c>
      <c r="G6" s="2056"/>
    </row>
    <row r="7" spans="1:7" ht="20.25" customHeight="1">
      <c r="A7" s="2058"/>
      <c r="B7" s="2059" t="s">
        <v>2</v>
      </c>
      <c r="C7" s="2060"/>
      <c r="D7" s="2061"/>
      <c r="E7" s="2060"/>
      <c r="F7" s="2062" t="s">
        <v>3</v>
      </c>
      <c r="G7" s="2063"/>
    </row>
    <row r="8" spans="1:7" ht="20.25" customHeight="1">
      <c r="A8" s="2058"/>
      <c r="B8" s="2064" t="s">
        <v>4</v>
      </c>
      <c r="C8" s="2064"/>
      <c r="D8" s="2065">
        <v>1</v>
      </c>
      <c r="E8" s="2064"/>
      <c r="F8" s="2066" t="s">
        <v>5</v>
      </c>
      <c r="G8" s="2063"/>
    </row>
    <row r="9" spans="1:7" ht="17.55" customHeight="1">
      <c r="A9" s="2058"/>
      <c r="B9" s="2064" t="s">
        <v>6</v>
      </c>
      <c r="C9" s="2064"/>
      <c r="D9" s="2065">
        <v>2</v>
      </c>
      <c r="E9" s="2064"/>
      <c r="F9" s="2066" t="s">
        <v>7</v>
      </c>
      <c r="G9" s="2063"/>
    </row>
    <row r="10" spans="1:7" ht="17.55" customHeight="1">
      <c r="A10" s="2058"/>
      <c r="B10" s="2064" t="s">
        <v>8</v>
      </c>
      <c r="C10" s="2064"/>
      <c r="D10" s="2065">
        <v>3</v>
      </c>
      <c r="E10" s="2064"/>
      <c r="F10" s="2066" t="s">
        <v>9</v>
      </c>
      <c r="G10" s="2063"/>
    </row>
    <row r="11" spans="1:7" ht="17.55" customHeight="1">
      <c r="A11" s="2058"/>
      <c r="B11" s="2064" t="s">
        <v>10</v>
      </c>
      <c r="C11" s="2064"/>
      <c r="D11" s="2065">
        <v>4</v>
      </c>
      <c r="E11" s="2064"/>
      <c r="F11" s="2066" t="s">
        <v>11</v>
      </c>
      <c r="G11" s="2063"/>
    </row>
    <row r="12" spans="1:7" ht="17.55" customHeight="1">
      <c r="A12" s="2058"/>
      <c r="B12" s="2064" t="s">
        <v>12</v>
      </c>
      <c r="C12" s="2064"/>
      <c r="D12" s="2065">
        <v>5</v>
      </c>
      <c r="E12" s="2064"/>
      <c r="F12" s="2066" t="s">
        <v>13</v>
      </c>
      <c r="G12" s="2063"/>
    </row>
    <row r="13" spans="1:7" ht="17.55" customHeight="1">
      <c r="A13" s="2058"/>
      <c r="B13" s="2064" t="s">
        <v>14</v>
      </c>
      <c r="C13" s="2064"/>
      <c r="D13" s="2065">
        <v>6</v>
      </c>
      <c r="E13" s="2064"/>
      <c r="F13" s="2066" t="s">
        <v>15</v>
      </c>
      <c r="G13" s="2063"/>
    </row>
    <row r="14" spans="1:7" ht="17.55" customHeight="1">
      <c r="A14" s="2058"/>
      <c r="B14" s="2064" t="s">
        <v>16</v>
      </c>
      <c r="C14" s="2064"/>
      <c r="D14" s="2065">
        <v>7</v>
      </c>
      <c r="E14" s="2064"/>
      <c r="F14" s="2066" t="s">
        <v>17</v>
      </c>
      <c r="G14" s="2063"/>
    </row>
    <row r="15" spans="1:7" ht="17.55" customHeight="1">
      <c r="A15" s="2058"/>
      <c r="B15" s="2064" t="s">
        <v>18</v>
      </c>
      <c r="C15" s="2064"/>
      <c r="D15" s="2065">
        <v>8</v>
      </c>
      <c r="E15" s="2064"/>
      <c r="F15" s="2066" t="s">
        <v>19</v>
      </c>
      <c r="G15" s="2063"/>
    </row>
    <row r="16" spans="1:7" ht="17.55" customHeight="1">
      <c r="A16" s="2058"/>
      <c r="B16" s="2064" t="s">
        <v>20</v>
      </c>
      <c r="C16" s="2064"/>
      <c r="D16" s="2065">
        <v>9</v>
      </c>
      <c r="E16" s="2064"/>
      <c r="F16" s="2066" t="s">
        <v>21</v>
      </c>
      <c r="G16" s="2063"/>
    </row>
    <row r="17" spans="1:7" ht="17.55" customHeight="1">
      <c r="A17" s="2058"/>
      <c r="B17" s="2064" t="s">
        <v>22</v>
      </c>
      <c r="C17" s="2064"/>
      <c r="D17" s="2065">
        <v>10</v>
      </c>
      <c r="E17" s="2064"/>
      <c r="F17" s="2066" t="s">
        <v>23</v>
      </c>
      <c r="G17" s="2063"/>
    </row>
    <row r="18" spans="1:7" ht="17.55" customHeight="1">
      <c r="A18" s="2058"/>
      <c r="B18" s="2064" t="s">
        <v>24</v>
      </c>
      <c r="C18" s="2064"/>
      <c r="D18" s="2065">
        <v>11</v>
      </c>
      <c r="E18" s="2064"/>
      <c r="F18" s="2066" t="s">
        <v>25</v>
      </c>
      <c r="G18" s="2063"/>
    </row>
    <row r="19" spans="1:7" ht="17.55" customHeight="1">
      <c r="A19" s="2058"/>
      <c r="B19" s="2064" t="s">
        <v>26</v>
      </c>
      <c r="C19" s="2064"/>
      <c r="D19" s="2065">
        <v>12</v>
      </c>
      <c r="E19" s="2064"/>
      <c r="F19" s="2066" t="s">
        <v>27</v>
      </c>
      <c r="G19" s="2063"/>
    </row>
    <row r="20" spans="1:7" ht="17.55" customHeight="1">
      <c r="A20" s="2058"/>
      <c r="B20" s="2064" t="s">
        <v>28</v>
      </c>
      <c r="C20" s="2064"/>
      <c r="D20" s="2065">
        <v>13</v>
      </c>
      <c r="E20" s="2064"/>
      <c r="F20" s="2067" t="s">
        <v>29</v>
      </c>
      <c r="G20" s="2063"/>
    </row>
    <row r="21" spans="1:7" s="148" customFormat="1" ht="20.25" customHeight="1">
      <c r="A21" s="2068"/>
      <c r="B21" s="2059" t="s">
        <v>30</v>
      </c>
      <c r="C21" s="2059"/>
      <c r="D21" s="2069"/>
      <c r="E21" s="2059"/>
      <c r="F21" s="2062" t="s">
        <v>31</v>
      </c>
      <c r="G21" s="2070"/>
    </row>
    <row r="22" spans="1:7" ht="20.25" customHeight="1">
      <c r="A22" s="2058"/>
      <c r="B22" s="2064" t="s">
        <v>32</v>
      </c>
      <c r="C22" s="2064"/>
      <c r="D22" s="2065">
        <v>14</v>
      </c>
      <c r="E22" s="2064"/>
      <c r="F22" s="2066" t="s">
        <v>33</v>
      </c>
      <c r="G22" s="2063"/>
    </row>
    <row r="23" spans="1:7" ht="17.55" customHeight="1">
      <c r="A23" s="2058"/>
      <c r="B23" s="2064" t="s">
        <v>34</v>
      </c>
      <c r="C23" s="2064"/>
      <c r="D23" s="2065">
        <v>15</v>
      </c>
      <c r="E23" s="2064"/>
      <c r="F23" s="2066" t="s">
        <v>35</v>
      </c>
      <c r="G23" s="2063"/>
    </row>
    <row r="24" spans="1:7" ht="17.55" customHeight="1">
      <c r="A24" s="2058"/>
      <c r="B24" s="2064" t="s">
        <v>36</v>
      </c>
      <c r="C24" s="2064"/>
      <c r="D24" s="2065">
        <v>16</v>
      </c>
      <c r="E24" s="2064"/>
      <c r="F24" s="2066" t="s">
        <v>37</v>
      </c>
      <c r="G24" s="2063"/>
    </row>
    <row r="25" spans="1:7" ht="17.55" customHeight="1">
      <c r="A25" s="2058"/>
      <c r="B25" s="2064" t="s">
        <v>38</v>
      </c>
      <c r="C25" s="2064"/>
      <c r="D25" s="2065">
        <v>17</v>
      </c>
      <c r="E25" s="2064"/>
      <c r="F25" s="2066" t="s">
        <v>39</v>
      </c>
      <c r="G25" s="2063"/>
    </row>
    <row r="26" spans="1:7" ht="17.55" customHeight="1">
      <c r="A26" s="2058"/>
      <c r="B26" s="2064" t="s">
        <v>40</v>
      </c>
      <c r="C26" s="2064"/>
      <c r="D26" s="2065">
        <v>18</v>
      </c>
      <c r="E26" s="2064"/>
      <c r="F26" s="2066" t="s">
        <v>41</v>
      </c>
      <c r="G26" s="2063"/>
    </row>
    <row r="27" spans="1:7" ht="17.55" customHeight="1">
      <c r="A27" s="2058"/>
      <c r="B27" s="2064" t="s">
        <v>42</v>
      </c>
      <c r="C27" s="2064"/>
      <c r="D27" s="2065">
        <v>19</v>
      </c>
      <c r="E27" s="2064"/>
      <c r="F27" s="2066" t="s">
        <v>43</v>
      </c>
      <c r="G27" s="2063"/>
    </row>
    <row r="28" spans="1:7" ht="17.55" customHeight="1">
      <c r="A28" s="2058"/>
      <c r="B28" s="2064" t="s">
        <v>44</v>
      </c>
      <c r="C28" s="2064"/>
      <c r="D28" s="2065">
        <v>20</v>
      </c>
      <c r="E28" s="2064"/>
      <c r="F28" s="2066" t="s">
        <v>45</v>
      </c>
      <c r="G28" s="2063"/>
    </row>
    <row r="29" spans="1:7" ht="27.6">
      <c r="A29" s="2058"/>
      <c r="B29" s="2071" t="s">
        <v>46</v>
      </c>
      <c r="C29" s="2064"/>
      <c r="D29" s="2065">
        <v>21</v>
      </c>
      <c r="E29" s="2064"/>
      <c r="F29" s="2066" t="s">
        <v>47</v>
      </c>
      <c r="G29" s="2063"/>
    </row>
    <row r="30" spans="1:7" ht="17.55" customHeight="1">
      <c r="A30" s="2058"/>
      <c r="B30" s="2064" t="s">
        <v>48</v>
      </c>
      <c r="C30" s="2064"/>
      <c r="D30" s="2065">
        <v>22</v>
      </c>
      <c r="E30" s="2064"/>
      <c r="F30" s="2066" t="s">
        <v>49</v>
      </c>
      <c r="G30" s="2063"/>
    </row>
    <row r="31" spans="1:7" ht="17.55" customHeight="1">
      <c r="A31" s="2058"/>
      <c r="B31" s="2064" t="s">
        <v>50</v>
      </c>
      <c r="C31" s="2064"/>
      <c r="D31" s="2065">
        <v>23</v>
      </c>
      <c r="E31" s="2064"/>
      <c r="F31" s="2066" t="s">
        <v>51</v>
      </c>
      <c r="G31" s="2063"/>
    </row>
    <row r="32" spans="1:7" s="2049" customFormat="1" ht="16.5" customHeight="1">
      <c r="A32" s="2045"/>
      <c r="B32" s="2064" t="s">
        <v>52</v>
      </c>
      <c r="C32" s="2064"/>
      <c r="D32" s="2065">
        <v>24</v>
      </c>
      <c r="E32" s="2064"/>
      <c r="F32" s="2066" t="s">
        <v>53</v>
      </c>
      <c r="G32" s="2048"/>
    </row>
    <row r="33" spans="1:7" ht="17.55" customHeight="1">
      <c r="A33" s="2058"/>
      <c r="B33" s="2064" t="s">
        <v>54</v>
      </c>
      <c r="C33" s="2064"/>
      <c r="D33" s="2065">
        <v>25</v>
      </c>
      <c r="E33" s="2064"/>
      <c r="F33" s="2066" t="s">
        <v>55</v>
      </c>
      <c r="G33" s="2063"/>
    </row>
    <row r="34" spans="1:7" ht="17.55" customHeight="1">
      <c r="A34" s="2058"/>
      <c r="B34" s="2064" t="s">
        <v>56</v>
      </c>
      <c r="C34" s="2064"/>
      <c r="D34" s="2065">
        <v>26</v>
      </c>
      <c r="E34" s="2064"/>
      <c r="F34" s="2066" t="s">
        <v>57</v>
      </c>
      <c r="G34" s="2063"/>
    </row>
    <row r="35" spans="1:7" ht="17.55" customHeight="1">
      <c r="A35" s="2058"/>
      <c r="B35" s="2064" t="s">
        <v>58</v>
      </c>
      <c r="C35" s="2064"/>
      <c r="D35" s="2065">
        <v>27</v>
      </c>
      <c r="E35" s="2064"/>
      <c r="F35" s="2066" t="s">
        <v>59</v>
      </c>
      <c r="G35" s="2063"/>
    </row>
    <row r="36" spans="1:7" s="148" customFormat="1" ht="20.25" customHeight="1">
      <c r="A36" s="2068"/>
      <c r="B36" s="2059" t="s">
        <v>60</v>
      </c>
      <c r="C36" s="2059"/>
      <c r="D36" s="2069"/>
      <c r="E36" s="2059"/>
      <c r="F36" s="2062" t="s">
        <v>61</v>
      </c>
      <c r="G36" s="2070"/>
    </row>
    <row r="37" spans="1:7" ht="20.25" customHeight="1">
      <c r="A37" s="2058"/>
      <c r="B37" s="2064" t="s">
        <v>32</v>
      </c>
      <c r="C37" s="2064"/>
      <c r="D37" s="2065">
        <v>28</v>
      </c>
      <c r="E37" s="2064"/>
      <c r="F37" s="2066" t="s">
        <v>33</v>
      </c>
      <c r="G37" s="2063"/>
    </row>
    <row r="38" spans="1:7" ht="17.55" customHeight="1">
      <c r="A38" s="2058"/>
      <c r="B38" s="2064" t="s">
        <v>34</v>
      </c>
      <c r="C38" s="2064"/>
      <c r="D38" s="2065">
        <v>29</v>
      </c>
      <c r="E38" s="2064"/>
      <c r="F38" s="2066" t="s">
        <v>35</v>
      </c>
      <c r="G38" s="2063"/>
    </row>
    <row r="39" spans="1:7" ht="17.55" customHeight="1">
      <c r="A39" s="2058"/>
      <c r="B39" s="2064" t="s">
        <v>50</v>
      </c>
      <c r="C39" s="2064"/>
      <c r="D39" s="2065">
        <v>30</v>
      </c>
      <c r="E39" s="2064"/>
      <c r="F39" s="2066" t="s">
        <v>51</v>
      </c>
      <c r="G39" s="2063"/>
    </row>
    <row r="40" spans="1:7" s="2049" customFormat="1" ht="17.55" customHeight="1">
      <c r="A40" s="2045"/>
      <c r="B40" s="2064" t="s">
        <v>52</v>
      </c>
      <c r="C40" s="2064"/>
      <c r="D40" s="2065">
        <v>31</v>
      </c>
      <c r="E40" s="2064"/>
      <c r="F40" s="2066" t="s">
        <v>53</v>
      </c>
      <c r="G40" s="2048"/>
    </row>
    <row r="41" spans="1:7" ht="7.5" customHeight="1" thickBot="1">
      <c r="A41" s="2072"/>
      <c r="B41" s="2073"/>
      <c r="C41" s="2073"/>
      <c r="D41" s="2073"/>
      <c r="E41" s="2073"/>
      <c r="F41" s="2074"/>
      <c r="G41" s="2075"/>
    </row>
    <row r="42" spans="1:7" ht="13.5" customHeight="1" thickBot="1">
      <c r="F42" s="2076"/>
    </row>
    <row r="43" spans="1:7" ht="9" customHeight="1">
      <c r="A43" s="2042"/>
      <c r="B43" s="2043"/>
      <c r="C43" s="2043"/>
      <c r="D43" s="2043"/>
      <c r="E43" s="2043"/>
      <c r="F43" s="2077"/>
      <c r="G43" s="2044"/>
    </row>
    <row r="44" spans="1:7" s="2049" customFormat="1" ht="17.399999999999999">
      <c r="A44" s="2045" t="s">
        <v>1788</v>
      </c>
      <c r="B44" s="2046"/>
      <c r="C44" s="1660"/>
      <c r="D44" s="2046"/>
      <c r="E44" s="1660"/>
      <c r="F44" s="2047"/>
      <c r="G44" s="2048"/>
    </row>
    <row r="45" spans="1:7" s="2049" customFormat="1" ht="14.85" customHeight="1">
      <c r="A45" s="2045"/>
      <c r="B45" s="2047"/>
      <c r="C45" s="2047"/>
      <c r="D45" s="2050"/>
      <c r="E45" s="2047"/>
      <c r="F45" s="2047"/>
      <c r="G45" s="2048"/>
    </row>
    <row r="46" spans="1:7" s="2049" customFormat="1" ht="14.85" customHeight="1">
      <c r="A46" s="2045" t="s">
        <v>1789</v>
      </c>
      <c r="B46" s="2047"/>
      <c r="C46" s="2047"/>
      <c r="D46" s="2050"/>
      <c r="E46" s="2047"/>
      <c r="F46" s="2047"/>
      <c r="G46" s="2048"/>
    </row>
    <row r="47" spans="1:7" s="148" customFormat="1" ht="20.25" customHeight="1">
      <c r="A47" s="2068"/>
      <c r="B47" s="2059" t="s">
        <v>62</v>
      </c>
      <c r="C47" s="2059"/>
      <c r="D47" s="2069"/>
      <c r="E47" s="2059"/>
      <c r="F47" s="2062" t="s">
        <v>63</v>
      </c>
      <c r="G47" s="2070"/>
    </row>
    <row r="48" spans="1:7" ht="20.25" customHeight="1">
      <c r="A48" s="2058"/>
      <c r="B48" s="2064" t="s">
        <v>32</v>
      </c>
      <c r="C48" s="2064"/>
      <c r="D48" s="2065">
        <v>32</v>
      </c>
      <c r="E48" s="2064"/>
      <c r="F48" s="2066" t="s">
        <v>33</v>
      </c>
      <c r="G48" s="2063"/>
    </row>
    <row r="49" spans="1:7" ht="17.55" customHeight="1">
      <c r="A49" s="2058"/>
      <c r="B49" s="2064" t="s">
        <v>34</v>
      </c>
      <c r="C49" s="2064"/>
      <c r="D49" s="2065">
        <v>33</v>
      </c>
      <c r="E49" s="2064"/>
      <c r="F49" s="2066" t="s">
        <v>35</v>
      </c>
      <c r="G49" s="2063"/>
    </row>
    <row r="50" spans="1:7" ht="17.55" customHeight="1">
      <c r="A50" s="2058"/>
      <c r="B50" s="2064" t="s">
        <v>50</v>
      </c>
      <c r="C50" s="2064"/>
      <c r="D50" s="2065">
        <v>34</v>
      </c>
      <c r="E50" s="2064"/>
      <c r="F50" s="2066" t="s">
        <v>51</v>
      </c>
      <c r="G50" s="2063"/>
    </row>
    <row r="51" spans="1:7" s="2049" customFormat="1" ht="17.55" customHeight="1">
      <c r="A51" s="2045"/>
      <c r="B51" s="2064" t="s">
        <v>52</v>
      </c>
      <c r="C51" s="2064"/>
      <c r="D51" s="2065">
        <v>35</v>
      </c>
      <c r="E51" s="2064"/>
      <c r="F51" s="2066" t="s">
        <v>53</v>
      </c>
      <c r="G51" s="2048"/>
    </row>
    <row r="52" spans="1:7" ht="17.55" customHeight="1">
      <c r="A52" s="2058"/>
      <c r="B52" s="2064" t="s">
        <v>64</v>
      </c>
      <c r="C52" s="2064"/>
      <c r="D52" s="2065">
        <v>36</v>
      </c>
      <c r="E52" s="2064"/>
      <c r="F52" s="2066" t="s">
        <v>65</v>
      </c>
      <c r="G52" s="2063"/>
    </row>
    <row r="53" spans="1:7" s="148" customFormat="1" ht="20.25" customHeight="1">
      <c r="A53" s="2068"/>
      <c r="B53" s="2059" t="s">
        <v>66</v>
      </c>
      <c r="C53" s="2059"/>
      <c r="D53" s="2069"/>
      <c r="E53" s="2059"/>
      <c r="F53" s="2062" t="s">
        <v>67</v>
      </c>
      <c r="G53" s="2070"/>
    </row>
    <row r="54" spans="1:7" ht="20.25" customHeight="1">
      <c r="A54" s="2058"/>
      <c r="B54" s="2064" t="s">
        <v>68</v>
      </c>
      <c r="C54" s="2064"/>
      <c r="D54" s="2065">
        <v>37</v>
      </c>
      <c r="E54" s="2064"/>
      <c r="F54" s="2066" t="s">
        <v>67</v>
      </c>
      <c r="G54" s="2063"/>
    </row>
    <row r="55" spans="1:7" ht="17.55" customHeight="1">
      <c r="A55" s="2058"/>
      <c r="B55" s="2064" t="s">
        <v>69</v>
      </c>
      <c r="C55" s="2064"/>
      <c r="D55" s="2065">
        <v>38</v>
      </c>
      <c r="E55" s="2064"/>
      <c r="F55" s="2066" t="s">
        <v>70</v>
      </c>
      <c r="G55" s="2063"/>
    </row>
    <row r="56" spans="1:7" ht="17.55" customHeight="1">
      <c r="A56" s="2058"/>
      <c r="B56" s="2064" t="s">
        <v>71</v>
      </c>
      <c r="C56" s="2064"/>
      <c r="D56" s="2065">
        <v>39</v>
      </c>
      <c r="E56" s="2064"/>
      <c r="F56" s="2066" t="s">
        <v>72</v>
      </c>
      <c r="G56" s="2063"/>
    </row>
    <row r="57" spans="1:7" ht="21.3" customHeight="1">
      <c r="A57" s="2058"/>
      <c r="B57" s="2078" t="s">
        <v>73</v>
      </c>
      <c r="C57" s="2064"/>
      <c r="D57" s="2065">
        <v>40</v>
      </c>
      <c r="E57" s="2064"/>
      <c r="F57" s="2079" t="s">
        <v>74</v>
      </c>
      <c r="G57" s="2063"/>
    </row>
    <row r="58" spans="1:7" ht="21.3" customHeight="1">
      <c r="A58" s="2058"/>
      <c r="B58" s="2078" t="s">
        <v>75</v>
      </c>
      <c r="C58" s="2064"/>
      <c r="D58" s="2065">
        <v>41</v>
      </c>
      <c r="E58" s="2064"/>
      <c r="F58" s="2079" t="s">
        <v>76</v>
      </c>
      <c r="G58" s="2063"/>
    </row>
    <row r="59" spans="1:7" ht="21.3" customHeight="1">
      <c r="A59" s="2058"/>
      <c r="B59" s="2078" t="s">
        <v>77</v>
      </c>
      <c r="C59" s="2064"/>
      <c r="D59" s="2065">
        <v>42</v>
      </c>
      <c r="E59" s="2064"/>
      <c r="F59" s="2079" t="s">
        <v>78</v>
      </c>
      <c r="G59" s="2063"/>
    </row>
    <row r="60" spans="1:7" ht="21.3" customHeight="1">
      <c r="A60" s="2058"/>
      <c r="B60" s="2078" t="s">
        <v>79</v>
      </c>
      <c r="C60" s="2064"/>
      <c r="D60" s="2065">
        <v>43</v>
      </c>
      <c r="E60" s="2064"/>
      <c r="F60" s="2079" t="s">
        <v>80</v>
      </c>
      <c r="G60" s="2063"/>
    </row>
    <row r="61" spans="1:7" s="148" customFormat="1" ht="20.25" customHeight="1">
      <c r="A61" s="2068"/>
      <c r="B61" s="2059" t="s">
        <v>81</v>
      </c>
      <c r="C61" s="2059"/>
      <c r="D61" s="2069"/>
      <c r="E61" s="2059"/>
      <c r="F61" s="2062" t="s">
        <v>82</v>
      </c>
      <c r="G61" s="2070"/>
    </row>
    <row r="62" spans="1:7" ht="20.25" customHeight="1">
      <c r="A62" s="2058"/>
      <c r="B62" s="2064" t="s">
        <v>81</v>
      </c>
      <c r="C62" s="2064"/>
      <c r="D62" s="2065">
        <v>44</v>
      </c>
      <c r="E62" s="2064"/>
      <c r="F62" s="2066" t="s">
        <v>82</v>
      </c>
      <c r="G62" s="2063"/>
    </row>
    <row r="63" spans="1:7" ht="17.55" customHeight="1">
      <c r="A63" s="2058"/>
      <c r="B63" s="2064" t="s">
        <v>83</v>
      </c>
      <c r="C63" s="2064"/>
      <c r="D63" s="2065">
        <v>45</v>
      </c>
      <c r="E63" s="2064"/>
      <c r="F63" s="2066" t="s">
        <v>84</v>
      </c>
      <c r="G63" s="2063"/>
    </row>
    <row r="64" spans="1:7" ht="17.55" customHeight="1">
      <c r="A64" s="2058"/>
      <c r="B64" s="2064" t="s">
        <v>85</v>
      </c>
      <c r="C64" s="2064"/>
      <c r="D64" s="2065">
        <v>46</v>
      </c>
      <c r="E64" s="2064"/>
      <c r="F64" s="2066" t="s">
        <v>86</v>
      </c>
      <c r="G64" s="2063"/>
    </row>
    <row r="65" spans="1:7" ht="17.55" customHeight="1">
      <c r="A65" s="2058"/>
      <c r="B65" s="2064" t="s">
        <v>87</v>
      </c>
      <c r="C65" s="2064"/>
      <c r="D65" s="2065">
        <v>47</v>
      </c>
      <c r="E65" s="2064"/>
      <c r="F65" s="2066" t="s">
        <v>88</v>
      </c>
      <c r="G65" s="2063"/>
    </row>
    <row r="66" spans="1:7" ht="17.55" customHeight="1">
      <c r="A66" s="2058"/>
      <c r="B66" s="2064" t="s">
        <v>89</v>
      </c>
      <c r="C66" s="2064"/>
      <c r="D66" s="2065">
        <v>48</v>
      </c>
      <c r="E66" s="2064"/>
      <c r="F66" s="2066" t="s">
        <v>90</v>
      </c>
      <c r="G66" s="2063"/>
    </row>
    <row r="67" spans="1:7" ht="17.55" customHeight="1">
      <c r="A67" s="2058"/>
      <c r="B67" s="2064" t="s">
        <v>91</v>
      </c>
      <c r="C67" s="2064"/>
      <c r="D67" s="2065">
        <v>49</v>
      </c>
      <c r="E67" s="2064"/>
      <c r="F67" s="2066" t="s">
        <v>92</v>
      </c>
      <c r="G67" s="2063"/>
    </row>
    <row r="68" spans="1:7" ht="17.55" customHeight="1">
      <c r="A68" s="2058"/>
      <c r="B68" s="2064" t="s">
        <v>93</v>
      </c>
      <c r="C68" s="2064"/>
      <c r="D68" s="2065">
        <v>50</v>
      </c>
      <c r="E68" s="2064"/>
      <c r="F68" s="2066" t="s">
        <v>94</v>
      </c>
      <c r="G68" s="2063"/>
    </row>
    <row r="69" spans="1:7" s="306" customFormat="1" ht="27" customHeight="1">
      <c r="A69" s="2080"/>
      <c r="B69" s="2052" t="s">
        <v>95</v>
      </c>
      <c r="D69" s="441"/>
      <c r="F69" s="2055" t="s">
        <v>96</v>
      </c>
      <c r="G69" s="2081"/>
    </row>
    <row r="70" spans="1:7" ht="21.3" customHeight="1">
      <c r="A70" s="2058"/>
      <c r="B70" s="2064" t="s">
        <v>97</v>
      </c>
      <c r="C70" s="2064"/>
      <c r="D70" s="2065">
        <v>51</v>
      </c>
      <c r="E70" s="2064"/>
      <c r="F70" s="2066" t="s">
        <v>98</v>
      </c>
      <c r="G70" s="2063"/>
    </row>
    <row r="71" spans="1:7" ht="17.25" customHeight="1">
      <c r="A71" s="2058"/>
      <c r="B71" s="2064" t="s">
        <v>99</v>
      </c>
      <c r="C71" s="2064"/>
      <c r="D71" s="2065">
        <v>52</v>
      </c>
      <c r="E71" s="2064"/>
      <c r="F71" s="2066" t="s">
        <v>100</v>
      </c>
      <c r="G71" s="2063"/>
    </row>
    <row r="72" spans="1:7" ht="17.25" customHeight="1">
      <c r="A72" s="2058"/>
      <c r="B72" s="2064" t="s">
        <v>101</v>
      </c>
      <c r="C72" s="2064"/>
      <c r="D72" s="2065">
        <v>53</v>
      </c>
      <c r="E72" s="2064"/>
      <c r="F72" s="2066" t="s">
        <v>102</v>
      </c>
      <c r="G72" s="2063"/>
    </row>
    <row r="73" spans="1:7" ht="17.25" customHeight="1">
      <c r="A73" s="2058"/>
      <c r="B73" s="2064" t="s">
        <v>103</v>
      </c>
      <c r="C73" s="2064"/>
      <c r="D73" s="2065">
        <v>54</v>
      </c>
      <c r="E73" s="2064"/>
      <c r="F73" s="2066" t="s">
        <v>104</v>
      </c>
      <c r="G73" s="2063"/>
    </row>
    <row r="74" spans="1:7" ht="21.3" customHeight="1">
      <c r="A74" s="2058"/>
      <c r="B74" s="2059" t="s">
        <v>105</v>
      </c>
      <c r="D74" s="2076"/>
      <c r="F74" s="2062" t="s">
        <v>106</v>
      </c>
      <c r="G74" s="2063"/>
    </row>
    <row r="75" spans="1:7" ht="21.3" customHeight="1">
      <c r="A75" s="2058"/>
      <c r="B75" s="2064" t="s">
        <v>107</v>
      </c>
      <c r="C75" s="2064"/>
      <c r="D75" s="2065">
        <v>55</v>
      </c>
      <c r="E75" s="2064"/>
      <c r="F75" s="2066" t="s">
        <v>108</v>
      </c>
      <c r="G75" s="2063"/>
    </row>
    <row r="76" spans="1:7" ht="17.55" customHeight="1">
      <c r="A76" s="2058"/>
      <c r="B76" s="2064" t="s">
        <v>109</v>
      </c>
      <c r="C76" s="2064"/>
      <c r="D76" s="2065">
        <v>56</v>
      </c>
      <c r="E76" s="2064"/>
      <c r="F76" s="2066" t="s">
        <v>110</v>
      </c>
      <c r="G76" s="2063"/>
    </row>
    <row r="77" spans="1:7" ht="17.55" customHeight="1">
      <c r="A77" s="2058"/>
      <c r="B77" s="2064" t="s">
        <v>111</v>
      </c>
      <c r="C77" s="2064"/>
      <c r="D77" s="2065">
        <v>57</v>
      </c>
      <c r="E77" s="2064"/>
      <c r="F77" s="2066" t="s">
        <v>112</v>
      </c>
      <c r="G77" s="2063"/>
    </row>
    <row r="78" spans="1:7" ht="17.55" customHeight="1">
      <c r="A78" s="2058"/>
      <c r="B78" s="2064" t="s">
        <v>113</v>
      </c>
      <c r="C78" s="2064"/>
      <c r="D78" s="2065">
        <v>58</v>
      </c>
      <c r="E78" s="2064"/>
      <c r="F78" s="2066" t="s">
        <v>114</v>
      </c>
      <c r="G78" s="2063"/>
    </row>
    <row r="79" spans="1:7" ht="21.3" customHeight="1">
      <c r="A79" s="2058"/>
      <c r="B79" s="2078" t="s">
        <v>115</v>
      </c>
      <c r="C79" s="2064"/>
      <c r="D79" s="2065">
        <v>59</v>
      </c>
      <c r="E79" s="2064"/>
      <c r="F79" s="2079" t="s">
        <v>116</v>
      </c>
      <c r="G79" s="2063"/>
    </row>
    <row r="80" spans="1:7" ht="9" customHeight="1" thickBot="1">
      <c r="A80" s="2072"/>
      <c r="B80" s="2073"/>
      <c r="C80" s="2073"/>
      <c r="D80" s="2073"/>
      <c r="E80" s="2073"/>
      <c r="F80" s="2073"/>
      <c r="G80" s="2075"/>
    </row>
  </sheetData>
  <phoneticPr fontId="0" type="noConversion"/>
  <printOptions horizontalCentered="1"/>
  <pageMargins left="0" right="0" top="0.3" bottom="0.5" header="0.511811023622047" footer="0.511811023622047"/>
  <pageSetup paperSize="9" scale="73" orientation="landscape"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9">
    <pageSetUpPr fitToPage="1"/>
  </sheetPr>
  <dimension ref="A1:T52"/>
  <sheetViews>
    <sheetView zoomScale="70" zoomScaleNormal="70" workbookViewId="0">
      <pane ySplit="12" topLeftCell="A39" activePane="bottomLeft" state="frozen"/>
      <selection activeCell="B2" sqref="B2"/>
      <selection pane="bottomLeft" activeCell="B2" sqref="B2"/>
    </sheetView>
  </sheetViews>
  <sheetFormatPr defaultColWidth="9.21875" defaultRowHeight="15"/>
  <cols>
    <col min="1" max="2" width="9.77734375" style="148" customWidth="1"/>
    <col min="3" max="6" width="10.77734375" style="148" customWidth="1"/>
    <col min="7" max="7" width="16.21875" style="148" customWidth="1"/>
    <col min="8" max="8" width="17.21875" style="148" customWidth="1"/>
    <col min="9" max="10" width="10.77734375" style="148" customWidth="1"/>
    <col min="11" max="12" width="15.21875" style="148" customWidth="1"/>
    <col min="13" max="13" width="12.77734375" style="148" customWidth="1"/>
    <col min="14" max="15" width="10.77734375" style="148" customWidth="1"/>
    <col min="16" max="16" width="14" style="148" customWidth="1"/>
    <col min="17" max="18" width="10.77734375" style="148" customWidth="1"/>
    <col min="19" max="19" width="14.77734375" style="148" customWidth="1"/>
    <col min="20" max="16384" width="9.21875" style="148"/>
  </cols>
  <sheetData>
    <row r="1" spans="1:20" s="416" customFormat="1" ht="17.399999999999999">
      <c r="A1" s="277" t="s">
        <v>1781</v>
      </c>
      <c r="B1" s="277"/>
      <c r="C1" s="415"/>
      <c r="D1" s="415"/>
      <c r="E1" s="415"/>
      <c r="F1" s="415"/>
      <c r="G1" s="415"/>
      <c r="H1" s="415"/>
      <c r="I1" s="415"/>
      <c r="J1" s="415"/>
      <c r="K1" s="415"/>
      <c r="L1" s="415"/>
      <c r="M1" s="415"/>
      <c r="N1" s="415"/>
      <c r="O1" s="415"/>
      <c r="P1" s="415"/>
      <c r="Q1" s="415"/>
      <c r="R1" s="415"/>
      <c r="S1" s="415"/>
    </row>
    <row r="2" spans="1:20" s="1954" customFormat="1" ht="21.75" customHeight="1">
      <c r="A2" s="1405" t="s">
        <v>17</v>
      </c>
      <c r="B2" s="1405"/>
      <c r="C2" s="1973"/>
      <c r="D2" s="1973"/>
      <c r="E2" s="1973"/>
      <c r="F2" s="1973"/>
      <c r="G2" s="1973"/>
      <c r="H2" s="1973"/>
      <c r="I2" s="1973"/>
      <c r="J2" s="1973"/>
      <c r="K2" s="1973"/>
      <c r="L2" s="1973"/>
      <c r="M2" s="1973"/>
      <c r="N2" s="1973"/>
      <c r="O2" s="1973"/>
      <c r="P2" s="1973"/>
      <c r="Q2" s="1973"/>
      <c r="R2" s="1973"/>
      <c r="S2" s="1973"/>
    </row>
    <row r="3" spans="1:20" s="416" customFormat="1" ht="17.399999999999999">
      <c r="A3" s="277" t="s">
        <v>551</v>
      </c>
      <c r="B3" s="277"/>
      <c r="C3" s="415"/>
      <c r="D3" s="415"/>
      <c r="E3" s="415"/>
      <c r="F3" s="415"/>
      <c r="G3" s="415"/>
      <c r="H3" s="415"/>
      <c r="I3" s="415"/>
      <c r="J3" s="415"/>
      <c r="K3" s="415"/>
      <c r="L3" s="415"/>
      <c r="M3" s="415"/>
      <c r="N3" s="415"/>
      <c r="O3" s="415"/>
      <c r="P3" s="415"/>
      <c r="Q3" s="415"/>
      <c r="R3" s="415"/>
      <c r="S3" s="415"/>
    </row>
    <row r="4" spans="1:20" s="416" customFormat="1" ht="17.399999999999999" hidden="1">
      <c r="A4" s="277"/>
      <c r="B4" s="277"/>
      <c r="C4" s="415"/>
      <c r="D4" s="415"/>
      <c r="E4" s="415"/>
      <c r="F4" s="415"/>
      <c r="G4" s="415"/>
      <c r="H4" s="415"/>
      <c r="I4" s="415"/>
      <c r="J4" s="415"/>
      <c r="K4" s="415"/>
      <c r="L4" s="415"/>
      <c r="M4" s="415"/>
      <c r="N4" s="415"/>
      <c r="O4" s="415"/>
      <c r="P4" s="415"/>
      <c r="Q4" s="415"/>
      <c r="R4" s="415"/>
      <c r="S4" s="415"/>
    </row>
    <row r="5" spans="1:20" s="416" customFormat="1" ht="17.399999999999999" hidden="1">
      <c r="A5" s="277"/>
      <c r="B5" s="277"/>
      <c r="C5" s="415"/>
      <c r="D5" s="415"/>
      <c r="E5" s="415"/>
      <c r="F5" s="415"/>
      <c r="G5" s="415"/>
      <c r="H5" s="415"/>
      <c r="I5" s="415"/>
      <c r="J5" s="415"/>
      <c r="K5" s="415"/>
      <c r="L5" s="415"/>
      <c r="M5" s="415"/>
      <c r="N5" s="415"/>
      <c r="O5" s="415"/>
      <c r="P5" s="415"/>
      <c r="Q5" s="415"/>
      <c r="R5" s="415"/>
      <c r="S5" s="415"/>
    </row>
    <row r="6" spans="1:20" s="416" customFormat="1" ht="17.399999999999999" hidden="1">
      <c r="A6" s="277"/>
      <c r="B6" s="277"/>
      <c r="C6" s="415"/>
      <c r="D6" s="415"/>
      <c r="E6" s="415"/>
      <c r="F6" s="415"/>
      <c r="G6" s="415"/>
      <c r="H6" s="415"/>
      <c r="I6" s="415"/>
      <c r="J6" s="415"/>
      <c r="K6" s="415"/>
      <c r="L6" s="415"/>
      <c r="M6" s="415"/>
      <c r="N6" s="415"/>
      <c r="O6" s="415"/>
      <c r="P6" s="415"/>
      <c r="Q6" s="415"/>
      <c r="R6" s="415"/>
      <c r="S6" s="415"/>
    </row>
    <row r="7" spans="1:20" s="416" customFormat="1" ht="17.399999999999999"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85" customHeight="1">
      <c r="A9" s="1234" t="s">
        <v>379</v>
      </c>
      <c r="B9" s="1235"/>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236"/>
      <c r="B10" s="1237"/>
      <c r="C10" s="427"/>
      <c r="D10" s="428" t="s">
        <v>559</v>
      </c>
      <c r="E10" s="1096"/>
      <c r="F10" s="424" t="s">
        <v>560</v>
      </c>
      <c r="G10" s="429"/>
      <c r="H10" s="430"/>
      <c r="I10" s="430"/>
      <c r="J10" s="430"/>
      <c r="K10" s="162" t="s">
        <v>382</v>
      </c>
      <c r="L10" s="162" t="s">
        <v>382</v>
      </c>
      <c r="M10" s="431" t="s">
        <v>561</v>
      </c>
      <c r="N10" s="181"/>
      <c r="P10" s="586" t="s">
        <v>562</v>
      </c>
      <c r="Q10" s="588"/>
      <c r="S10" s="432"/>
    </row>
    <row r="11" spans="1:20" s="404" customFormat="1" ht="31.2">
      <c r="A11" s="1236"/>
      <c r="B11" s="1237"/>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4">
      <c r="A12" s="179" t="s">
        <v>387</v>
      </c>
      <c r="B12" s="436"/>
      <c r="C12" s="437" t="s">
        <v>473</v>
      </c>
      <c r="D12" s="402" t="s">
        <v>577</v>
      </c>
      <c r="E12" s="402" t="s">
        <v>578</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85" customHeight="1">
      <c r="A13" s="439">
        <v>2016</v>
      </c>
      <c r="B13" s="440"/>
      <c r="C13" s="1155">
        <v>0.22493709824148378</v>
      </c>
      <c r="D13" s="1156">
        <v>0.75888842457303718</v>
      </c>
      <c r="E13" s="1155" t="s">
        <v>592</v>
      </c>
      <c r="F13" s="1155" t="s">
        <v>592</v>
      </c>
      <c r="G13" s="1157">
        <v>7.4930062599344227</v>
      </c>
      <c r="H13" s="1157">
        <v>5.7554158042046542</v>
      </c>
      <c r="I13" s="1156">
        <v>4.4790134614266952</v>
      </c>
      <c r="J13" s="1156">
        <v>6.8304533393048228</v>
      </c>
      <c r="K13" s="1155">
        <v>5.4035814410682956</v>
      </c>
      <c r="L13" s="1155">
        <v>4.9059789118415891</v>
      </c>
      <c r="M13" s="764">
        <v>5.4598388567564609</v>
      </c>
      <c r="N13" s="1156">
        <v>5.2990133996465385</v>
      </c>
      <c r="O13" s="1156">
        <v>3.0354955251205462</v>
      </c>
      <c r="P13" s="1155">
        <v>4.7965867487438487</v>
      </c>
      <c r="Q13" s="1156">
        <v>21.984905187229913</v>
      </c>
      <c r="R13" s="1156">
        <v>4.8280412688498071</v>
      </c>
      <c r="S13" s="764">
        <v>19.714060887612629</v>
      </c>
    </row>
    <row r="14" spans="1:20" ht="17.55" customHeight="1">
      <c r="A14" s="439">
        <v>2017</v>
      </c>
      <c r="B14" s="440"/>
      <c r="C14" s="1155">
        <v>0.20952586045057611</v>
      </c>
      <c r="D14" s="1156">
        <v>1.1205502745960598</v>
      </c>
      <c r="E14" s="1155" t="s">
        <v>592</v>
      </c>
      <c r="F14" s="1155" t="s">
        <v>592</v>
      </c>
      <c r="G14" s="1157">
        <v>6.2786941600733153</v>
      </c>
      <c r="H14" s="1157">
        <v>6.40973790292845</v>
      </c>
      <c r="I14" s="1156">
        <v>5.6402067461210628</v>
      </c>
      <c r="J14" s="1156">
        <v>5.9462259099067714</v>
      </c>
      <c r="K14" s="1155">
        <v>5.9878016894142547</v>
      </c>
      <c r="L14" s="1155">
        <v>5.3558650642239076</v>
      </c>
      <c r="M14" s="764">
        <v>5.2690967533673181</v>
      </c>
      <c r="N14" s="1156">
        <v>5.5537780645503103</v>
      </c>
      <c r="O14" s="1156">
        <v>3.515380444925301</v>
      </c>
      <c r="P14" s="1155">
        <v>4.9579448832672295</v>
      </c>
      <c r="Q14" s="1156">
        <v>21.784623070182271</v>
      </c>
      <c r="R14" s="1156">
        <v>5.0056111634683429</v>
      </c>
      <c r="S14" s="764">
        <v>19.619789732555223</v>
      </c>
    </row>
    <row r="15" spans="1:20" ht="17.25" customHeight="1">
      <c r="A15" s="439">
        <v>2018</v>
      </c>
      <c r="B15" s="440"/>
      <c r="C15" s="1155">
        <v>0.21263140882932008</v>
      </c>
      <c r="D15" s="1156">
        <v>1.8078571688335989</v>
      </c>
      <c r="E15" s="1155" t="s">
        <v>592</v>
      </c>
      <c r="F15" s="1155" t="s">
        <v>592</v>
      </c>
      <c r="G15" s="1157">
        <v>6.9596411312786444</v>
      </c>
      <c r="H15" s="1157">
        <v>4.9754568684801024</v>
      </c>
      <c r="I15" s="1156">
        <v>6.5468086395199174</v>
      </c>
      <c r="J15" s="1156">
        <v>6.9965321696692326</v>
      </c>
      <c r="K15" s="1155">
        <v>6.4968899622284697</v>
      </c>
      <c r="L15" s="1155">
        <v>6.3946661590933065</v>
      </c>
      <c r="M15" s="764">
        <v>5.9250114259217828</v>
      </c>
      <c r="N15" s="1155">
        <v>6.0819650943682504</v>
      </c>
      <c r="O15" s="1156">
        <v>4.6154847048785754</v>
      </c>
      <c r="P15" s="1155">
        <v>5.0999798172974664</v>
      </c>
      <c r="Q15" s="1155">
        <v>20.033874717128793</v>
      </c>
      <c r="R15" s="1155">
        <v>5.1859576032685846</v>
      </c>
      <c r="S15" s="764">
        <v>20.22315293106638</v>
      </c>
    </row>
    <row r="16" spans="1:20" ht="17.25" customHeight="1">
      <c r="A16" s="439">
        <v>2019</v>
      </c>
      <c r="B16" s="440"/>
      <c r="C16" s="1155">
        <v>0.22551722974474736</v>
      </c>
      <c r="D16" s="1156">
        <v>1.3119383468681682</v>
      </c>
      <c r="E16" s="1155" t="s">
        <v>592</v>
      </c>
      <c r="F16" s="1155" t="s">
        <v>592</v>
      </c>
      <c r="G16" s="1157">
        <v>6.1895688736941104</v>
      </c>
      <c r="H16" s="1157">
        <v>3.6679800804031331</v>
      </c>
      <c r="I16" s="1156">
        <v>5.7778695712208137</v>
      </c>
      <c r="J16" s="1156">
        <v>6.2397380535792539</v>
      </c>
      <c r="K16" s="1155">
        <v>4.870425881317975</v>
      </c>
      <c r="L16" s="1155">
        <v>4.9698827438585482</v>
      </c>
      <c r="M16" s="764">
        <v>5.3842467801922282</v>
      </c>
      <c r="N16" s="1155">
        <v>6.2745697610232476</v>
      </c>
      <c r="O16" s="1156">
        <v>4.4980024583921283</v>
      </c>
      <c r="P16" s="1155">
        <v>4.8273501981623212</v>
      </c>
      <c r="Q16" s="1155">
        <v>20.133247002488133</v>
      </c>
      <c r="R16" s="1155">
        <v>4.9118549442238875</v>
      </c>
      <c r="S16" s="764">
        <v>21.062937414893124</v>
      </c>
    </row>
    <row r="17" spans="1:19" ht="17.25" customHeight="1">
      <c r="A17" s="439">
        <v>2020</v>
      </c>
      <c r="B17" s="440"/>
      <c r="C17" s="1155">
        <v>0.18019969020984195</v>
      </c>
      <c r="D17" s="1156">
        <v>0.93531013054641798</v>
      </c>
      <c r="E17" s="1155" t="s">
        <v>592</v>
      </c>
      <c r="F17" s="1155" t="s">
        <v>592</v>
      </c>
      <c r="G17" s="1157">
        <v>6.5754592518688817</v>
      </c>
      <c r="H17" s="1157">
        <v>0.74412034783680259</v>
      </c>
      <c r="I17" s="1156">
        <v>5.8192371040683621</v>
      </c>
      <c r="J17" s="1156">
        <v>4.9640028437515582</v>
      </c>
      <c r="K17" s="1155">
        <v>2.3988355926907561</v>
      </c>
      <c r="L17" s="1155">
        <v>3.8942418326198913</v>
      </c>
      <c r="M17" s="764">
        <v>4.9982467318756152</v>
      </c>
      <c r="N17" s="1155">
        <v>6.4753715179338984</v>
      </c>
      <c r="O17" s="1156">
        <v>3.6696935670393129</v>
      </c>
      <c r="P17" s="1155">
        <v>4.6547683515984799</v>
      </c>
      <c r="Q17" s="1155">
        <v>21.022584277041904</v>
      </c>
      <c r="R17" s="1155">
        <v>4.7801557844697697</v>
      </c>
      <c r="S17" s="764">
        <v>21.033308422760467</v>
      </c>
    </row>
    <row r="18" spans="1:19" ht="17.25" customHeight="1">
      <c r="A18" s="439">
        <v>2021</v>
      </c>
      <c r="B18" s="440"/>
      <c r="C18" s="1155">
        <v>0.14601597319041784</v>
      </c>
      <c r="D18" s="1156">
        <v>0.47320712504210705</v>
      </c>
      <c r="E18" s="1155" t="s">
        <v>592</v>
      </c>
      <c r="F18" s="1155" t="s">
        <v>592</v>
      </c>
      <c r="G18" s="1157">
        <v>3.7109389432019912</v>
      </c>
      <c r="H18" s="1157">
        <v>3.1320797313445188</v>
      </c>
      <c r="I18" s="1156">
        <v>4.8371559913613309</v>
      </c>
      <c r="J18" s="1156">
        <v>4.8243739157597831</v>
      </c>
      <c r="K18" s="1155">
        <v>4.1402030355291455</v>
      </c>
      <c r="L18" s="1155">
        <v>4.3137011735169288</v>
      </c>
      <c r="M18" s="764">
        <v>4.7731469436641074</v>
      </c>
      <c r="N18" s="1155">
        <v>4.7148228526038487</v>
      </c>
      <c r="O18" s="1156">
        <v>2.8810690320245826</v>
      </c>
      <c r="P18" s="1155">
        <v>4.1158172896093097</v>
      </c>
      <c r="Q18" s="1155">
        <v>21.158823705109828</v>
      </c>
      <c r="R18" s="1155">
        <v>4.262952108560965</v>
      </c>
      <c r="S18" s="764">
        <v>20.994593522953313</v>
      </c>
    </row>
    <row r="19" spans="1:19" ht="17.25" customHeight="1">
      <c r="A19" s="439">
        <v>2022</v>
      </c>
      <c r="B19" s="440"/>
      <c r="C19" s="1155">
        <v>0.14448258427606056</v>
      </c>
      <c r="D19" s="1156">
        <v>2.0955679129739475</v>
      </c>
      <c r="E19" s="1155" t="s">
        <v>592</v>
      </c>
      <c r="F19" s="1155" t="s">
        <v>592</v>
      </c>
      <c r="G19" s="1157">
        <v>9.048055392943045</v>
      </c>
      <c r="H19" s="1157">
        <v>8.2188039058511144</v>
      </c>
      <c r="I19" s="1156">
        <v>8.6848932188877583</v>
      </c>
      <c r="J19" s="1156">
        <v>6.9395196986049834</v>
      </c>
      <c r="K19" s="1155">
        <v>7.2582717615251395</v>
      </c>
      <c r="L19" s="1155">
        <v>7.5916729764453832</v>
      </c>
      <c r="M19" s="764">
        <v>6.1785745281554254</v>
      </c>
      <c r="N19" s="1155">
        <v>4.9191491729460308</v>
      </c>
      <c r="O19" s="1156">
        <v>2.7874547353071488</v>
      </c>
      <c r="P19" s="1155">
        <v>7.1052952269034853</v>
      </c>
      <c r="Q19" s="1155">
        <v>0.5</v>
      </c>
      <c r="R19" s="1155">
        <v>6.4415867555868376</v>
      </c>
      <c r="S19" s="764">
        <v>21.226588610781018</v>
      </c>
    </row>
    <row r="20" spans="1:19" ht="17.25" customHeight="1">
      <c r="A20" s="439">
        <v>2023</v>
      </c>
      <c r="B20" s="440"/>
      <c r="C20" s="1155">
        <v>0.24150972969573109</v>
      </c>
      <c r="D20" s="1156">
        <v>2.822144124852632</v>
      </c>
      <c r="E20" s="1155">
        <v>2.7478403738126236</v>
      </c>
      <c r="F20" s="1155">
        <v>3.069885346490846</v>
      </c>
      <c r="G20" s="1157">
        <v>10.201455532143887</v>
      </c>
      <c r="H20" s="1157">
        <v>7.6522539119928146</v>
      </c>
      <c r="I20" s="1156">
        <v>9.3767733517956238</v>
      </c>
      <c r="J20" s="1156">
        <v>10.102131798065233</v>
      </c>
      <c r="K20" s="1155">
        <v>9.2667360163488048</v>
      </c>
      <c r="L20" s="1155">
        <v>9.0135974950987983</v>
      </c>
      <c r="M20" s="764">
        <v>5.4719484604558417</v>
      </c>
      <c r="N20" s="1155">
        <v>5.6946608734369999</v>
      </c>
      <c r="O20" s="1156">
        <v>8.6572655948258905</v>
      </c>
      <c r="P20" s="1155">
        <v>6.1046424271657989</v>
      </c>
      <c r="Q20" s="1155">
        <v>19.068049267132224</v>
      </c>
      <c r="R20" s="1155">
        <v>6.1430734291067672</v>
      </c>
      <c r="S20" s="764">
        <v>21.161971950465968</v>
      </c>
    </row>
    <row r="21" spans="1:19" ht="17.25" customHeight="1">
      <c r="A21" s="439">
        <v>2024</v>
      </c>
      <c r="B21" s="440"/>
      <c r="C21" s="1155">
        <v>0.22379568420667423</v>
      </c>
      <c r="D21" s="1156">
        <v>2.3512105064979805</v>
      </c>
      <c r="E21" s="1155">
        <v>2.2943258087953522</v>
      </c>
      <c r="F21" s="1155">
        <v>2.2005299387286597</v>
      </c>
      <c r="G21" s="1157">
        <v>6.6435635203605186</v>
      </c>
      <c r="H21" s="1157">
        <v>6.5910148567563365</v>
      </c>
      <c r="I21" s="1156">
        <v>6.4262486446658587</v>
      </c>
      <c r="J21" s="1156">
        <v>6.5593063436582542</v>
      </c>
      <c r="K21" s="1155">
        <v>6.5559913750279195</v>
      </c>
      <c r="L21" s="1155">
        <v>4.5227988397944827</v>
      </c>
      <c r="M21" s="764">
        <v>5.2792130444804348</v>
      </c>
      <c r="N21" s="1155">
        <v>4.8409618024466488</v>
      </c>
      <c r="O21" s="1156">
        <v>6.5</v>
      </c>
      <c r="P21" s="1155">
        <v>5.1498775423165402</v>
      </c>
      <c r="Q21" s="1155" t="s">
        <v>592</v>
      </c>
      <c r="R21" s="1155">
        <v>5.1575504663992779</v>
      </c>
      <c r="S21" s="764">
        <v>21.17844701143455</v>
      </c>
    </row>
    <row r="22" spans="1:19" ht="17.25" customHeight="1">
      <c r="A22" s="761">
        <v>2025</v>
      </c>
      <c r="B22" s="1073"/>
      <c r="C22" s="1077">
        <f t="shared" ref="C22:S22" si="0">C28</f>
        <v>0.20731435582787755</v>
      </c>
      <c r="D22" s="1078">
        <f t="shared" si="0"/>
        <v>1.9080781430480023</v>
      </c>
      <c r="E22" s="1077">
        <f t="shared" si="0"/>
        <v>1.7286255023026085</v>
      </c>
      <c r="F22" s="1077">
        <f t="shared" si="0"/>
        <v>1.9382274763750591</v>
      </c>
      <c r="G22" s="1079">
        <f t="shared" si="0"/>
        <v>7.5813132930714202</v>
      </c>
      <c r="H22" s="1079">
        <f t="shared" si="0"/>
        <v>5.5144296954051288</v>
      </c>
      <c r="I22" s="1078">
        <f t="shared" si="0"/>
        <v>6.4591939823169779</v>
      </c>
      <c r="J22" s="1078">
        <f t="shared" si="0"/>
        <v>5.5917462824835189</v>
      </c>
      <c r="K22" s="1077">
        <f t="shared" si="0"/>
        <v>5.6573786144805753</v>
      </c>
      <c r="L22" s="1077">
        <f t="shared" si="0"/>
        <v>6.2159971354246055</v>
      </c>
      <c r="M22" s="1080">
        <f t="shared" si="0"/>
        <v>4.5582581864423508</v>
      </c>
      <c r="N22" s="1077">
        <f t="shared" si="0"/>
        <v>5.2972754615444382</v>
      </c>
      <c r="O22" s="1078">
        <f t="shared" si="0"/>
        <v>5.5060844064622243</v>
      </c>
      <c r="P22" s="1077">
        <f t="shared" si="0"/>
        <v>5.3032770464507717</v>
      </c>
      <c r="Q22" s="1077" t="str">
        <f t="shared" si="0"/>
        <v>N/A</v>
      </c>
      <c r="R22" s="1077">
        <f t="shared" si="0"/>
        <v>5.1640006237482581</v>
      </c>
      <c r="S22" s="1080">
        <f t="shared" si="0"/>
        <v>20.887059623336487</v>
      </c>
    </row>
    <row r="23" spans="1:19" ht="21" customHeight="1">
      <c r="A23" s="439">
        <v>2024</v>
      </c>
      <c r="B23" s="440" t="s">
        <v>237</v>
      </c>
      <c r="C23" s="1155">
        <v>0.22754359346262354</v>
      </c>
      <c r="D23" s="1156">
        <v>2.7985131964226513</v>
      </c>
      <c r="E23" s="1155">
        <v>2.8211868189212712</v>
      </c>
      <c r="F23" s="1155">
        <v>2.4355558612611565</v>
      </c>
      <c r="G23" s="1157">
        <v>8.6133540346801531</v>
      </c>
      <c r="H23" s="1157">
        <v>6.4716952250856945</v>
      </c>
      <c r="I23" s="1156">
        <v>8.3852994991848124</v>
      </c>
      <c r="J23" s="1156">
        <v>6.2399867312672068</v>
      </c>
      <c r="K23" s="1155">
        <v>6.5410420754638405</v>
      </c>
      <c r="L23" s="1155">
        <v>6.9820383370264238</v>
      </c>
      <c r="M23" s="764">
        <v>5.1965257087413903</v>
      </c>
      <c r="N23" s="1155">
        <v>4.8353436209964924</v>
      </c>
      <c r="O23" s="1156">
        <v>6.5114877402564479</v>
      </c>
      <c r="P23" s="1155">
        <v>5.1856886684710002</v>
      </c>
      <c r="Q23" s="1155" t="s">
        <v>592</v>
      </c>
      <c r="R23" s="1155">
        <v>5.1826455096659263</v>
      </c>
      <c r="S23" s="764">
        <v>21.163679075078477</v>
      </c>
    </row>
    <row r="24" spans="1:19" ht="15" customHeight="1">
      <c r="A24" s="439"/>
      <c r="B24" s="440" t="s">
        <v>238</v>
      </c>
      <c r="C24" s="1155">
        <v>0.22379568420667423</v>
      </c>
      <c r="D24" s="1156">
        <v>2.3512105064979805</v>
      </c>
      <c r="E24" s="1155">
        <v>2.2943258087953522</v>
      </c>
      <c r="F24" s="1155">
        <v>2.2005299387286597</v>
      </c>
      <c r="G24" s="1157">
        <v>6.6435635203605186</v>
      </c>
      <c r="H24" s="1157">
        <v>6.5910148567563365</v>
      </c>
      <c r="I24" s="1156">
        <v>6.4262486446658587</v>
      </c>
      <c r="J24" s="1156">
        <v>6.5593063436582542</v>
      </c>
      <c r="K24" s="1155">
        <v>6.5559913750279195</v>
      </c>
      <c r="L24" s="1155">
        <v>4.5227988397944827</v>
      </c>
      <c r="M24" s="764">
        <v>5.2792130444804348</v>
      </c>
      <c r="N24" s="1155">
        <v>4.8409618024466488</v>
      </c>
      <c r="O24" s="1156">
        <v>6.5</v>
      </c>
      <c r="P24" s="1155">
        <v>5.1498775423165402</v>
      </c>
      <c r="Q24" s="1155" t="s">
        <v>592</v>
      </c>
      <c r="R24" s="1155">
        <v>5.1575504663992779</v>
      </c>
      <c r="S24" s="764">
        <v>21.17844701143455</v>
      </c>
    </row>
    <row r="25" spans="1:19" ht="21" customHeight="1">
      <c r="A25" s="439">
        <v>2025</v>
      </c>
      <c r="B25" s="440" t="s">
        <v>239</v>
      </c>
      <c r="C25" s="1155">
        <v>0.20424780372844314</v>
      </c>
      <c r="D25" s="1156">
        <v>2.1569568665469685</v>
      </c>
      <c r="E25" s="1155">
        <v>2.2084042065940541</v>
      </c>
      <c r="F25" s="1155">
        <v>2.0886229140775878</v>
      </c>
      <c r="G25" s="1157">
        <v>7.6077899926615205</v>
      </c>
      <c r="H25" s="1157">
        <v>4.8108468594943732</v>
      </c>
      <c r="I25" s="1156">
        <v>6.5607997322788085</v>
      </c>
      <c r="J25" s="1156">
        <v>7.995673228089287</v>
      </c>
      <c r="K25" s="1155">
        <v>7.8072850788277925</v>
      </c>
      <c r="L25" s="1155">
        <v>4.8177986744771282</v>
      </c>
      <c r="M25" s="764">
        <v>5.1761992472998255</v>
      </c>
      <c r="N25" s="1155">
        <v>4.3846474627037129</v>
      </c>
      <c r="O25" s="1156">
        <v>6.0848731513930749</v>
      </c>
      <c r="P25" s="1155">
        <v>4.8461693532660854</v>
      </c>
      <c r="Q25" s="1155" t="s">
        <v>592</v>
      </c>
      <c r="R25" s="1155">
        <v>4.8894369612421249</v>
      </c>
      <c r="S25" s="764">
        <v>21.052469517291591</v>
      </c>
    </row>
    <row r="26" spans="1:19" ht="15" customHeight="1">
      <c r="A26" s="439"/>
      <c r="B26" s="440" t="s">
        <v>240</v>
      </c>
      <c r="C26" s="1155">
        <v>0.19870341726279336</v>
      </c>
      <c r="D26" s="1156">
        <v>2.1476951446100152</v>
      </c>
      <c r="E26" s="1155">
        <v>1.9511669101766729</v>
      </c>
      <c r="F26" s="1155">
        <v>2.1509768907584985</v>
      </c>
      <c r="G26" s="1157">
        <v>8.039291938088903</v>
      </c>
      <c r="H26" s="1157">
        <v>6.4424597582757546</v>
      </c>
      <c r="I26" s="1156">
        <v>6.8865673871224091</v>
      </c>
      <c r="J26" s="1156">
        <v>6.9175915551320282</v>
      </c>
      <c r="K26" s="1155">
        <v>6.597520196513238</v>
      </c>
      <c r="L26" s="1155">
        <v>6.991144564038632</v>
      </c>
      <c r="M26" s="764">
        <v>5.1909032311184031</v>
      </c>
      <c r="N26" s="1155">
        <v>5.3573639225390997</v>
      </c>
      <c r="O26" s="1156">
        <v>5.5172887318765786</v>
      </c>
      <c r="P26" s="1155">
        <v>4.907995819298006</v>
      </c>
      <c r="Q26" s="1155" t="s">
        <v>592</v>
      </c>
      <c r="R26" s="1155">
        <v>4.938767689781181</v>
      </c>
      <c r="S26" s="764">
        <v>21.063376540277918</v>
      </c>
    </row>
    <row r="27" spans="1:19" ht="15" customHeight="1">
      <c r="A27" s="439"/>
      <c r="B27" s="440" t="s">
        <v>237</v>
      </c>
      <c r="C27" s="1155">
        <v>0.19844027570018405</v>
      </c>
      <c r="D27" s="1156">
        <v>2.0907100697198406</v>
      </c>
      <c r="E27" s="1155">
        <v>1.8632965112164808</v>
      </c>
      <c r="F27" s="1155">
        <v>2.0101091771880517</v>
      </c>
      <c r="G27" s="1157">
        <v>8.5</v>
      </c>
      <c r="H27" s="1157">
        <v>5.5390605839633489</v>
      </c>
      <c r="I27" s="1156">
        <v>7.4476440350095876</v>
      </c>
      <c r="J27" s="1156">
        <v>6.9247683731168372</v>
      </c>
      <c r="K27" s="1155">
        <v>6.0520034513959535</v>
      </c>
      <c r="L27" s="1155">
        <v>6.3158040666138184</v>
      </c>
      <c r="M27" s="764">
        <v>5.2570056359857036</v>
      </c>
      <c r="N27" s="1155">
        <v>5.0250618019302911</v>
      </c>
      <c r="O27" s="1156">
        <v>5.6093601686098369</v>
      </c>
      <c r="P27" s="1155">
        <v>4.8047669723258366</v>
      </c>
      <c r="Q27" s="1155" t="s">
        <v>592</v>
      </c>
      <c r="R27" s="1155">
        <v>4.8709867170648486</v>
      </c>
      <c r="S27" s="764">
        <v>20.855640165296695</v>
      </c>
    </row>
    <row r="28" spans="1:19" ht="15" customHeight="1">
      <c r="A28" s="439"/>
      <c r="B28" s="440" t="s">
        <v>238</v>
      </c>
      <c r="C28" s="1155">
        <f t="shared" ref="C28:S28" si="1">C36</f>
        <v>0.20731435582787755</v>
      </c>
      <c r="D28" s="1156">
        <f t="shared" si="1"/>
        <v>1.9080781430480023</v>
      </c>
      <c r="E28" s="1155">
        <f t="shared" si="1"/>
        <v>1.7286255023026085</v>
      </c>
      <c r="F28" s="1155">
        <f t="shared" si="1"/>
        <v>1.9382274763750591</v>
      </c>
      <c r="G28" s="1157">
        <f t="shared" si="1"/>
        <v>7.5813132930714202</v>
      </c>
      <c r="H28" s="1157">
        <f t="shared" si="1"/>
        <v>5.5144296954051288</v>
      </c>
      <c r="I28" s="1156">
        <f t="shared" si="1"/>
        <v>6.4591939823169779</v>
      </c>
      <c r="J28" s="1156">
        <f t="shared" si="1"/>
        <v>5.5917462824835189</v>
      </c>
      <c r="K28" s="1155">
        <f t="shared" si="1"/>
        <v>5.6573786144805753</v>
      </c>
      <c r="L28" s="1155">
        <f t="shared" si="1"/>
        <v>6.2159971354246055</v>
      </c>
      <c r="M28" s="764">
        <f t="shared" si="1"/>
        <v>4.5582581864423508</v>
      </c>
      <c r="N28" s="1155">
        <f t="shared" si="1"/>
        <v>5.2972754615444382</v>
      </c>
      <c r="O28" s="1156">
        <f t="shared" si="1"/>
        <v>5.5060844064622243</v>
      </c>
      <c r="P28" s="1155">
        <f t="shared" si="1"/>
        <v>5.3032770464507717</v>
      </c>
      <c r="Q28" s="1155" t="str">
        <f t="shared" si="1"/>
        <v>N/A</v>
      </c>
      <c r="R28" s="1155">
        <f t="shared" si="1"/>
        <v>5.1640006237482581</v>
      </c>
      <c r="S28" s="764">
        <f t="shared" si="1"/>
        <v>20.887059623336487</v>
      </c>
    </row>
    <row r="29" spans="1:19" ht="21" customHeight="1">
      <c r="A29" s="439">
        <v>2026</v>
      </c>
      <c r="B29" s="440" t="s">
        <v>239</v>
      </c>
      <c r="C29" s="1155">
        <f t="shared" ref="C29:S29" si="2">C39</f>
        <v>0.18450203205720334</v>
      </c>
      <c r="D29" s="1156">
        <f t="shared" si="2"/>
        <v>1.8524084688996421</v>
      </c>
      <c r="E29" s="1155">
        <f t="shared" si="2"/>
        <v>2.0115785216296636</v>
      </c>
      <c r="F29" s="1155">
        <f t="shared" si="2"/>
        <v>2.0011417253796924</v>
      </c>
      <c r="G29" s="1157">
        <f t="shared" si="2"/>
        <v>8.2348896103371647</v>
      </c>
      <c r="H29" s="1157">
        <f t="shared" si="2"/>
        <v>5.4829130039390144</v>
      </c>
      <c r="I29" s="1156">
        <f t="shared" si="2"/>
        <v>6.8928395175370438</v>
      </c>
      <c r="J29" s="1156">
        <f t="shared" si="2"/>
        <v>6.4347538558717634</v>
      </c>
      <c r="K29" s="1155">
        <f t="shared" si="2"/>
        <v>5.7441138146038107</v>
      </c>
      <c r="L29" s="1155">
        <f t="shared" si="2"/>
        <v>6.281938040703233</v>
      </c>
      <c r="M29" s="764">
        <f t="shared" si="2"/>
        <v>5.0147060343395857</v>
      </c>
      <c r="N29" s="1155">
        <f t="shared" si="2"/>
        <v>4.7020697591065037</v>
      </c>
      <c r="O29" s="1156">
        <f t="shared" si="2"/>
        <v>5.5</v>
      </c>
      <c r="P29" s="1155">
        <f t="shared" si="2"/>
        <v>4.776535183122145</v>
      </c>
      <c r="Q29" s="1155" t="str">
        <f t="shared" si="2"/>
        <v>N/A</v>
      </c>
      <c r="R29" s="1155">
        <f t="shared" si="2"/>
        <v>4.8236317035349936</v>
      </c>
      <c r="S29" s="764">
        <f t="shared" si="2"/>
        <v>20.790520853765006</v>
      </c>
    </row>
    <row r="30" spans="1:19" ht="15" customHeight="1">
      <c r="A30" s="761"/>
      <c r="B30" s="1073" t="s">
        <v>240</v>
      </c>
      <c r="C30" s="1077">
        <f t="shared" ref="C30:S30" si="3">C42</f>
        <v>0.18401468903845891</v>
      </c>
      <c r="D30" s="1078">
        <f t="shared" si="3"/>
        <v>2.6667836871900734</v>
      </c>
      <c r="E30" s="1077">
        <f t="shared" si="3"/>
        <v>2.6824340260472264</v>
      </c>
      <c r="F30" s="1077">
        <f t="shared" si="3"/>
        <v>2.6320430886234867</v>
      </c>
      <c r="G30" s="1079">
        <f t="shared" si="3"/>
        <v>7.2581569844090623</v>
      </c>
      <c r="H30" s="1079">
        <f t="shared" si="3"/>
        <v>5.0541185079538531</v>
      </c>
      <c r="I30" s="1078">
        <f t="shared" si="3"/>
        <v>7.5676731959553747</v>
      </c>
      <c r="J30" s="1078">
        <f t="shared" si="3"/>
        <v>3.3074225627033993</v>
      </c>
      <c r="K30" s="1077">
        <f t="shared" si="3"/>
        <v>4.5667273713575183</v>
      </c>
      <c r="L30" s="1077">
        <f t="shared" si="3"/>
        <v>6.1552849095282687</v>
      </c>
      <c r="M30" s="1080">
        <f t="shared" si="3"/>
        <v>4.9058490366956846</v>
      </c>
      <c r="N30" s="1077">
        <f t="shared" si="3"/>
        <v>5.1331061584498405</v>
      </c>
      <c r="O30" s="1078">
        <f t="shared" si="3"/>
        <v>6.1161799220855544</v>
      </c>
      <c r="P30" s="1077">
        <f t="shared" si="3"/>
        <v>5.0120239325159961</v>
      </c>
      <c r="Q30" s="1077" t="str">
        <f t="shared" si="3"/>
        <v>N/A</v>
      </c>
      <c r="R30" s="1077">
        <f t="shared" si="3"/>
        <v>5.0009842354319529</v>
      </c>
      <c r="S30" s="1080">
        <f t="shared" si="3"/>
        <v>20.807838578904487</v>
      </c>
    </row>
    <row r="31" spans="1:19" ht="21" customHeight="1">
      <c r="A31" s="439">
        <v>2025</v>
      </c>
      <c r="B31" s="440" t="s">
        <v>420</v>
      </c>
      <c r="C31" s="1155">
        <v>0.19534462820873605</v>
      </c>
      <c r="D31" s="1156">
        <v>2.1204023636845637</v>
      </c>
      <c r="E31" s="1156">
        <v>2.2109575896194391</v>
      </c>
      <c r="F31" s="1156">
        <v>2.0971800529924325</v>
      </c>
      <c r="G31" s="1157">
        <v>8.4082392457902984</v>
      </c>
      <c r="H31" s="1157">
        <v>6.4960039337307318</v>
      </c>
      <c r="I31" s="1156">
        <v>6.0496608584432909</v>
      </c>
      <c r="J31" s="1156">
        <v>7.1818185784837762</v>
      </c>
      <c r="K31" s="1155">
        <v>7.1813520101087711</v>
      </c>
      <c r="L31" s="1155">
        <v>3.8602723930162339</v>
      </c>
      <c r="M31" s="764">
        <v>5.1194393961276896</v>
      </c>
      <c r="N31" s="1156">
        <v>5.2687022887725155</v>
      </c>
      <c r="O31" s="1156">
        <v>5.5034785944535116</v>
      </c>
      <c r="P31" s="764">
        <v>5.0159889116568941</v>
      </c>
      <c r="Q31" s="1156" t="s">
        <v>592</v>
      </c>
      <c r="R31" s="1156">
        <v>5.0383692400273041</v>
      </c>
      <c r="S31" s="764">
        <v>20.971282832512873</v>
      </c>
    </row>
    <row r="32" spans="1:19" ht="16.5" customHeight="1">
      <c r="A32" s="439"/>
      <c r="B32" s="440" t="s">
        <v>421</v>
      </c>
      <c r="C32" s="1155">
        <v>0.18964901574957505</v>
      </c>
      <c r="D32" s="1156">
        <v>2.1239469013761241</v>
      </c>
      <c r="E32" s="1156">
        <v>1.9559707844783119</v>
      </c>
      <c r="F32" s="1156">
        <v>1.8498043556026853</v>
      </c>
      <c r="G32" s="1157">
        <v>7.6748186050173421</v>
      </c>
      <c r="H32" s="1157">
        <v>5.5504520914067275</v>
      </c>
      <c r="I32" s="1156">
        <v>6.2772730129242129</v>
      </c>
      <c r="J32" s="1156">
        <v>7.693876363725269</v>
      </c>
      <c r="K32" s="1155">
        <v>6.1039724355591334</v>
      </c>
      <c r="L32" s="1155">
        <v>7.4319283289444078</v>
      </c>
      <c r="M32" s="764">
        <v>5.2003380320048933</v>
      </c>
      <c r="N32" s="1156">
        <v>4.7862516405316748</v>
      </c>
      <c r="O32" s="1156">
        <v>5.5</v>
      </c>
      <c r="P32" s="764">
        <v>4.8788703019663284</v>
      </c>
      <c r="Q32" s="1156" t="s">
        <v>592</v>
      </c>
      <c r="R32" s="1156">
        <v>4.9335346291373243</v>
      </c>
      <c r="S32" s="764">
        <v>20.858804255031423</v>
      </c>
    </row>
    <row r="33" spans="1:19" ht="16.5" customHeight="1">
      <c r="A33" s="439"/>
      <c r="B33" s="440" t="s">
        <v>422</v>
      </c>
      <c r="C33" s="1155">
        <v>0.19844027570018405</v>
      </c>
      <c r="D33" s="1156">
        <v>2.0907100697198406</v>
      </c>
      <c r="E33" s="1156">
        <v>1.8632965112164808</v>
      </c>
      <c r="F33" s="1156">
        <v>2.0101091771880517</v>
      </c>
      <c r="G33" s="1157">
        <v>8.5</v>
      </c>
      <c r="H33" s="1157">
        <v>5.5390605839633489</v>
      </c>
      <c r="I33" s="1156">
        <v>7.4476440350095876</v>
      </c>
      <c r="J33" s="1156">
        <v>6.9247683731168372</v>
      </c>
      <c r="K33" s="1155">
        <v>6.0520034513959535</v>
      </c>
      <c r="L33" s="1155">
        <v>6.3158040666138184</v>
      </c>
      <c r="M33" s="764">
        <v>5.2570056359857036</v>
      </c>
      <c r="N33" s="1156">
        <v>5.0250618019302911</v>
      </c>
      <c r="O33" s="1156">
        <v>5.6093601686098369</v>
      </c>
      <c r="P33" s="764">
        <v>4.8047669723258366</v>
      </c>
      <c r="Q33" s="1156" t="s">
        <v>592</v>
      </c>
      <c r="R33" s="1156">
        <v>4.8709867170648486</v>
      </c>
      <c r="S33" s="764">
        <v>20.855640165296695</v>
      </c>
    </row>
    <row r="34" spans="1:19" ht="16.5" customHeight="1">
      <c r="A34" s="439"/>
      <c r="B34" s="440" t="s">
        <v>411</v>
      </c>
      <c r="C34" s="1155">
        <v>0.19975959201642851</v>
      </c>
      <c r="D34" s="1156">
        <v>1.6586414323645056</v>
      </c>
      <c r="E34" s="1156">
        <v>1.8313123866212344</v>
      </c>
      <c r="F34" s="1156">
        <v>1.9881735830544431</v>
      </c>
      <c r="G34" s="1157">
        <v>7.9322285895952938</v>
      </c>
      <c r="H34" s="1157">
        <v>5.4012901560900639</v>
      </c>
      <c r="I34" s="1156">
        <v>6.3173697378416334</v>
      </c>
      <c r="J34" s="1156">
        <v>5.6018329101056326</v>
      </c>
      <c r="K34" s="1155">
        <v>5.7550374578125831</v>
      </c>
      <c r="L34" s="1155">
        <v>6.3496198129993875</v>
      </c>
      <c r="M34" s="764">
        <v>5.174744460299614</v>
      </c>
      <c r="N34" s="1156">
        <v>4.9948774212943929</v>
      </c>
      <c r="O34" s="1156">
        <v>5.9866190849947101</v>
      </c>
      <c r="P34" s="764">
        <v>4.775960779523075</v>
      </c>
      <c r="Q34" s="1156" t="s">
        <v>592</v>
      </c>
      <c r="R34" s="1156">
        <v>4.8469145996336085</v>
      </c>
      <c r="S34" s="764">
        <v>20.917505618250949</v>
      </c>
    </row>
    <row r="35" spans="1:19" ht="16.5" customHeight="1">
      <c r="A35" s="439"/>
      <c r="B35" s="440" t="s">
        <v>412</v>
      </c>
      <c r="C35" s="1155">
        <v>0.20380561803101349</v>
      </c>
      <c r="D35" s="1156">
        <v>2.0248730675777655</v>
      </c>
      <c r="E35" s="1156">
        <v>2.0546627578564394</v>
      </c>
      <c r="F35" s="1156">
        <v>1.9919827046080072</v>
      </c>
      <c r="G35" s="1157">
        <v>7.8512752185682224</v>
      </c>
      <c r="H35" s="1157">
        <v>6.4124961587347826</v>
      </c>
      <c r="I35" s="1156">
        <v>6.5953596298885424</v>
      </c>
      <c r="J35" s="1156">
        <v>5.7543394266461796</v>
      </c>
      <c r="K35" s="1155">
        <v>6.1509866635727368</v>
      </c>
      <c r="L35" s="1155">
        <v>6.5826779507096997</v>
      </c>
      <c r="M35" s="764">
        <v>5.1593985448716282</v>
      </c>
      <c r="N35" s="1156">
        <v>4.9228146675733475</v>
      </c>
      <c r="O35" s="1156">
        <v>6.2338706455757773</v>
      </c>
      <c r="P35" s="764">
        <v>4.8810185433849131</v>
      </c>
      <c r="Q35" s="1156" t="s">
        <v>592</v>
      </c>
      <c r="R35" s="1156">
        <v>4.9235713749866576</v>
      </c>
      <c r="S35" s="764">
        <v>20.903482203044149</v>
      </c>
    </row>
    <row r="36" spans="1:19" ht="16.5" customHeight="1">
      <c r="A36" s="439"/>
      <c r="B36" s="440" t="s">
        <v>413</v>
      </c>
      <c r="C36" s="1155">
        <v>0.20731435582787755</v>
      </c>
      <c r="D36" s="1156">
        <v>1.9080781430480023</v>
      </c>
      <c r="E36" s="1156">
        <v>1.7286255023026085</v>
      </c>
      <c r="F36" s="1156">
        <v>1.9382274763750591</v>
      </c>
      <c r="G36" s="1157">
        <v>7.5813132930714202</v>
      </c>
      <c r="H36" s="1157">
        <v>5.5144296954051288</v>
      </c>
      <c r="I36" s="1156">
        <v>6.4591939823169779</v>
      </c>
      <c r="J36" s="1156">
        <v>5.5917462824835189</v>
      </c>
      <c r="K36" s="1155">
        <v>5.6573786144805753</v>
      </c>
      <c r="L36" s="1155">
        <v>6.2159971354246055</v>
      </c>
      <c r="M36" s="764">
        <v>4.5582581864423508</v>
      </c>
      <c r="N36" s="1156">
        <v>5.2972754615444382</v>
      </c>
      <c r="O36" s="1156">
        <v>5.5060844064622243</v>
      </c>
      <c r="P36" s="764">
        <v>5.3032770464507717</v>
      </c>
      <c r="Q36" s="1156" t="s">
        <v>592</v>
      </c>
      <c r="R36" s="1156">
        <v>5.1640006237482581</v>
      </c>
      <c r="S36" s="764">
        <v>20.887059623336487</v>
      </c>
    </row>
    <row r="37" spans="1:19" ht="21" customHeight="1">
      <c r="A37" s="439">
        <v>2026</v>
      </c>
      <c r="B37" s="440" t="s">
        <v>414</v>
      </c>
      <c r="C37" s="1155">
        <v>0.1978784696426204</v>
      </c>
      <c r="D37" s="1156">
        <v>1.8958201662768852</v>
      </c>
      <c r="E37" s="1156">
        <v>1.940791141378337</v>
      </c>
      <c r="F37" s="1156">
        <v>1.9839080343970741</v>
      </c>
      <c r="G37" s="1157">
        <v>8.1806116742967916</v>
      </c>
      <c r="H37" s="1157">
        <v>5.6209777182471612</v>
      </c>
      <c r="I37" s="1156">
        <v>6.7488634917529025</v>
      </c>
      <c r="J37" s="1156">
        <v>5.7713784911499175</v>
      </c>
      <c r="K37" s="1155">
        <v>6.1264548030801187</v>
      </c>
      <c r="L37" s="1155">
        <v>6.4857481222257078</v>
      </c>
      <c r="M37" s="764">
        <v>4.7619905108632157</v>
      </c>
      <c r="N37" s="1156">
        <v>4.8643365974260471</v>
      </c>
      <c r="O37" s="1156">
        <v>5.6140127989329871</v>
      </c>
      <c r="P37" s="764">
        <v>4.8515772341593433</v>
      </c>
      <c r="Q37" s="1156" t="s">
        <v>592</v>
      </c>
      <c r="R37" s="1156">
        <v>4.8333793244804202</v>
      </c>
      <c r="S37" s="764">
        <v>20.998037009495828</v>
      </c>
    </row>
    <row r="38" spans="1:19" ht="16.5" customHeight="1">
      <c r="A38" s="439"/>
      <c r="B38" s="440" t="s">
        <v>415</v>
      </c>
      <c r="C38" s="1155">
        <v>0.19797218175253914</v>
      </c>
      <c r="D38" s="1156">
        <v>1.890034363373855</v>
      </c>
      <c r="E38" s="1156">
        <v>1.9892154190325035</v>
      </c>
      <c r="F38" s="1156">
        <v>1.9871718086741645</v>
      </c>
      <c r="G38" s="1157">
        <v>8.4622246648080583</v>
      </c>
      <c r="H38" s="1157">
        <v>5.8529928443025723</v>
      </c>
      <c r="I38" s="1156">
        <v>6.938479822117098</v>
      </c>
      <c r="J38" s="1156">
        <v>6.7971193098656393</v>
      </c>
      <c r="K38" s="1155">
        <v>7.0893378779158436</v>
      </c>
      <c r="L38" s="1155">
        <v>7.0636016106345965</v>
      </c>
      <c r="M38" s="764">
        <v>4.848993205008056</v>
      </c>
      <c r="N38" s="1156">
        <v>5.1132219083482022</v>
      </c>
      <c r="O38" s="1156">
        <v>6.4007550511984137</v>
      </c>
      <c r="P38" s="764">
        <v>4.8523889119240513</v>
      </c>
      <c r="Q38" s="1156" t="s">
        <v>592</v>
      </c>
      <c r="R38" s="1156">
        <v>4.8561851321661331</v>
      </c>
      <c r="S38" s="764">
        <v>20.839409664529018</v>
      </c>
    </row>
    <row r="39" spans="1:19" ht="16.5" customHeight="1">
      <c r="A39" s="439"/>
      <c r="B39" s="440" t="s">
        <v>416</v>
      </c>
      <c r="C39" s="1155">
        <v>0.18450203205720334</v>
      </c>
      <c r="D39" s="1156">
        <v>1.8524084688996421</v>
      </c>
      <c r="E39" s="1156">
        <v>2.0115785216296636</v>
      </c>
      <c r="F39" s="1156">
        <v>2.0011417253796924</v>
      </c>
      <c r="G39" s="1157">
        <v>8.2348896103371647</v>
      </c>
      <c r="H39" s="1157">
        <v>5.4829130039390144</v>
      </c>
      <c r="I39" s="1156">
        <v>6.8928395175370438</v>
      </c>
      <c r="J39" s="1156">
        <v>6.4347538558717634</v>
      </c>
      <c r="K39" s="1155">
        <v>5.7441138146038107</v>
      </c>
      <c r="L39" s="1155">
        <v>6.281938040703233</v>
      </c>
      <c r="M39" s="764">
        <v>5.0147060343395857</v>
      </c>
      <c r="N39" s="1156">
        <v>4.7020697591065037</v>
      </c>
      <c r="O39" s="1156">
        <v>5.5</v>
      </c>
      <c r="P39" s="764">
        <v>4.776535183122145</v>
      </c>
      <c r="Q39" s="1156" t="s">
        <v>592</v>
      </c>
      <c r="R39" s="1156">
        <v>4.8236317035349936</v>
      </c>
      <c r="S39" s="764">
        <v>20.790520853765006</v>
      </c>
    </row>
    <row r="40" spans="1:19" ht="16.5" customHeight="1">
      <c r="A40" s="439"/>
      <c r="B40" s="440" t="s">
        <v>417</v>
      </c>
      <c r="C40" s="1155">
        <v>0.1756617035188916</v>
      </c>
      <c r="D40" s="1156">
        <v>1.8677881183153926</v>
      </c>
      <c r="E40" s="1156">
        <v>2.0316798019689655</v>
      </c>
      <c r="F40" s="1156">
        <v>1.9671156764576194</v>
      </c>
      <c r="G40" s="1157">
        <v>7.5710530511741156</v>
      </c>
      <c r="H40" s="1157">
        <v>4.8466186297786109</v>
      </c>
      <c r="I40" s="1156">
        <v>7.1332020341071267</v>
      </c>
      <c r="J40" s="1156">
        <v>5.3559758815597736</v>
      </c>
      <c r="K40" s="1155">
        <v>5.8336813577509048</v>
      </c>
      <c r="L40" s="1155">
        <v>6.4620042673744731</v>
      </c>
      <c r="M40" s="764">
        <v>5.121638398425219</v>
      </c>
      <c r="N40" s="1156">
        <v>4.950126980029693</v>
      </c>
      <c r="O40" s="1156">
        <v>7.2291364832829643</v>
      </c>
      <c r="P40" s="764">
        <v>4.7637281705870089</v>
      </c>
      <c r="Q40" s="1156" t="s">
        <v>592</v>
      </c>
      <c r="R40" s="1156">
        <v>4.855554708843238</v>
      </c>
      <c r="S40" s="764">
        <v>20.750639655198317</v>
      </c>
    </row>
    <row r="41" spans="1:19" ht="16.5" customHeight="1">
      <c r="A41" s="439"/>
      <c r="B41" s="440" t="s">
        <v>418</v>
      </c>
      <c r="C41" s="1155">
        <v>0.18229690835013998</v>
      </c>
      <c r="D41" s="1156">
        <v>2.5586223991848716</v>
      </c>
      <c r="E41" s="1156">
        <v>2.5136779831419522</v>
      </c>
      <c r="F41" s="1156">
        <v>2.5488685496009964</v>
      </c>
      <c r="G41" s="1157">
        <v>8.025516692669461</v>
      </c>
      <c r="H41" s="1157">
        <v>5.8298422533336609</v>
      </c>
      <c r="I41" s="1156">
        <v>7.3345152861057468</v>
      </c>
      <c r="J41" s="1156">
        <v>7.5518920058110073</v>
      </c>
      <c r="K41" s="1155">
        <v>7.1293233378434744</v>
      </c>
      <c r="L41" s="1155">
        <v>6.7276302097273906</v>
      </c>
      <c r="M41" s="764">
        <v>4.9959555140167495</v>
      </c>
      <c r="N41" s="1156">
        <v>4.9960415378199414</v>
      </c>
      <c r="O41" s="1156">
        <v>6.5075741743873428</v>
      </c>
      <c r="P41" s="764">
        <v>4.8232484929206434</v>
      </c>
      <c r="Q41" s="1156" t="s">
        <v>592</v>
      </c>
      <c r="R41" s="1156">
        <v>4.8657495606941623</v>
      </c>
      <c r="S41" s="764">
        <v>20.802076735716437</v>
      </c>
    </row>
    <row r="42" spans="1:19" ht="16.5" customHeight="1">
      <c r="A42" s="439"/>
      <c r="B42" s="440" t="s">
        <v>419</v>
      </c>
      <c r="C42" s="1155">
        <v>0.18401468903845891</v>
      </c>
      <c r="D42" s="1156">
        <v>2.6667836871900734</v>
      </c>
      <c r="E42" s="1156">
        <v>2.6824340260472264</v>
      </c>
      <c r="F42" s="1156">
        <v>2.6320430886234867</v>
      </c>
      <c r="G42" s="1157">
        <v>7.2581569844090623</v>
      </c>
      <c r="H42" s="1157">
        <v>5.0541185079538531</v>
      </c>
      <c r="I42" s="1156">
        <v>7.5676731959553747</v>
      </c>
      <c r="J42" s="1156">
        <v>3.3074225627033993</v>
      </c>
      <c r="K42" s="1155">
        <v>4.5667273713575183</v>
      </c>
      <c r="L42" s="1155">
        <v>6.1552849095282687</v>
      </c>
      <c r="M42" s="764">
        <v>4.9058490366956846</v>
      </c>
      <c r="N42" s="1156">
        <v>5.1331061584498405</v>
      </c>
      <c r="O42" s="1156">
        <v>6.1161799220855544</v>
      </c>
      <c r="P42" s="764">
        <v>5.0120239325159961</v>
      </c>
      <c r="Q42" s="1156" t="s">
        <v>592</v>
      </c>
      <c r="R42" s="1156">
        <v>5.0009842354319529</v>
      </c>
      <c r="S42" s="764">
        <v>20.807838578904487</v>
      </c>
    </row>
    <row r="43" spans="1:19" ht="16.5" customHeight="1">
      <c r="A43" s="439"/>
      <c r="B43" s="440" t="s">
        <v>420</v>
      </c>
      <c r="C43" s="1155">
        <v>0.18567532210256041</v>
      </c>
      <c r="D43" s="1156">
        <v>2.6787050657965161</v>
      </c>
      <c r="E43" s="1156">
        <v>2.6606399012100468</v>
      </c>
      <c r="F43" s="1156">
        <v>2.5934257181473352</v>
      </c>
      <c r="G43" s="1157">
        <v>7.6294901791517464</v>
      </c>
      <c r="H43" s="1157">
        <v>5.53493882712936</v>
      </c>
      <c r="I43" s="1156">
        <v>7.8847273605178705</v>
      </c>
      <c r="J43" s="1156">
        <v>6.1589548844100106</v>
      </c>
      <c r="K43" s="1155">
        <v>6.606550778939682</v>
      </c>
      <c r="L43" s="1155">
        <v>6.4332539351678877</v>
      </c>
      <c r="M43" s="764">
        <v>4.9686170627735509</v>
      </c>
      <c r="N43" s="1156">
        <v>4.9909563272258559</v>
      </c>
      <c r="O43" s="1156">
        <v>6.2334644679308244</v>
      </c>
      <c r="P43" s="764">
        <v>5.1818556581506581</v>
      </c>
      <c r="Q43" s="1156" t="s">
        <v>592</v>
      </c>
      <c r="R43" s="1156">
        <v>5.1606834857826911</v>
      </c>
      <c r="S43" s="764">
        <v>20.765349198055464</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863"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t="s">
        <v>599</v>
      </c>
      <c r="H47" s="413"/>
      <c r="I47" s="413"/>
      <c r="J47" s="413"/>
      <c r="K47" s="413"/>
      <c r="L47" s="414"/>
      <c r="M47" s="413"/>
      <c r="N47" s="413"/>
      <c r="O47" s="413"/>
      <c r="S47" s="1097" t="s">
        <v>600</v>
      </c>
    </row>
    <row r="48" spans="1:19" s="416" customFormat="1">
      <c r="A48" s="148"/>
      <c r="H48" s="413"/>
      <c r="I48" s="413"/>
      <c r="J48" s="413"/>
      <c r="K48" s="413"/>
      <c r="L48" s="414"/>
      <c r="M48" s="413"/>
      <c r="N48" s="413"/>
      <c r="O48" s="413"/>
      <c r="S48" s="1097"/>
    </row>
    <row r="49" spans="1:19">
      <c r="A49" s="387" t="s">
        <v>601</v>
      </c>
      <c r="B49" s="387"/>
      <c r="C49" s="387"/>
      <c r="D49" s="387"/>
      <c r="E49" s="387"/>
      <c r="F49" s="387"/>
      <c r="G49" s="387"/>
      <c r="H49" s="387"/>
      <c r="I49" s="387"/>
      <c r="J49" s="387"/>
      <c r="K49" s="387"/>
      <c r="L49" s="387"/>
      <c r="M49" s="387"/>
      <c r="N49" s="387"/>
      <c r="O49" s="387"/>
      <c r="P49" s="387"/>
      <c r="Q49" s="387"/>
      <c r="R49" s="387"/>
      <c r="S49" s="387"/>
    </row>
    <row r="50" spans="1:19" ht="14.85" customHeight="1">
      <c r="C50" s="443"/>
      <c r="D50" s="443"/>
      <c r="E50" s="443"/>
      <c r="F50" s="443"/>
      <c r="G50" s="443"/>
      <c r="H50" s="443"/>
      <c r="I50" s="443"/>
      <c r="J50" s="443"/>
      <c r="K50" s="443"/>
      <c r="L50" s="443"/>
      <c r="M50" s="443"/>
      <c r="N50" s="443"/>
      <c r="O50" s="443"/>
      <c r="P50" s="443"/>
      <c r="Q50" s="443"/>
      <c r="R50" s="443"/>
      <c r="S50" s="443"/>
    </row>
    <row r="51" spans="1:19" ht="14.85" customHeight="1">
      <c r="G51" s="443"/>
      <c r="H51" s="443"/>
      <c r="I51" s="443"/>
      <c r="J51" s="443"/>
      <c r="K51" s="443"/>
      <c r="L51" s="443"/>
      <c r="M51" s="443"/>
      <c r="N51" s="443"/>
      <c r="O51" s="443"/>
      <c r="P51" s="443"/>
      <c r="Q51" s="443"/>
      <c r="R51" s="443"/>
      <c r="S51" s="443"/>
    </row>
    <row r="52" spans="1:19" ht="14.85" customHeight="1"/>
  </sheetData>
  <mergeCells count="1">
    <mergeCell ref="A9:B11"/>
  </mergeCells>
  <printOptions horizontalCentered="1" verticalCentered="1"/>
  <pageMargins left="0" right="0" top="0" bottom="0" header="0.3" footer="0.3"/>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0">
    <pageSetUpPr fitToPage="1"/>
  </sheetPr>
  <dimension ref="A1:P37"/>
  <sheetViews>
    <sheetView zoomScale="70" zoomScaleNormal="70" workbookViewId="0">
      <pane ySplit="8" topLeftCell="A18" activePane="bottomLeft" state="frozen"/>
      <selection activeCell="B2" sqref="B2"/>
      <selection pane="bottomLeft" activeCell="B2" sqref="B2"/>
    </sheetView>
  </sheetViews>
  <sheetFormatPr defaultColWidth="9.21875" defaultRowHeight="15"/>
  <cols>
    <col min="1" max="1" width="35" style="148" customWidth="1"/>
    <col min="2" max="3" width="16.77734375" style="148" customWidth="1"/>
    <col min="4" max="4" width="14.21875" style="148" customWidth="1"/>
    <col min="5" max="5" width="13.44140625" style="148" customWidth="1"/>
    <col min="6" max="6" width="14.21875" style="148" customWidth="1"/>
    <col min="7" max="7" width="14.44140625" style="148" customWidth="1"/>
    <col min="8" max="8" width="14.77734375" style="148" customWidth="1"/>
    <col min="9" max="9" width="10.77734375" style="148" customWidth="1"/>
    <col min="10" max="10" width="12.44140625" style="148" customWidth="1"/>
    <col min="11" max="11" width="15.77734375" style="148" customWidth="1"/>
    <col min="12" max="14" width="10.77734375" style="148" customWidth="1"/>
    <col min="15" max="15" width="32.77734375" style="148" customWidth="1"/>
    <col min="16" max="16384" width="9.21875" style="148"/>
  </cols>
  <sheetData>
    <row r="1" spans="1:16" s="416" customFormat="1" ht="17.399999999999999">
      <c r="A1" s="277" t="s">
        <v>1778</v>
      </c>
      <c r="B1" s="387"/>
      <c r="C1" s="387"/>
      <c r="D1" s="387"/>
      <c r="E1" s="387"/>
      <c r="F1" s="387"/>
      <c r="G1" s="387"/>
      <c r="H1" s="387"/>
      <c r="I1" s="387"/>
      <c r="J1" s="387"/>
      <c r="K1" s="387"/>
      <c r="L1" s="387"/>
      <c r="M1" s="387"/>
      <c r="N1" s="387"/>
      <c r="O1" s="387"/>
    </row>
    <row r="2" spans="1:16" s="1954" customFormat="1" ht="21.75" customHeight="1">
      <c r="A2" s="1405" t="s">
        <v>1779</v>
      </c>
      <c r="B2" s="1953"/>
      <c r="C2" s="1953"/>
      <c r="D2" s="1953"/>
      <c r="E2" s="1953"/>
      <c r="F2" s="1953"/>
      <c r="G2" s="1953"/>
      <c r="H2" s="1953"/>
      <c r="I2" s="1953"/>
      <c r="J2" s="1953"/>
      <c r="K2" s="1953"/>
      <c r="L2" s="1953"/>
      <c r="M2" s="1953"/>
      <c r="N2" s="1953"/>
      <c r="O2" s="1953"/>
    </row>
    <row r="3" spans="1:16" s="416" customFormat="1" ht="17.399999999999999">
      <c r="A3" s="277" t="s">
        <v>1780</v>
      </c>
      <c r="B3" s="387"/>
      <c r="C3" s="387"/>
      <c r="D3" s="387"/>
      <c r="E3" s="387"/>
      <c r="F3" s="387"/>
      <c r="G3" s="387"/>
      <c r="H3" s="387"/>
      <c r="I3" s="387"/>
      <c r="J3" s="387"/>
      <c r="K3" s="387"/>
      <c r="L3" s="387"/>
      <c r="M3" s="387"/>
      <c r="N3" s="387"/>
      <c r="O3" s="387"/>
    </row>
    <row r="4" spans="1:16" s="416" customFormat="1" ht="14.25" customHeight="1">
      <c r="A4" s="1955" t="s">
        <v>552</v>
      </c>
      <c r="B4" s="415"/>
      <c r="C4" s="415"/>
      <c r="D4" s="415"/>
      <c r="E4" s="415"/>
      <c r="F4" s="415"/>
      <c r="O4" s="1956" t="s">
        <v>553</v>
      </c>
    </row>
    <row r="5" spans="1:16" s="161" customFormat="1" ht="23.85" customHeight="1">
      <c r="A5" s="1438" t="s">
        <v>405</v>
      </c>
      <c r="B5" s="1957" t="s">
        <v>602</v>
      </c>
      <c r="C5" s="160"/>
      <c r="D5" s="423"/>
      <c r="E5" s="423"/>
      <c r="F5" s="160"/>
      <c r="G5" s="1958" t="s">
        <v>603</v>
      </c>
      <c r="H5" s="1957" t="s">
        <v>604</v>
      </c>
      <c r="I5" s="425"/>
      <c r="J5" s="425"/>
      <c r="K5" s="174"/>
      <c r="L5" s="426"/>
      <c r="M5" s="426"/>
      <c r="N5" s="1958" t="s">
        <v>605</v>
      </c>
      <c r="O5" s="1959" t="s">
        <v>431</v>
      </c>
    </row>
    <row r="6" spans="1:16" s="404" customFormat="1" ht="20.25" customHeight="1">
      <c r="A6" s="1443"/>
      <c r="B6" s="1960"/>
      <c r="C6" s="430"/>
      <c r="D6" s="430"/>
      <c r="E6" s="430"/>
      <c r="F6" s="1961"/>
      <c r="G6" s="1962"/>
      <c r="H6" s="431" t="s">
        <v>561</v>
      </c>
      <c r="I6" s="181"/>
      <c r="J6" s="181"/>
      <c r="K6" s="424" t="s">
        <v>562</v>
      </c>
      <c r="L6" s="588"/>
      <c r="N6" s="432"/>
      <c r="O6" s="1963"/>
    </row>
    <row r="7" spans="1:16" s="404" customFormat="1" ht="31.2">
      <c r="A7" s="1443"/>
      <c r="B7" s="433" t="s">
        <v>567</v>
      </c>
      <c r="C7" s="435" t="s">
        <v>568</v>
      </c>
      <c r="D7" s="435" t="s">
        <v>569</v>
      </c>
      <c r="E7" s="435" t="s">
        <v>391</v>
      </c>
      <c r="F7" s="435" t="s">
        <v>382</v>
      </c>
      <c r="G7" s="435" t="s">
        <v>606</v>
      </c>
      <c r="H7" s="1962" t="s">
        <v>572</v>
      </c>
      <c r="I7" s="435" t="s">
        <v>573</v>
      </c>
      <c r="J7" s="435" t="s">
        <v>574</v>
      </c>
      <c r="K7" s="435" t="s">
        <v>575</v>
      </c>
      <c r="L7" s="435" t="s">
        <v>391</v>
      </c>
      <c r="M7" s="435" t="s">
        <v>382</v>
      </c>
      <c r="N7" s="435" t="s">
        <v>576</v>
      </c>
      <c r="O7" s="1963"/>
    </row>
    <row r="8" spans="1:16" s="404" customFormat="1" ht="46.8">
      <c r="A8" s="1446"/>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964"/>
      <c r="P8" s="438"/>
    </row>
    <row r="9" spans="1:16" ht="30.75" customHeight="1">
      <c r="A9" s="1965" t="s">
        <v>610</v>
      </c>
      <c r="B9" s="1966" t="s">
        <v>592</v>
      </c>
      <c r="C9" s="1966" t="s">
        <v>592</v>
      </c>
      <c r="D9" s="1966" t="s">
        <v>592</v>
      </c>
      <c r="E9" s="1966" t="s">
        <v>592</v>
      </c>
      <c r="F9" s="1966" t="s">
        <v>592</v>
      </c>
      <c r="G9" s="1966" t="s">
        <v>592</v>
      </c>
      <c r="H9" s="1966">
        <v>5.5</v>
      </c>
      <c r="I9" s="1966">
        <v>6.1</v>
      </c>
      <c r="J9" s="1966">
        <v>6.4680851063829783</v>
      </c>
      <c r="K9" s="1966">
        <v>6.9633867276887873</v>
      </c>
      <c r="L9" s="1966" t="s">
        <v>592</v>
      </c>
      <c r="M9" s="1966">
        <v>7.4506493506493507</v>
      </c>
      <c r="N9" s="1966">
        <v>19.5</v>
      </c>
      <c r="O9" s="1967" t="s">
        <v>611</v>
      </c>
    </row>
    <row r="10" spans="1:16" ht="21.3" customHeight="1">
      <c r="A10" s="1968" t="s">
        <v>612</v>
      </c>
      <c r="B10" s="1966" t="s">
        <v>592</v>
      </c>
      <c r="C10" s="1966" t="s">
        <v>592</v>
      </c>
      <c r="D10" s="1966" t="s">
        <v>592</v>
      </c>
      <c r="E10" s="1966">
        <v>5.8889241715911087</v>
      </c>
      <c r="F10" s="1966">
        <v>5.8889241715911087</v>
      </c>
      <c r="G10" s="1966" t="s">
        <v>592</v>
      </c>
      <c r="H10" s="1966">
        <v>4.9157324805517142</v>
      </c>
      <c r="I10" s="1966">
        <v>5.0778806292803802</v>
      </c>
      <c r="J10" s="1966" t="s">
        <v>592</v>
      </c>
      <c r="K10" s="1966">
        <v>5.07263814244115</v>
      </c>
      <c r="L10" s="1966" t="s">
        <v>592</v>
      </c>
      <c r="M10" s="1966">
        <v>5.0295002884353313</v>
      </c>
      <c r="N10" s="1966" t="s">
        <v>592</v>
      </c>
      <c r="O10" s="1967" t="s">
        <v>613</v>
      </c>
    </row>
    <row r="11" spans="1:16" ht="21.3" customHeight="1">
      <c r="A11" s="1968" t="s">
        <v>614</v>
      </c>
      <c r="B11" s="1966">
        <v>4.9720496894409933</v>
      </c>
      <c r="C11" s="1966">
        <v>5.3912559175717067</v>
      </c>
      <c r="D11" s="1966">
        <v>5.3617021276595747</v>
      </c>
      <c r="E11" s="1966">
        <v>0.84042553191489366</v>
      </c>
      <c r="F11" s="1966">
        <v>5.3297961229946527</v>
      </c>
      <c r="G11" s="1966" t="s">
        <v>592</v>
      </c>
      <c r="H11" s="1966" t="s">
        <v>592</v>
      </c>
      <c r="I11" s="1966" t="s">
        <v>592</v>
      </c>
      <c r="J11" s="1966" t="s">
        <v>592</v>
      </c>
      <c r="K11" s="1966" t="s">
        <v>592</v>
      </c>
      <c r="L11" s="1966" t="s">
        <v>592</v>
      </c>
      <c r="M11" s="1966" t="s">
        <v>592</v>
      </c>
      <c r="N11" s="1966" t="s">
        <v>592</v>
      </c>
      <c r="O11" s="1967" t="s">
        <v>615</v>
      </c>
    </row>
    <row r="12" spans="1:16" ht="21.3" customHeight="1">
      <c r="A12" s="1968" t="s">
        <v>616</v>
      </c>
      <c r="B12" s="1966" t="s">
        <v>592</v>
      </c>
      <c r="C12" s="1966" t="s">
        <v>592</v>
      </c>
      <c r="D12" s="1966">
        <v>6.4999999999999991</v>
      </c>
      <c r="E12" s="1966" t="s">
        <v>592</v>
      </c>
      <c r="F12" s="1966">
        <v>6.4999999999999991</v>
      </c>
      <c r="G12" s="1966">
        <v>6.5</v>
      </c>
      <c r="H12" s="1966" t="s">
        <v>592</v>
      </c>
      <c r="I12" s="1966" t="s">
        <v>592</v>
      </c>
      <c r="J12" s="1966" t="s">
        <v>592</v>
      </c>
      <c r="K12" s="1966" t="s">
        <v>592</v>
      </c>
      <c r="L12" s="1966" t="s">
        <v>592</v>
      </c>
      <c r="M12" s="1966" t="s">
        <v>592</v>
      </c>
      <c r="N12" s="1966" t="s">
        <v>592</v>
      </c>
      <c r="O12" s="1967" t="s">
        <v>617</v>
      </c>
    </row>
    <row r="13" spans="1:16" ht="34.049999999999997" customHeight="1">
      <c r="A13" s="1965" t="s">
        <v>618</v>
      </c>
      <c r="B13" s="1966" t="s">
        <v>592</v>
      </c>
      <c r="C13" s="1966" t="s">
        <v>592</v>
      </c>
      <c r="D13" s="1966" t="s">
        <v>592</v>
      </c>
      <c r="E13" s="1966" t="s">
        <v>592</v>
      </c>
      <c r="F13" s="1966" t="s">
        <v>592</v>
      </c>
      <c r="G13" s="1966" t="s">
        <v>592</v>
      </c>
      <c r="H13" s="1966" t="s">
        <v>592</v>
      </c>
      <c r="I13" s="1966" t="s">
        <v>592</v>
      </c>
      <c r="J13" s="1966" t="s">
        <v>592</v>
      </c>
      <c r="K13" s="1966" t="s">
        <v>592</v>
      </c>
      <c r="L13" s="1966" t="s">
        <v>592</v>
      </c>
      <c r="M13" s="1966" t="s">
        <v>592</v>
      </c>
      <c r="N13" s="1966" t="s">
        <v>592</v>
      </c>
      <c r="O13" s="1967" t="s">
        <v>619</v>
      </c>
    </row>
    <row r="14" spans="1:16" ht="21.3" customHeight="1">
      <c r="A14" s="1968" t="s">
        <v>620</v>
      </c>
      <c r="B14" s="1966" t="s">
        <v>592</v>
      </c>
      <c r="C14" s="1966" t="s">
        <v>592</v>
      </c>
      <c r="D14" s="1966" t="s">
        <v>592</v>
      </c>
      <c r="E14" s="1966" t="s">
        <v>592</v>
      </c>
      <c r="F14" s="1966" t="s">
        <v>592</v>
      </c>
      <c r="G14" s="1966" t="s">
        <v>592</v>
      </c>
      <c r="H14" s="1966" t="s">
        <v>592</v>
      </c>
      <c r="I14" s="1966" t="s">
        <v>592</v>
      </c>
      <c r="J14" s="1966" t="s">
        <v>592</v>
      </c>
      <c r="K14" s="1966" t="s">
        <v>592</v>
      </c>
      <c r="L14" s="1966" t="s">
        <v>592</v>
      </c>
      <c r="M14" s="1966" t="s">
        <v>592</v>
      </c>
      <c r="N14" s="1966" t="s">
        <v>592</v>
      </c>
      <c r="O14" s="1967" t="s">
        <v>621</v>
      </c>
    </row>
    <row r="15" spans="1:16" ht="21.3" customHeight="1">
      <c r="A15" s="1968" t="s">
        <v>622</v>
      </c>
      <c r="B15" s="1966">
        <v>8.6847371323734777</v>
      </c>
      <c r="C15" s="1966">
        <v>8.2686064941105535</v>
      </c>
      <c r="D15" s="1966">
        <v>8.2664329535495185</v>
      </c>
      <c r="E15" s="1966">
        <v>6.7044088176352705</v>
      </c>
      <c r="F15" s="1966">
        <v>7.872248234642889</v>
      </c>
      <c r="G15" s="1966">
        <v>6.3881527430699778</v>
      </c>
      <c r="H15" s="1966">
        <v>5.3506616257088844</v>
      </c>
      <c r="I15" s="1966">
        <v>4.720277201397642</v>
      </c>
      <c r="J15" s="1966" t="s">
        <v>592</v>
      </c>
      <c r="K15" s="1966">
        <v>5.2892865886427325</v>
      </c>
      <c r="L15" s="1966" t="s">
        <v>592</v>
      </c>
      <c r="M15" s="1966">
        <v>10.804639615383623</v>
      </c>
      <c r="N15" s="1966">
        <v>20.589947484536378</v>
      </c>
      <c r="O15" s="1967" t="s">
        <v>623</v>
      </c>
    </row>
    <row r="16" spans="1:16" ht="21.3" customHeight="1">
      <c r="A16" s="1968" t="s">
        <v>624</v>
      </c>
      <c r="B16" s="1966" t="s">
        <v>592</v>
      </c>
      <c r="C16" s="1966" t="s">
        <v>592</v>
      </c>
      <c r="D16" s="1966" t="s">
        <v>592</v>
      </c>
      <c r="E16" s="1966" t="s">
        <v>592</v>
      </c>
      <c r="F16" s="1966" t="s">
        <v>592</v>
      </c>
      <c r="G16" s="1966" t="s">
        <v>592</v>
      </c>
      <c r="H16" s="1966" t="s">
        <v>592</v>
      </c>
      <c r="I16" s="1966" t="s">
        <v>592</v>
      </c>
      <c r="J16" s="1966" t="s">
        <v>592</v>
      </c>
      <c r="K16" s="1966" t="s">
        <v>592</v>
      </c>
      <c r="L16" s="1966" t="s">
        <v>592</v>
      </c>
      <c r="M16" s="1966" t="s">
        <v>592</v>
      </c>
      <c r="N16" s="1966" t="s">
        <v>592</v>
      </c>
      <c r="O16" s="1967" t="s">
        <v>625</v>
      </c>
    </row>
    <row r="17" spans="1:15" ht="21.3" customHeight="1">
      <c r="A17" s="1968" t="s">
        <v>626</v>
      </c>
      <c r="B17" s="1966" t="s">
        <v>592</v>
      </c>
      <c r="C17" s="1966" t="s">
        <v>592</v>
      </c>
      <c r="D17" s="1966">
        <v>7.5</v>
      </c>
      <c r="E17" s="1966" t="s">
        <v>592</v>
      </c>
      <c r="F17" s="1966">
        <v>7.5</v>
      </c>
      <c r="G17" s="1966" t="s">
        <v>592</v>
      </c>
      <c r="H17" s="1966" t="s">
        <v>592</v>
      </c>
      <c r="I17" s="1966" t="s">
        <v>592</v>
      </c>
      <c r="J17" s="1966">
        <v>5.9359606716327731</v>
      </c>
      <c r="K17" s="1966" t="s">
        <v>592</v>
      </c>
      <c r="L17" s="1966" t="s">
        <v>592</v>
      </c>
      <c r="M17" s="1966">
        <v>19.335272396344404</v>
      </c>
      <c r="N17" s="1966">
        <v>22</v>
      </c>
      <c r="O17" s="1967" t="s">
        <v>627</v>
      </c>
    </row>
    <row r="18" spans="1:15" ht="21.3" customHeight="1">
      <c r="A18" s="1968" t="s">
        <v>628</v>
      </c>
      <c r="B18" s="1966" t="s">
        <v>592</v>
      </c>
      <c r="C18" s="1966">
        <v>5.5</v>
      </c>
      <c r="D18" s="1966" t="s">
        <v>592</v>
      </c>
      <c r="E18" s="1966" t="s">
        <v>592</v>
      </c>
      <c r="F18" s="1966">
        <v>5.5</v>
      </c>
      <c r="G18" s="1966" t="s">
        <v>592</v>
      </c>
      <c r="H18" s="1966" t="s">
        <v>592</v>
      </c>
      <c r="I18" s="1966" t="s">
        <v>592</v>
      </c>
      <c r="J18" s="1966" t="s">
        <v>592</v>
      </c>
      <c r="K18" s="1966" t="s">
        <v>592</v>
      </c>
      <c r="L18" s="1966" t="s">
        <v>592</v>
      </c>
      <c r="M18" s="1966">
        <v>10.587800693984171</v>
      </c>
      <c r="N18" s="1966">
        <v>10.587800693984171</v>
      </c>
      <c r="O18" s="1967" t="s">
        <v>629</v>
      </c>
    </row>
    <row r="19" spans="1:15" ht="21.3" customHeight="1">
      <c r="A19" s="1968" t="s">
        <v>630</v>
      </c>
      <c r="B19" s="1966" t="s">
        <v>592</v>
      </c>
      <c r="C19" s="1966" t="s">
        <v>592</v>
      </c>
      <c r="D19" s="1966" t="s">
        <v>592</v>
      </c>
      <c r="E19" s="1966" t="s">
        <v>592</v>
      </c>
      <c r="F19" s="1966" t="s">
        <v>592</v>
      </c>
      <c r="G19" s="1966" t="s">
        <v>592</v>
      </c>
      <c r="H19" s="1966" t="s">
        <v>592</v>
      </c>
      <c r="I19" s="1966">
        <v>7.5</v>
      </c>
      <c r="J19" s="1966">
        <v>6.5052104440456207</v>
      </c>
      <c r="K19" s="1966" t="s">
        <v>592</v>
      </c>
      <c r="L19" s="1966" t="s">
        <v>592</v>
      </c>
      <c r="M19" s="1966">
        <v>6.5061310659957199</v>
      </c>
      <c r="N19" s="1966" t="s">
        <v>592</v>
      </c>
      <c r="O19" s="1967" t="s">
        <v>631</v>
      </c>
    </row>
    <row r="20" spans="1:15" ht="21.3" customHeight="1">
      <c r="A20" s="1968" t="s">
        <v>632</v>
      </c>
      <c r="B20" s="1966" t="s">
        <v>592</v>
      </c>
      <c r="C20" s="1966">
        <v>6.5</v>
      </c>
      <c r="D20" s="1966" t="s">
        <v>592</v>
      </c>
      <c r="E20" s="1966" t="s">
        <v>592</v>
      </c>
      <c r="F20" s="1966">
        <v>6.5</v>
      </c>
      <c r="G20" s="1966" t="s">
        <v>592</v>
      </c>
      <c r="H20" s="1966" t="s">
        <v>592</v>
      </c>
      <c r="I20" s="1966" t="s">
        <v>592</v>
      </c>
      <c r="J20" s="1966" t="s">
        <v>592</v>
      </c>
      <c r="K20" s="1966" t="s">
        <v>592</v>
      </c>
      <c r="L20" s="1966" t="s">
        <v>592</v>
      </c>
      <c r="M20" s="1966" t="s">
        <v>592</v>
      </c>
      <c r="N20" s="1966" t="s">
        <v>592</v>
      </c>
      <c r="O20" s="1967" t="s">
        <v>633</v>
      </c>
    </row>
    <row r="21" spans="1:15" ht="21.3" customHeight="1">
      <c r="A21" s="1968" t="s">
        <v>634</v>
      </c>
      <c r="B21" s="1966" t="s">
        <v>592</v>
      </c>
      <c r="C21" s="1966" t="s">
        <v>592</v>
      </c>
      <c r="D21" s="1966" t="s">
        <v>592</v>
      </c>
      <c r="E21" s="1966" t="s">
        <v>592</v>
      </c>
      <c r="F21" s="1966" t="s">
        <v>592</v>
      </c>
      <c r="G21" s="1966" t="s">
        <v>592</v>
      </c>
      <c r="H21" s="1966" t="s">
        <v>592</v>
      </c>
      <c r="I21" s="1966" t="s">
        <v>592</v>
      </c>
      <c r="J21" s="1966" t="s">
        <v>592</v>
      </c>
      <c r="K21" s="1966" t="s">
        <v>592</v>
      </c>
      <c r="L21" s="1966" t="s">
        <v>592</v>
      </c>
      <c r="M21" s="1966" t="s">
        <v>592</v>
      </c>
      <c r="N21" s="1966" t="s">
        <v>592</v>
      </c>
      <c r="O21" s="1967" t="s">
        <v>635</v>
      </c>
    </row>
    <row r="22" spans="1:15" ht="21.3" customHeight="1">
      <c r="A22" s="1968" t="s">
        <v>636</v>
      </c>
      <c r="B22" s="1966" t="s">
        <v>592</v>
      </c>
      <c r="C22" s="1966" t="s">
        <v>592</v>
      </c>
      <c r="D22" s="1966" t="s">
        <v>592</v>
      </c>
      <c r="E22" s="1966" t="s">
        <v>592</v>
      </c>
      <c r="F22" s="1966" t="s">
        <v>592</v>
      </c>
      <c r="G22" s="1966" t="s">
        <v>592</v>
      </c>
      <c r="H22" s="1966">
        <v>2.5</v>
      </c>
      <c r="I22" s="1966" t="s">
        <v>592</v>
      </c>
      <c r="J22" s="1966" t="s">
        <v>592</v>
      </c>
      <c r="K22" s="1966" t="s">
        <v>592</v>
      </c>
      <c r="L22" s="1966" t="s">
        <v>592</v>
      </c>
      <c r="M22" s="1966">
        <v>2.5</v>
      </c>
      <c r="N22" s="1966" t="s">
        <v>592</v>
      </c>
      <c r="O22" s="1967" t="s">
        <v>637</v>
      </c>
    </row>
    <row r="23" spans="1:15" ht="21.3" customHeight="1">
      <c r="A23" s="1968" t="s">
        <v>638</v>
      </c>
      <c r="B23" s="1966" t="s">
        <v>592</v>
      </c>
      <c r="C23" s="1966">
        <v>7.9175679174217706</v>
      </c>
      <c r="D23" s="1966" t="s">
        <v>592</v>
      </c>
      <c r="E23" s="1966" t="s">
        <v>592</v>
      </c>
      <c r="F23" s="1966">
        <v>7.9175679174217706</v>
      </c>
      <c r="G23" s="1966" t="s">
        <v>592</v>
      </c>
      <c r="H23" s="1966" t="s">
        <v>592</v>
      </c>
      <c r="I23" s="1966" t="s">
        <v>592</v>
      </c>
      <c r="J23" s="1966" t="s">
        <v>592</v>
      </c>
      <c r="K23" s="1966" t="s">
        <v>592</v>
      </c>
      <c r="L23" s="1966" t="s">
        <v>592</v>
      </c>
      <c r="M23" s="1966" t="s">
        <v>592</v>
      </c>
      <c r="N23" s="1966" t="s">
        <v>592</v>
      </c>
      <c r="O23" s="1967" t="s">
        <v>639</v>
      </c>
    </row>
    <row r="24" spans="1:15" ht="21.3" customHeight="1">
      <c r="A24" s="1968" t="s">
        <v>640</v>
      </c>
      <c r="B24" s="1966">
        <v>7.4708633198333381</v>
      </c>
      <c r="C24" s="1966">
        <v>5.4794450154162382</v>
      </c>
      <c r="D24" s="1966">
        <v>6.3195069002946189</v>
      </c>
      <c r="E24" s="1966">
        <v>5.8662239089184061</v>
      </c>
      <c r="F24" s="1966">
        <v>7.0680995523570864</v>
      </c>
      <c r="G24" s="1966" t="s">
        <v>592</v>
      </c>
      <c r="H24" s="1966" t="s">
        <v>592</v>
      </c>
      <c r="I24" s="1966" t="s">
        <v>592</v>
      </c>
      <c r="J24" s="1966" t="s">
        <v>592</v>
      </c>
      <c r="K24" s="1966">
        <v>0.5</v>
      </c>
      <c r="L24" s="1966" t="s">
        <v>592</v>
      </c>
      <c r="M24" s="1966">
        <v>0.5</v>
      </c>
      <c r="N24" s="1966" t="s">
        <v>592</v>
      </c>
      <c r="O24" s="1967" t="s">
        <v>641</v>
      </c>
    </row>
    <row r="25" spans="1:15" ht="21.3" customHeight="1">
      <c r="A25" s="1968" t="s">
        <v>642</v>
      </c>
      <c r="B25" s="1966" t="s">
        <v>592</v>
      </c>
      <c r="C25" s="1966" t="s">
        <v>592</v>
      </c>
      <c r="D25" s="1966" t="s">
        <v>592</v>
      </c>
      <c r="E25" s="1966" t="s">
        <v>592</v>
      </c>
      <c r="F25" s="1966" t="s">
        <v>592</v>
      </c>
      <c r="G25" s="1966" t="s">
        <v>592</v>
      </c>
      <c r="H25" s="1966" t="s">
        <v>592</v>
      </c>
      <c r="I25" s="1966" t="s">
        <v>592</v>
      </c>
      <c r="J25" s="1966" t="s">
        <v>592</v>
      </c>
      <c r="K25" s="1966" t="s">
        <v>592</v>
      </c>
      <c r="L25" s="1966" t="s">
        <v>592</v>
      </c>
      <c r="M25" s="1966" t="s">
        <v>592</v>
      </c>
      <c r="N25" s="1966" t="s">
        <v>592</v>
      </c>
      <c r="O25" s="1967" t="s">
        <v>643</v>
      </c>
    </row>
    <row r="26" spans="1:15" ht="21.3" customHeight="1">
      <c r="A26" s="1968" t="s">
        <v>644</v>
      </c>
      <c r="B26" s="1966" t="s">
        <v>592</v>
      </c>
      <c r="C26" s="1966" t="s">
        <v>592</v>
      </c>
      <c r="D26" s="1966" t="s">
        <v>592</v>
      </c>
      <c r="E26" s="1966" t="s">
        <v>592</v>
      </c>
      <c r="F26" s="1966" t="s">
        <v>592</v>
      </c>
      <c r="G26" s="1966" t="s">
        <v>592</v>
      </c>
      <c r="H26" s="1966" t="s">
        <v>592</v>
      </c>
      <c r="I26" s="1966" t="s">
        <v>592</v>
      </c>
      <c r="J26" s="1966" t="s">
        <v>592</v>
      </c>
      <c r="K26" s="1966">
        <v>4.5</v>
      </c>
      <c r="L26" s="1966" t="s">
        <v>592</v>
      </c>
      <c r="M26" s="1966">
        <v>21.166451249337051</v>
      </c>
      <c r="N26" s="1966">
        <v>22</v>
      </c>
      <c r="O26" s="1967" t="s">
        <v>645</v>
      </c>
    </row>
    <row r="27" spans="1:15" ht="21.3" customHeight="1">
      <c r="A27" s="1968" t="s">
        <v>646</v>
      </c>
      <c r="B27" s="1966">
        <v>9.3122270742358086</v>
      </c>
      <c r="C27" s="1966">
        <v>7</v>
      </c>
      <c r="D27" s="1966">
        <v>9.1197478991596643</v>
      </c>
      <c r="E27" s="1966">
        <v>8.3849658314350801</v>
      </c>
      <c r="F27" s="1966">
        <v>8.3167047473978162</v>
      </c>
      <c r="G27" s="1966" t="s">
        <v>592</v>
      </c>
      <c r="H27" s="1966" t="s">
        <v>592</v>
      </c>
      <c r="I27" s="1966" t="s">
        <v>592</v>
      </c>
      <c r="J27" s="1966" t="s">
        <v>592</v>
      </c>
      <c r="K27" s="1966" t="s">
        <v>592</v>
      </c>
      <c r="L27" s="1966" t="s">
        <v>592</v>
      </c>
      <c r="M27" s="1966" t="s">
        <v>592</v>
      </c>
      <c r="N27" s="1966" t="s">
        <v>592</v>
      </c>
      <c r="O27" s="1967" t="s">
        <v>647</v>
      </c>
    </row>
    <row r="28" spans="1:15" s="164" customFormat="1" ht="30.3" customHeight="1">
      <c r="A28" s="1969" t="s">
        <v>648</v>
      </c>
      <c r="B28" s="1970">
        <v>7.6294901791517464</v>
      </c>
      <c r="C28" s="1970">
        <v>5.53493882712936</v>
      </c>
      <c r="D28" s="1970">
        <v>7.8847273605178705</v>
      </c>
      <c r="E28" s="1970">
        <v>6.1589548844100106</v>
      </c>
      <c r="F28" s="1970">
        <v>6.606550778939682</v>
      </c>
      <c r="G28" s="1970">
        <v>6.3883969369643623</v>
      </c>
      <c r="H28" s="1970">
        <v>4.9686170627735509</v>
      </c>
      <c r="I28" s="1970">
        <v>4.9909563272258559</v>
      </c>
      <c r="J28" s="1970">
        <v>6.2334644679308244</v>
      </c>
      <c r="K28" s="1970">
        <v>5.1818556581506581</v>
      </c>
      <c r="L28" s="1970" t="s">
        <v>592</v>
      </c>
      <c r="M28" s="1970">
        <v>5.1606834857826911</v>
      </c>
      <c r="N28" s="1970">
        <v>20.765349198055464</v>
      </c>
      <c r="O28" s="1971" t="s">
        <v>649</v>
      </c>
    </row>
    <row r="29" spans="1:15" s="306" customFormat="1" ht="20.25" customHeight="1">
      <c r="A29" s="253" t="s">
        <v>650</v>
      </c>
      <c r="B29" s="253"/>
      <c r="C29" s="253"/>
      <c r="D29" s="253"/>
      <c r="E29" s="253"/>
      <c r="F29" s="253"/>
      <c r="G29" s="253"/>
      <c r="H29" s="253"/>
      <c r="I29" s="253"/>
      <c r="J29" s="253"/>
      <c r="K29" s="253"/>
      <c r="L29" s="253"/>
      <c r="M29" s="253"/>
      <c r="N29" s="253"/>
      <c r="O29" s="1863" t="s">
        <v>651</v>
      </c>
    </row>
    <row r="30" spans="1:15" s="306" customFormat="1" ht="14.25" customHeight="1">
      <c r="A30" s="306" t="s">
        <v>652</v>
      </c>
      <c r="O30" s="305" t="s">
        <v>653</v>
      </c>
    </row>
    <row r="31" spans="1:15" s="306" customFormat="1" ht="14.25" customHeight="1">
      <c r="A31" s="306" t="s">
        <v>654</v>
      </c>
      <c r="F31" s="321"/>
      <c r="G31" s="321"/>
      <c r="O31" s="305" t="s">
        <v>655</v>
      </c>
    </row>
    <row r="32" spans="1:15" s="306" customFormat="1" ht="13.8">
      <c r="A32" s="306" t="s">
        <v>656</v>
      </c>
      <c r="O32" s="305" t="s">
        <v>657</v>
      </c>
    </row>
    <row r="33" spans="1:15" s="306" customFormat="1" ht="14.25" customHeight="1">
      <c r="A33" s="306" t="s">
        <v>658</v>
      </c>
      <c r="D33" s="441"/>
      <c r="E33" s="441"/>
      <c r="F33" s="442"/>
      <c r="G33" s="321"/>
      <c r="O33" s="305" t="s">
        <v>659</v>
      </c>
    </row>
    <row r="34" spans="1:15" s="416" customFormat="1" ht="13.8" customHeight="1">
      <c r="A34" s="306"/>
      <c r="B34" s="306"/>
      <c r="C34" s="306"/>
      <c r="D34" s="306"/>
      <c r="E34" s="413"/>
      <c r="F34" s="414"/>
      <c r="G34" s="413"/>
      <c r="H34" s="413"/>
      <c r="I34" s="413"/>
      <c r="J34" s="306"/>
      <c r="K34" s="306"/>
      <c r="L34" s="306"/>
      <c r="M34" s="306"/>
      <c r="N34" s="305"/>
      <c r="O34" s="1946"/>
    </row>
    <row r="35" spans="1:15">
      <c r="B35" s="443"/>
      <c r="C35" s="443"/>
      <c r="D35" s="443"/>
      <c r="E35" s="443"/>
      <c r="F35" s="443"/>
      <c r="G35" s="443"/>
      <c r="H35" s="443"/>
      <c r="I35" s="443"/>
      <c r="J35" s="443"/>
      <c r="K35" s="443"/>
      <c r="L35" s="443"/>
      <c r="M35" s="443"/>
      <c r="N35" s="443"/>
    </row>
    <row r="36" spans="1:15">
      <c r="B36" s="443"/>
      <c r="C36" s="443"/>
      <c r="D36" s="443"/>
      <c r="E36" s="443"/>
      <c r="F36" s="443"/>
      <c r="G36" s="443"/>
      <c r="H36" s="443"/>
      <c r="I36" s="443"/>
      <c r="J36" s="443"/>
      <c r="K36" s="443"/>
      <c r="L36" s="443"/>
      <c r="M36" s="443"/>
      <c r="N36" s="443"/>
    </row>
    <row r="37" spans="1:15" ht="16.8">
      <c r="A37" s="1972" t="s">
        <v>660</v>
      </c>
      <c r="B37" s="387"/>
      <c r="C37" s="387"/>
      <c r="D37" s="387"/>
      <c r="E37" s="387"/>
      <c r="F37" s="387"/>
      <c r="G37" s="387"/>
      <c r="H37" s="387"/>
      <c r="I37" s="387"/>
      <c r="J37" s="387"/>
      <c r="K37" s="387"/>
      <c r="L37" s="387"/>
      <c r="M37" s="387"/>
      <c r="N37" s="387"/>
      <c r="O37" s="387"/>
    </row>
  </sheetData>
  <mergeCells count="2">
    <mergeCell ref="A5:A8"/>
    <mergeCell ref="O5:O8"/>
  </mergeCells>
  <printOptions horizontalCentered="1" verticalCentered="1"/>
  <pageMargins left="0" right="0" top="0" bottom="0" header="0.3" footer="0.3"/>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52"/>
  <sheetViews>
    <sheetView zoomScale="70" zoomScaleNormal="70" workbookViewId="0">
      <pane ySplit="12" topLeftCell="A35" activePane="bottomLeft" state="frozen"/>
      <selection activeCell="B2" sqref="B2"/>
      <selection pane="bottomLeft" activeCell="B2" sqref="B2"/>
    </sheetView>
  </sheetViews>
  <sheetFormatPr defaultColWidth="9.21875" defaultRowHeight="15"/>
  <cols>
    <col min="1" max="2" width="9.77734375" style="148" customWidth="1"/>
    <col min="3" max="6" width="10.77734375" style="148" customWidth="1"/>
    <col min="7" max="7" width="16.21875" style="148" customWidth="1"/>
    <col min="8" max="8" width="17.21875" style="148" customWidth="1"/>
    <col min="9" max="9" width="12.44140625" style="148" bestFit="1" customWidth="1"/>
    <col min="10" max="10" width="10.77734375" style="148" customWidth="1"/>
    <col min="11" max="12" width="15.21875" style="148" customWidth="1"/>
    <col min="13" max="13" width="12.77734375" style="148" customWidth="1"/>
    <col min="14" max="15" width="10.77734375" style="148" customWidth="1"/>
    <col min="16" max="16" width="14" style="148" customWidth="1"/>
    <col min="17" max="18" width="10.77734375" style="148" customWidth="1"/>
    <col min="19" max="19" width="14.77734375" style="148" customWidth="1"/>
    <col min="20" max="16384" width="9.21875" style="148"/>
  </cols>
  <sheetData>
    <row r="1" spans="1:20" s="416" customFormat="1" ht="17.399999999999999">
      <c r="A1" s="277" t="s">
        <v>1777</v>
      </c>
      <c r="B1" s="277"/>
      <c r="C1" s="415"/>
      <c r="D1" s="415"/>
      <c r="E1" s="415"/>
      <c r="F1" s="415"/>
      <c r="G1" s="415"/>
      <c r="H1" s="415"/>
      <c r="I1" s="415"/>
      <c r="J1" s="415"/>
      <c r="K1" s="415"/>
      <c r="L1" s="415"/>
      <c r="M1" s="415"/>
      <c r="N1" s="415"/>
      <c r="O1" s="415"/>
      <c r="P1" s="415"/>
      <c r="Q1" s="415"/>
      <c r="R1" s="415"/>
      <c r="S1" s="415"/>
    </row>
    <row r="2" spans="1:20" s="1954" customFormat="1" ht="21.75" customHeight="1">
      <c r="A2" s="1405" t="s">
        <v>21</v>
      </c>
      <c r="B2" s="1405"/>
      <c r="C2" s="1973"/>
      <c r="D2" s="1973"/>
      <c r="E2" s="1973"/>
      <c r="F2" s="1973"/>
      <c r="G2" s="1973"/>
      <c r="H2" s="1973"/>
      <c r="I2" s="1973"/>
      <c r="J2" s="1973"/>
      <c r="K2" s="1973"/>
      <c r="L2" s="1973"/>
      <c r="M2" s="1973"/>
      <c r="N2" s="1973"/>
      <c r="O2" s="1973"/>
      <c r="P2" s="1973"/>
      <c r="Q2" s="1973"/>
      <c r="R2" s="1973"/>
      <c r="S2" s="1973"/>
    </row>
    <row r="3" spans="1:20" s="416" customFormat="1" ht="17.399999999999999">
      <c r="A3" s="277" t="s">
        <v>20</v>
      </c>
      <c r="B3" s="277"/>
      <c r="C3" s="415"/>
      <c r="D3" s="415"/>
      <c r="E3" s="415"/>
      <c r="F3" s="415"/>
      <c r="G3" s="415"/>
      <c r="H3" s="415"/>
      <c r="I3" s="415"/>
      <c r="J3" s="415"/>
      <c r="K3" s="415"/>
      <c r="L3" s="415"/>
      <c r="M3" s="415"/>
      <c r="N3" s="415"/>
      <c r="O3" s="415"/>
      <c r="P3" s="415"/>
      <c r="Q3" s="415"/>
      <c r="R3" s="415"/>
      <c r="S3" s="415"/>
    </row>
    <row r="4" spans="1:20" s="416" customFormat="1" ht="17.399999999999999" hidden="1">
      <c r="A4" s="277"/>
      <c r="B4" s="277"/>
      <c r="C4" s="415"/>
      <c r="D4" s="415"/>
      <c r="E4" s="415"/>
      <c r="F4" s="415"/>
      <c r="G4" s="415"/>
      <c r="H4" s="415"/>
      <c r="I4" s="415"/>
      <c r="J4" s="415"/>
      <c r="K4" s="415"/>
      <c r="L4" s="415"/>
      <c r="M4" s="415"/>
      <c r="N4" s="415"/>
      <c r="O4" s="415"/>
      <c r="P4" s="415"/>
      <c r="Q4" s="415"/>
      <c r="R4" s="415"/>
      <c r="S4" s="415"/>
    </row>
    <row r="5" spans="1:20" s="416" customFormat="1" ht="17.399999999999999" hidden="1">
      <c r="A5" s="277"/>
      <c r="B5" s="277"/>
      <c r="C5" s="415"/>
      <c r="D5" s="415"/>
      <c r="E5" s="415"/>
      <c r="F5" s="415"/>
      <c r="G5" s="415"/>
      <c r="H5" s="415"/>
      <c r="I5" s="415"/>
      <c r="J5" s="415"/>
      <c r="K5" s="415"/>
      <c r="L5" s="415"/>
      <c r="M5" s="415"/>
      <c r="N5" s="415"/>
      <c r="O5" s="415"/>
      <c r="P5" s="415"/>
      <c r="Q5" s="415"/>
      <c r="R5" s="415"/>
      <c r="S5" s="415"/>
    </row>
    <row r="6" spans="1:20" s="416" customFormat="1" ht="17.399999999999999" hidden="1">
      <c r="A6" s="277"/>
      <c r="B6" s="277"/>
      <c r="C6" s="415"/>
      <c r="D6" s="415"/>
      <c r="E6" s="415"/>
      <c r="F6" s="415"/>
      <c r="G6" s="415"/>
      <c r="H6" s="415"/>
      <c r="I6" s="415"/>
      <c r="J6" s="415"/>
      <c r="K6" s="415"/>
      <c r="L6" s="415"/>
      <c r="M6" s="415"/>
      <c r="N6" s="415"/>
      <c r="O6" s="415"/>
      <c r="P6" s="415"/>
      <c r="Q6" s="415"/>
      <c r="R6" s="415"/>
      <c r="S6" s="415"/>
    </row>
    <row r="7" spans="1:20" s="416" customFormat="1" ht="17.399999999999999"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85" customHeight="1">
      <c r="A9" s="1234" t="s">
        <v>379</v>
      </c>
      <c r="B9" s="1235"/>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236"/>
      <c r="B10" s="1237"/>
      <c r="C10" s="427"/>
      <c r="D10" s="428" t="s">
        <v>559</v>
      </c>
      <c r="E10" s="1096"/>
      <c r="F10" s="424" t="s">
        <v>560</v>
      </c>
      <c r="G10" s="429"/>
      <c r="H10" s="430"/>
      <c r="I10" s="430"/>
      <c r="J10" s="430"/>
      <c r="K10" s="162" t="s">
        <v>382</v>
      </c>
      <c r="L10" s="162" t="s">
        <v>382</v>
      </c>
      <c r="M10" s="431" t="s">
        <v>561</v>
      </c>
      <c r="N10" s="181"/>
      <c r="P10" s="586" t="s">
        <v>562</v>
      </c>
      <c r="Q10" s="588"/>
      <c r="S10" s="432"/>
    </row>
    <row r="11" spans="1:20" s="404" customFormat="1" ht="31.2">
      <c r="A11" s="1236"/>
      <c r="B11" s="1237"/>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4">
      <c r="A12" s="179" t="s">
        <v>387</v>
      </c>
      <c r="B12" s="436"/>
      <c r="C12" s="437" t="s">
        <v>473</v>
      </c>
      <c r="D12" s="402" t="s">
        <v>577</v>
      </c>
      <c r="E12" s="402" t="s">
        <v>661</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85" hidden="1" customHeight="1">
      <c r="A13" s="439">
        <v>2016</v>
      </c>
      <c r="B13" s="440"/>
      <c r="C13" s="1155"/>
      <c r="D13" s="1156"/>
      <c r="E13" s="1155"/>
      <c r="F13" s="1155"/>
      <c r="G13" s="1157"/>
      <c r="H13" s="1157"/>
      <c r="I13" s="1156"/>
      <c r="J13" s="1156"/>
      <c r="K13" s="1155"/>
      <c r="L13" s="1155"/>
      <c r="M13" s="764"/>
      <c r="N13" s="1156"/>
      <c r="O13" s="1156"/>
      <c r="P13" s="1155"/>
      <c r="Q13" s="1156"/>
      <c r="R13" s="1156"/>
      <c r="S13" s="764"/>
    </row>
    <row r="14" spans="1:20" ht="17.55" hidden="1" customHeight="1">
      <c r="A14" s="439">
        <v>2017</v>
      </c>
      <c r="B14" s="440"/>
      <c r="C14" s="1155"/>
      <c r="D14" s="1156"/>
      <c r="E14" s="1155"/>
      <c r="F14" s="1155"/>
      <c r="G14" s="1157"/>
      <c r="H14" s="1157"/>
      <c r="I14" s="1156"/>
      <c r="J14" s="1156"/>
      <c r="K14" s="1155"/>
      <c r="L14" s="1155"/>
      <c r="M14" s="764"/>
      <c r="N14" s="1156"/>
      <c r="O14" s="1156"/>
      <c r="P14" s="1155"/>
      <c r="Q14" s="1156"/>
      <c r="R14" s="1156"/>
      <c r="S14" s="764"/>
    </row>
    <row r="15" spans="1:20" ht="17.25" hidden="1" customHeight="1">
      <c r="A15" s="439">
        <v>2018</v>
      </c>
      <c r="B15" s="440"/>
      <c r="C15" s="1155"/>
      <c r="D15" s="1156"/>
      <c r="E15" s="1155"/>
      <c r="F15" s="1155"/>
      <c r="G15" s="1157"/>
      <c r="H15" s="1157"/>
      <c r="I15" s="1156"/>
      <c r="J15" s="1156"/>
      <c r="K15" s="1155"/>
      <c r="L15" s="1155"/>
      <c r="M15" s="764"/>
      <c r="N15" s="1155"/>
      <c r="O15" s="1156"/>
      <c r="P15" s="1155"/>
      <c r="Q15" s="1155"/>
      <c r="R15" s="1155"/>
      <c r="S15" s="764"/>
    </row>
    <row r="16" spans="1:20" ht="17.25" hidden="1" customHeight="1">
      <c r="A16" s="439">
        <v>2019</v>
      </c>
      <c r="B16" s="440"/>
      <c r="C16" s="1155"/>
      <c r="D16" s="1156"/>
      <c r="E16" s="1155"/>
      <c r="F16" s="1155"/>
      <c r="G16" s="1157"/>
      <c r="H16" s="1157"/>
      <c r="I16" s="1156"/>
      <c r="J16" s="1156"/>
      <c r="K16" s="1155"/>
      <c r="L16" s="1155"/>
      <c r="M16" s="764"/>
      <c r="N16" s="1155"/>
      <c r="O16" s="1156"/>
      <c r="P16" s="1155"/>
      <c r="Q16" s="1155"/>
      <c r="R16" s="1155"/>
      <c r="S16" s="764"/>
    </row>
    <row r="17" spans="1:19" ht="17.25" hidden="1" customHeight="1">
      <c r="A17" s="439">
        <v>2020</v>
      </c>
      <c r="B17" s="440"/>
      <c r="C17" s="1155"/>
      <c r="D17" s="1156"/>
      <c r="E17" s="1155"/>
      <c r="F17" s="1155"/>
      <c r="G17" s="1157"/>
      <c r="H17" s="1157"/>
      <c r="I17" s="1156"/>
      <c r="J17" s="1156"/>
      <c r="K17" s="1155"/>
      <c r="L17" s="1155"/>
      <c r="M17" s="764"/>
      <c r="N17" s="1155"/>
      <c r="O17" s="1156"/>
      <c r="P17" s="1155"/>
      <c r="Q17" s="1155"/>
      <c r="R17" s="1155"/>
      <c r="S17" s="764"/>
    </row>
    <row r="18" spans="1:19" ht="17.25" hidden="1" customHeight="1">
      <c r="A18" s="439">
        <v>2021</v>
      </c>
      <c r="B18" s="440"/>
      <c r="C18" s="1155"/>
      <c r="D18" s="1156"/>
      <c r="E18" s="1155"/>
      <c r="F18" s="1155"/>
      <c r="G18" s="1157"/>
      <c r="H18" s="1157"/>
      <c r="I18" s="1156"/>
      <c r="J18" s="1156"/>
      <c r="K18" s="1155"/>
      <c r="L18" s="1155"/>
      <c r="M18" s="764"/>
      <c r="N18" s="1155"/>
      <c r="O18" s="1156"/>
      <c r="P18" s="1155"/>
      <c r="Q18" s="1155"/>
      <c r="R18" s="1155"/>
      <c r="S18" s="764"/>
    </row>
    <row r="19" spans="1:19" ht="17.25" hidden="1" customHeight="1">
      <c r="A19" s="439">
        <v>2022</v>
      </c>
      <c r="B19" s="440"/>
      <c r="C19" s="1155" t="e">
        <v>#REF!</v>
      </c>
      <c r="D19" s="1156" t="e">
        <v>#REF!</v>
      </c>
      <c r="E19" s="1155"/>
      <c r="F19" s="1155"/>
      <c r="G19" s="1157" t="e">
        <v>#REF!</v>
      </c>
      <c r="H19" s="1157" t="e">
        <v>#REF!</v>
      </c>
      <c r="I19" s="1156" t="e">
        <v>#REF!</v>
      </c>
      <c r="J19" s="1156" t="e">
        <v>#REF!</v>
      </c>
      <c r="K19" s="1155" t="e">
        <v>#REF!</v>
      </c>
      <c r="L19" s="1155" t="e">
        <v>#REF!</v>
      </c>
      <c r="M19" s="764" t="e">
        <v>#REF!</v>
      </c>
      <c r="N19" s="1155" t="e">
        <v>#REF!</v>
      </c>
      <c r="O19" s="1156" t="e">
        <v>#REF!</v>
      </c>
      <c r="P19" s="1155" t="e">
        <v>#REF!</v>
      </c>
      <c r="Q19" s="1155" t="e">
        <v>#REF!</v>
      </c>
      <c r="R19" s="1155" t="e">
        <v>#REF!</v>
      </c>
      <c r="S19" s="764" t="e">
        <v>#REF!</v>
      </c>
    </row>
    <row r="20" spans="1:19" ht="21" customHeight="1">
      <c r="A20" s="439">
        <v>2023</v>
      </c>
      <c r="B20" s="440"/>
      <c r="C20" s="1155">
        <v>3.9922758122879584E-2</v>
      </c>
      <c r="D20" s="1156">
        <v>1.9625160424073045</v>
      </c>
      <c r="E20" s="1155">
        <v>2.1270398517598497</v>
      </c>
      <c r="F20" s="1155">
        <v>2.5030472262610517</v>
      </c>
      <c r="G20" s="1157">
        <v>7.4814025081724758</v>
      </c>
      <c r="H20" s="1157">
        <v>7.5055387398947966</v>
      </c>
      <c r="I20" s="1156">
        <v>7.0500983053323445</v>
      </c>
      <c r="J20" s="1156">
        <v>6.7962987708302292</v>
      </c>
      <c r="K20" s="1155">
        <v>7.3002657373731985</v>
      </c>
      <c r="L20" s="1155">
        <v>7.3073176523956391</v>
      </c>
      <c r="M20" s="764">
        <v>6.7028579601038079</v>
      </c>
      <c r="N20" s="1155">
        <v>6.3815433926636702</v>
      </c>
      <c r="O20" s="1156">
        <v>7.0771762156946325</v>
      </c>
      <c r="P20" s="1155">
        <v>6.7183556816790615</v>
      </c>
      <c r="Q20" s="1155">
        <v>5.6669813013124335</v>
      </c>
      <c r="R20" s="1155">
        <v>6.60436986246365</v>
      </c>
      <c r="S20" s="764">
        <v>18.140051151691296</v>
      </c>
    </row>
    <row r="21" spans="1:19" ht="21" customHeight="1">
      <c r="A21" s="439">
        <v>2024</v>
      </c>
      <c r="B21" s="440"/>
      <c r="C21" s="1155">
        <v>7.1187508755291562E-2</v>
      </c>
      <c r="D21" s="1156">
        <v>2.1521765513803404</v>
      </c>
      <c r="E21" s="1155">
        <v>2.4762423264652726</v>
      </c>
      <c r="F21" s="1155">
        <v>2.6596763745829821</v>
      </c>
      <c r="G21" s="1157">
        <v>7.5514931265496266</v>
      </c>
      <c r="H21" s="1157">
        <v>7.3717383780402974</v>
      </c>
      <c r="I21" s="1156">
        <v>8.18285805610304</v>
      </c>
      <c r="J21" s="1156">
        <v>5.5199595961827379</v>
      </c>
      <c r="K21" s="1155">
        <v>6.965018645530785</v>
      </c>
      <c r="L21" s="1155">
        <v>7.2284532862586603</v>
      </c>
      <c r="M21" s="764">
        <v>6.3144549429983678</v>
      </c>
      <c r="N21" s="1155">
        <v>6.2113251637655731</v>
      </c>
      <c r="O21" s="1156">
        <v>5.3606651043769515</v>
      </c>
      <c r="P21" s="1155">
        <v>6.093350122649178</v>
      </c>
      <c r="Q21" s="1155">
        <v>6.0539159623782002</v>
      </c>
      <c r="R21" s="1155">
        <v>6.2433035915785213</v>
      </c>
      <c r="S21" s="764">
        <v>19.286970023009534</v>
      </c>
    </row>
    <row r="22" spans="1:19" ht="21" customHeight="1">
      <c r="A22" s="761">
        <v>2025</v>
      </c>
      <c r="B22" s="1073"/>
      <c r="C22" s="1077">
        <f t="shared" ref="C22:S22" si="0">C28</f>
        <v>7.0825249191634701E-2</v>
      </c>
      <c r="D22" s="1078">
        <f t="shared" si="0"/>
        <v>1.901619732615818</v>
      </c>
      <c r="E22" s="1077">
        <f t="shared" si="0"/>
        <v>2.3138874730217802</v>
      </c>
      <c r="F22" s="1077">
        <f t="shared" si="0"/>
        <v>2.363100685474202</v>
      </c>
      <c r="G22" s="1079">
        <f t="shared" si="0"/>
        <v>6.8133831091705677</v>
      </c>
      <c r="H22" s="1079">
        <f t="shared" si="0"/>
        <v>7.0582703639143674</v>
      </c>
      <c r="I22" s="1078">
        <f t="shared" si="0"/>
        <v>7.4329159217722767</v>
      </c>
      <c r="J22" s="1078">
        <f t="shared" si="0"/>
        <v>6.9804352173306592</v>
      </c>
      <c r="K22" s="1077">
        <f t="shared" si="0"/>
        <v>7.0691539066463154</v>
      </c>
      <c r="L22" s="1077">
        <f t="shared" si="0"/>
        <v>7.2411910467210481</v>
      </c>
      <c r="M22" s="1080">
        <f t="shared" si="0"/>
        <v>5.3084419362701949</v>
      </c>
      <c r="N22" s="1077">
        <f t="shared" si="0"/>
        <v>5.3872015900711121</v>
      </c>
      <c r="O22" s="1078">
        <f t="shared" si="0"/>
        <v>5.9343888522438233</v>
      </c>
      <c r="P22" s="1077">
        <f t="shared" si="0"/>
        <v>5.471844791684763</v>
      </c>
      <c r="Q22" s="1077">
        <f t="shared" si="0"/>
        <v>5.2391380000930559</v>
      </c>
      <c r="R22" s="1077">
        <f t="shared" si="0"/>
        <v>5.4990273949324964</v>
      </c>
      <c r="S22" s="1080">
        <f t="shared" si="0"/>
        <v>18.161846969695315</v>
      </c>
    </row>
    <row r="23" spans="1:19" ht="21" customHeight="1">
      <c r="A23" s="439">
        <v>2024</v>
      </c>
      <c r="B23" s="440" t="s">
        <v>237</v>
      </c>
      <c r="C23" s="1155">
        <v>6.4474307622687022E-2</v>
      </c>
      <c r="D23" s="1156">
        <v>2.4152066573456512</v>
      </c>
      <c r="E23" s="1155">
        <v>2.8417616019730509</v>
      </c>
      <c r="F23" s="1155">
        <v>3.1300791443375715</v>
      </c>
      <c r="G23" s="1157">
        <v>8.3155421953896962</v>
      </c>
      <c r="H23" s="1157">
        <v>7.8415177510941527</v>
      </c>
      <c r="I23" s="1156">
        <v>7.7723115090207511</v>
      </c>
      <c r="J23" s="1156">
        <v>7.6163709060080143</v>
      </c>
      <c r="K23" s="1155">
        <v>7.7505658404426772</v>
      </c>
      <c r="L23" s="1155">
        <v>7.8178180816244813</v>
      </c>
      <c r="M23" s="764">
        <v>6.0143882255297374</v>
      </c>
      <c r="N23" s="1155">
        <v>6.0616676285906284</v>
      </c>
      <c r="O23" s="1156">
        <v>6.3693682988314491</v>
      </c>
      <c r="P23" s="1155">
        <v>6.1591133583603561</v>
      </c>
      <c r="Q23" s="1155">
        <v>6.0718797925802059</v>
      </c>
      <c r="R23" s="1155">
        <v>6.2570818319298551</v>
      </c>
      <c r="S23" s="764">
        <v>19.513899516001672</v>
      </c>
    </row>
    <row r="24" spans="1:19" ht="15" customHeight="1">
      <c r="A24" s="439"/>
      <c r="B24" s="440" t="s">
        <v>238</v>
      </c>
      <c r="C24" s="1155">
        <v>7.1187508755291562E-2</v>
      </c>
      <c r="D24" s="1156">
        <v>2.1521765513803404</v>
      </c>
      <c r="E24" s="1155">
        <v>2.4762423264652726</v>
      </c>
      <c r="F24" s="1155">
        <v>2.6596763745829821</v>
      </c>
      <c r="G24" s="1157">
        <v>7.5514931265496266</v>
      </c>
      <c r="H24" s="1157">
        <v>7.3717383780402974</v>
      </c>
      <c r="I24" s="1156">
        <v>8.18285805610304</v>
      </c>
      <c r="J24" s="1156">
        <v>5.5199595961827379</v>
      </c>
      <c r="K24" s="1155">
        <v>6.965018645530785</v>
      </c>
      <c r="L24" s="1155">
        <v>7.2284532862586603</v>
      </c>
      <c r="M24" s="764">
        <v>6.3144549429983678</v>
      </c>
      <c r="N24" s="1155">
        <v>6.2113251637655731</v>
      </c>
      <c r="O24" s="1156">
        <v>5.3606651043769515</v>
      </c>
      <c r="P24" s="1155">
        <v>6.093350122649178</v>
      </c>
      <c r="Q24" s="1155">
        <v>6.0539159623782002</v>
      </c>
      <c r="R24" s="1155">
        <v>6.2433035915785213</v>
      </c>
      <c r="S24" s="764">
        <v>19.286970023009534</v>
      </c>
    </row>
    <row r="25" spans="1:19" ht="21" customHeight="1">
      <c r="A25" s="439">
        <v>2025</v>
      </c>
      <c r="B25" s="440" t="s">
        <v>239</v>
      </c>
      <c r="C25" s="1155">
        <v>7.0273680873252156E-2</v>
      </c>
      <c r="D25" s="1156">
        <v>2.1093002656926969</v>
      </c>
      <c r="E25" s="1155">
        <v>2.4383818777937942</v>
      </c>
      <c r="F25" s="1155">
        <v>2.6406241406091255</v>
      </c>
      <c r="G25" s="1157">
        <v>6.7492442318529422</v>
      </c>
      <c r="H25" s="1157">
        <v>7.1153583924193384</v>
      </c>
      <c r="I25" s="1156">
        <v>7.2057165876457274</v>
      </c>
      <c r="J25" s="1156">
        <v>5.9557732233379026</v>
      </c>
      <c r="K25" s="1155">
        <v>6.5508340488038153</v>
      </c>
      <c r="L25" s="1155">
        <v>6.7762969463412537</v>
      </c>
      <c r="M25" s="764">
        <v>4.9312288851155586</v>
      </c>
      <c r="N25" s="1155">
        <v>5.9652008195105566</v>
      </c>
      <c r="O25" s="1156">
        <v>5.1793662131629921</v>
      </c>
      <c r="P25" s="1155">
        <v>5.5020268223107056</v>
      </c>
      <c r="Q25" s="1155">
        <v>5.9100917743279684</v>
      </c>
      <c r="R25" s="1155">
        <v>5.6925117849707867</v>
      </c>
      <c r="S25" s="764">
        <v>19.555783111752344</v>
      </c>
    </row>
    <row r="26" spans="1:19" ht="15" customHeight="1">
      <c r="A26" s="439"/>
      <c r="B26" s="440" t="s">
        <v>240</v>
      </c>
      <c r="C26" s="1155">
        <v>6.998536002820778E-2</v>
      </c>
      <c r="D26" s="1156">
        <v>2.0652469040851811</v>
      </c>
      <c r="E26" s="1155">
        <v>2.5474222429589117</v>
      </c>
      <c r="F26" s="1155">
        <v>2.6837541850458515</v>
      </c>
      <c r="G26" s="1157">
        <v>7.0722419832337504</v>
      </c>
      <c r="H26" s="1157">
        <v>8.1463337928738149</v>
      </c>
      <c r="I26" s="1156">
        <v>6.0053727679715792</v>
      </c>
      <c r="J26" s="1156">
        <v>7.0664367928475373</v>
      </c>
      <c r="K26" s="1155">
        <v>6.9472610275935978</v>
      </c>
      <c r="L26" s="1155">
        <v>7.0772207334504085</v>
      </c>
      <c r="M26" s="764">
        <v>5.1292081373590213</v>
      </c>
      <c r="N26" s="1155">
        <v>5.6769390443696137</v>
      </c>
      <c r="O26" s="1156">
        <v>6.4422328346276929</v>
      </c>
      <c r="P26" s="1155">
        <v>5.2846593752654778</v>
      </c>
      <c r="Q26" s="1155">
        <v>5.7739304314997115</v>
      </c>
      <c r="R26" s="1155">
        <v>5.7642394435130537</v>
      </c>
      <c r="S26" s="764">
        <v>19.533190880820197</v>
      </c>
    </row>
    <row r="27" spans="1:19" ht="15" customHeight="1">
      <c r="A27" s="439"/>
      <c r="B27" s="440" t="s">
        <v>237</v>
      </c>
      <c r="C27" s="1155">
        <v>7.1041095499979362E-2</v>
      </c>
      <c r="D27" s="1156">
        <v>1.9810578650108477</v>
      </c>
      <c r="E27" s="1155">
        <v>2.4004020753007764</v>
      </c>
      <c r="F27" s="1155">
        <v>2.5291907588431801</v>
      </c>
      <c r="G27" s="1157">
        <v>7.7005115298605959</v>
      </c>
      <c r="H27" s="1157">
        <v>6.9251697688130944</v>
      </c>
      <c r="I27" s="1156">
        <v>6.7176618723111767</v>
      </c>
      <c r="J27" s="1156">
        <v>6.8391451127305114</v>
      </c>
      <c r="K27" s="1155">
        <v>7.0855114698477806</v>
      </c>
      <c r="L27" s="1155">
        <v>7.2975378784382583</v>
      </c>
      <c r="M27" s="764">
        <v>5.0734761224267713</v>
      </c>
      <c r="N27" s="1155">
        <v>5.7121180110710821</v>
      </c>
      <c r="O27" s="1156">
        <v>4.8357924438619246</v>
      </c>
      <c r="P27" s="1155">
        <v>5.2366551899740461</v>
      </c>
      <c r="Q27" s="1155">
        <v>5.1761365280206295</v>
      </c>
      <c r="R27" s="1155">
        <v>5.3181538001015936</v>
      </c>
      <c r="S27" s="764">
        <v>19.511887008799551</v>
      </c>
    </row>
    <row r="28" spans="1:19" ht="15" customHeight="1">
      <c r="A28" s="439"/>
      <c r="B28" s="440" t="s">
        <v>238</v>
      </c>
      <c r="C28" s="1155">
        <f t="shared" ref="C28:S28" si="1">C36</f>
        <v>7.0825249191634701E-2</v>
      </c>
      <c r="D28" s="1156">
        <f t="shared" si="1"/>
        <v>1.901619732615818</v>
      </c>
      <c r="E28" s="1155">
        <f t="shared" si="1"/>
        <v>2.3138874730217802</v>
      </c>
      <c r="F28" s="1155">
        <f t="shared" si="1"/>
        <v>2.363100685474202</v>
      </c>
      <c r="G28" s="1157">
        <f t="shared" si="1"/>
        <v>6.8133831091705677</v>
      </c>
      <c r="H28" s="1157">
        <f t="shared" si="1"/>
        <v>7.0582703639143674</v>
      </c>
      <c r="I28" s="1156">
        <f t="shared" si="1"/>
        <v>7.4329159217722767</v>
      </c>
      <c r="J28" s="1156">
        <f t="shared" si="1"/>
        <v>6.9804352173306592</v>
      </c>
      <c r="K28" s="1155">
        <f t="shared" si="1"/>
        <v>7.0691539066463154</v>
      </c>
      <c r="L28" s="1155">
        <f t="shared" si="1"/>
        <v>7.2411910467210481</v>
      </c>
      <c r="M28" s="764">
        <f t="shared" si="1"/>
        <v>5.3084419362701949</v>
      </c>
      <c r="N28" s="1155">
        <f t="shared" si="1"/>
        <v>5.3872015900711121</v>
      </c>
      <c r="O28" s="1156">
        <f t="shared" si="1"/>
        <v>5.9343888522438233</v>
      </c>
      <c r="P28" s="1155">
        <f t="shared" si="1"/>
        <v>5.471844791684763</v>
      </c>
      <c r="Q28" s="1155">
        <f t="shared" si="1"/>
        <v>5.2391380000930559</v>
      </c>
      <c r="R28" s="1155">
        <f t="shared" si="1"/>
        <v>5.4990273949324964</v>
      </c>
      <c r="S28" s="764">
        <f t="shared" si="1"/>
        <v>18.161846969695315</v>
      </c>
    </row>
    <row r="29" spans="1:19" ht="21" customHeight="1">
      <c r="A29" s="439">
        <v>2026</v>
      </c>
      <c r="B29" s="440" t="s">
        <v>239</v>
      </c>
      <c r="C29" s="1155">
        <f t="shared" ref="C29:S29" si="2">C39</f>
        <v>6.3572586890487864E-2</v>
      </c>
      <c r="D29" s="1156">
        <f t="shared" si="2"/>
        <v>1.8761719805886794</v>
      </c>
      <c r="E29" s="1155">
        <f t="shared" si="2"/>
        <v>2.2387425847975</v>
      </c>
      <c r="F29" s="1155">
        <f t="shared" si="2"/>
        <v>2.2986112318806242</v>
      </c>
      <c r="G29" s="1157">
        <f t="shared" si="2"/>
        <v>7.3718267655545944</v>
      </c>
      <c r="H29" s="1157">
        <f t="shared" si="2"/>
        <v>5.5699138820932648</v>
      </c>
      <c r="I29" s="1156">
        <f t="shared" si="2"/>
        <v>7.0329152276549038</v>
      </c>
      <c r="J29" s="1156">
        <f t="shared" si="2"/>
        <v>5.9468380654943793</v>
      </c>
      <c r="K29" s="1155">
        <f t="shared" si="2"/>
        <v>6.1783671541083018</v>
      </c>
      <c r="L29" s="1155">
        <f t="shared" si="2"/>
        <v>6.3605160414978927</v>
      </c>
      <c r="M29" s="764">
        <f t="shared" si="2"/>
        <v>4.8444622838168616</v>
      </c>
      <c r="N29" s="1155">
        <f t="shared" si="2"/>
        <v>5.0868773852680338</v>
      </c>
      <c r="O29" s="1156">
        <f t="shared" si="2"/>
        <v>5.2679304458129534</v>
      </c>
      <c r="P29" s="1155">
        <f t="shared" si="2"/>
        <v>5.1427330076851439</v>
      </c>
      <c r="Q29" s="1155">
        <f t="shared" si="2"/>
        <v>5.0989100616058751</v>
      </c>
      <c r="R29" s="1155">
        <f t="shared" si="2"/>
        <v>5.2431497216853495</v>
      </c>
      <c r="S29" s="764">
        <f t="shared" si="2"/>
        <v>19.371103833449745</v>
      </c>
    </row>
    <row r="30" spans="1:19" ht="15" customHeight="1">
      <c r="A30" s="761"/>
      <c r="B30" s="1073" t="s">
        <v>240</v>
      </c>
      <c r="C30" s="1077">
        <f t="shared" ref="C30:S30" si="3">C42</f>
        <v>6.4235893319580226E-2</v>
      </c>
      <c r="D30" s="1078">
        <f t="shared" si="3"/>
        <v>1.9982562005698665</v>
      </c>
      <c r="E30" s="1077">
        <f t="shared" si="3"/>
        <v>2.5943982085945998</v>
      </c>
      <c r="F30" s="1077">
        <f t="shared" si="3"/>
        <v>2.7469724507928692</v>
      </c>
      <c r="G30" s="1079">
        <f t="shared" si="3"/>
        <v>7.9787957570041765</v>
      </c>
      <c r="H30" s="1079">
        <f t="shared" si="3"/>
        <v>7.1762062045861015</v>
      </c>
      <c r="I30" s="1078">
        <f t="shared" si="3"/>
        <v>7.0615710830089213</v>
      </c>
      <c r="J30" s="1078">
        <f t="shared" si="3"/>
        <v>6.242546838921978</v>
      </c>
      <c r="K30" s="1077">
        <f t="shared" si="3"/>
        <v>6.456727630205787</v>
      </c>
      <c r="L30" s="1077">
        <f t="shared" si="3"/>
        <v>6.5471572718414777</v>
      </c>
      <c r="M30" s="1080">
        <f t="shared" si="3"/>
        <v>4.7700672320730719</v>
      </c>
      <c r="N30" s="1077">
        <f t="shared" si="3"/>
        <v>5.389484973982368</v>
      </c>
      <c r="O30" s="1078">
        <f t="shared" si="3"/>
        <v>4.8845236765091666</v>
      </c>
      <c r="P30" s="1077">
        <f t="shared" si="3"/>
        <v>5.0411655851656798</v>
      </c>
      <c r="Q30" s="1077">
        <f t="shared" si="3"/>
        <v>5.0999687324281906</v>
      </c>
      <c r="R30" s="1077">
        <f t="shared" si="3"/>
        <v>5.1211094079243775</v>
      </c>
      <c r="S30" s="1080">
        <f t="shared" si="3"/>
        <v>18.835632267495114</v>
      </c>
    </row>
    <row r="31" spans="1:19" ht="20.25" customHeight="1">
      <c r="A31" s="439">
        <v>2025</v>
      </c>
      <c r="B31" s="440" t="s">
        <v>420</v>
      </c>
      <c r="C31" s="1155">
        <v>6.9965295542776737E-2</v>
      </c>
      <c r="D31" s="1156">
        <v>2.0498767816047523</v>
      </c>
      <c r="E31" s="1156">
        <v>2.5280624568053378</v>
      </c>
      <c r="F31" s="1156">
        <v>2.659308140894078</v>
      </c>
      <c r="G31" s="1157">
        <v>6.9188624413689688</v>
      </c>
      <c r="H31" s="1157">
        <v>8.1036338305718321</v>
      </c>
      <c r="I31" s="1156">
        <v>6.861157246945254</v>
      </c>
      <c r="J31" s="1156">
        <v>6.8469469269436445</v>
      </c>
      <c r="K31" s="1155">
        <v>6.9620100546866039</v>
      </c>
      <c r="L31" s="1155">
        <v>7.0783245111283977</v>
      </c>
      <c r="M31" s="764">
        <v>4.9647361227345401</v>
      </c>
      <c r="N31" s="1156">
        <v>5.2638008998386869</v>
      </c>
      <c r="O31" s="1156">
        <v>5.5839412290277259</v>
      </c>
      <c r="P31" s="764">
        <v>5.3060324396765406</v>
      </c>
      <c r="Q31" s="1156">
        <v>5.3937896496784727</v>
      </c>
      <c r="R31" s="1156">
        <v>5.4183819659251515</v>
      </c>
      <c r="S31" s="764">
        <v>19.413547371908294</v>
      </c>
    </row>
    <row r="32" spans="1:19" ht="15.75" customHeight="1">
      <c r="A32" s="439"/>
      <c r="B32" s="440" t="s">
        <v>421</v>
      </c>
      <c r="C32" s="1155">
        <v>7.0252265079156273E-2</v>
      </c>
      <c r="D32" s="1156">
        <v>1.9964332694963318</v>
      </c>
      <c r="E32" s="1156">
        <v>2.4807432063697963</v>
      </c>
      <c r="F32" s="1156">
        <v>2.6218846694914939</v>
      </c>
      <c r="G32" s="1157">
        <v>7.1973008497470774</v>
      </c>
      <c r="H32" s="1157">
        <v>7.7913884616473981</v>
      </c>
      <c r="I32" s="1156">
        <v>6.5823178386870582</v>
      </c>
      <c r="J32" s="1156">
        <v>6.0202800218032211</v>
      </c>
      <c r="K32" s="1155">
        <v>6.7097405552295353</v>
      </c>
      <c r="L32" s="1155">
        <v>7.0260568045091478</v>
      </c>
      <c r="M32" s="764">
        <v>5.567522278911035</v>
      </c>
      <c r="N32" s="1156">
        <v>5.6205077848000684</v>
      </c>
      <c r="O32" s="1156">
        <v>5.2973428260331668</v>
      </c>
      <c r="P32" s="764">
        <v>5.1506930939588953</v>
      </c>
      <c r="Q32" s="1156">
        <v>5.3217789248639349</v>
      </c>
      <c r="R32" s="1156">
        <v>5.4331041715404673</v>
      </c>
      <c r="S32" s="764">
        <v>19.489806046221776</v>
      </c>
    </row>
    <row r="33" spans="1:19" ht="15.75" customHeight="1">
      <c r="A33" s="439"/>
      <c r="B33" s="440" t="s">
        <v>422</v>
      </c>
      <c r="C33" s="1155">
        <v>7.1041095499979362E-2</v>
      </c>
      <c r="D33" s="1156">
        <v>1.9810578650108477</v>
      </c>
      <c r="E33" s="1156">
        <v>2.4004020753007764</v>
      </c>
      <c r="F33" s="1156">
        <v>2.5291907588431801</v>
      </c>
      <c r="G33" s="1157">
        <v>7.7005115298605959</v>
      </c>
      <c r="H33" s="1157">
        <v>6.9251697688130944</v>
      </c>
      <c r="I33" s="1156">
        <v>6.7176618723111767</v>
      </c>
      <c r="J33" s="1156">
        <v>6.8391451127305114</v>
      </c>
      <c r="K33" s="1155">
        <v>7.0855114698477806</v>
      </c>
      <c r="L33" s="1155">
        <v>7.2975378784382583</v>
      </c>
      <c r="M33" s="764">
        <v>5.0734761224267713</v>
      </c>
      <c r="N33" s="1156">
        <v>5.7121180110710821</v>
      </c>
      <c r="O33" s="1156">
        <v>4.8357924438619246</v>
      </c>
      <c r="P33" s="764">
        <v>5.2366551899740461</v>
      </c>
      <c r="Q33" s="1156">
        <v>5.1761365280206295</v>
      </c>
      <c r="R33" s="1156">
        <v>5.3181538001015936</v>
      </c>
      <c r="S33" s="764">
        <v>19.511887008799551</v>
      </c>
    </row>
    <row r="34" spans="1:19" ht="15.75" customHeight="1">
      <c r="A34" s="439"/>
      <c r="B34" s="440" t="s">
        <v>411</v>
      </c>
      <c r="C34" s="1155">
        <v>7.0749016511049062E-2</v>
      </c>
      <c r="D34" s="1156">
        <v>1.9413204972772444</v>
      </c>
      <c r="E34" s="1156">
        <v>2.2788977397342425</v>
      </c>
      <c r="F34" s="1156">
        <v>2.3954312559420732</v>
      </c>
      <c r="G34" s="1157">
        <v>6.3542382923520142</v>
      </c>
      <c r="H34" s="1157">
        <v>7.5493777416445074</v>
      </c>
      <c r="I34" s="1156">
        <v>7.6932221537891836</v>
      </c>
      <c r="J34" s="1156">
        <v>5.8060277943705891</v>
      </c>
      <c r="K34" s="1155">
        <v>6.3443793175910326</v>
      </c>
      <c r="L34" s="1155">
        <v>6.4095847204295264</v>
      </c>
      <c r="M34" s="764">
        <v>5.5272864559014927</v>
      </c>
      <c r="N34" s="1156">
        <v>5.7643189509822825</v>
      </c>
      <c r="O34" s="1156">
        <v>4.6380474802679501</v>
      </c>
      <c r="P34" s="764">
        <v>5.2729519117562287</v>
      </c>
      <c r="Q34" s="1156">
        <v>5.0291504774318163</v>
      </c>
      <c r="R34" s="1156">
        <v>5.3611761618152913</v>
      </c>
      <c r="S34" s="764">
        <v>19.410609413768118</v>
      </c>
    </row>
    <row r="35" spans="1:19" ht="15.75" customHeight="1">
      <c r="A35" s="439"/>
      <c r="B35" s="440" t="s">
        <v>412</v>
      </c>
      <c r="C35" s="1155">
        <v>7.1008631813144124E-2</v>
      </c>
      <c r="D35" s="1156">
        <v>1.9056902144383328</v>
      </c>
      <c r="E35" s="1156">
        <v>2.2614018209685556</v>
      </c>
      <c r="F35" s="1156">
        <v>2.3499092179266263</v>
      </c>
      <c r="G35" s="1157">
        <v>7.1715188237146057</v>
      </c>
      <c r="H35" s="1157">
        <v>7.8749540383181502</v>
      </c>
      <c r="I35" s="1156">
        <v>7.2932541406482798</v>
      </c>
      <c r="J35" s="1156">
        <v>6.7058793711866729</v>
      </c>
      <c r="K35" s="1155">
        <v>7.0039181585576333</v>
      </c>
      <c r="L35" s="1155">
        <v>7.1158674161721489</v>
      </c>
      <c r="M35" s="764">
        <v>4.9629576958972246</v>
      </c>
      <c r="N35" s="1156">
        <v>5.7802789486064352</v>
      </c>
      <c r="O35" s="1156">
        <v>5.3509145550602506</v>
      </c>
      <c r="P35" s="764">
        <v>5.7472258875450528</v>
      </c>
      <c r="Q35" s="1156">
        <v>5.1550836296680949</v>
      </c>
      <c r="R35" s="1156">
        <v>5.4917500142952065</v>
      </c>
      <c r="S35" s="764">
        <v>19.003952799251881</v>
      </c>
    </row>
    <row r="36" spans="1:19" ht="15.75" customHeight="1">
      <c r="A36" s="439"/>
      <c r="B36" s="440" t="s">
        <v>413</v>
      </c>
      <c r="C36" s="1155">
        <v>7.0825249191634701E-2</v>
      </c>
      <c r="D36" s="1156">
        <v>1.901619732615818</v>
      </c>
      <c r="E36" s="1156">
        <v>2.3138874730217802</v>
      </c>
      <c r="F36" s="1156">
        <v>2.363100685474202</v>
      </c>
      <c r="G36" s="1157">
        <v>6.8133831091705677</v>
      </c>
      <c r="H36" s="1157">
        <v>7.0582703639143674</v>
      </c>
      <c r="I36" s="1156">
        <v>7.4329159217722767</v>
      </c>
      <c r="J36" s="1156">
        <v>6.9804352173306592</v>
      </c>
      <c r="K36" s="1155">
        <v>7.0691539066463154</v>
      </c>
      <c r="L36" s="1155">
        <v>7.2411910467210481</v>
      </c>
      <c r="M36" s="764">
        <v>5.3084419362701949</v>
      </c>
      <c r="N36" s="1156">
        <v>5.3872015900711121</v>
      </c>
      <c r="O36" s="1156">
        <v>5.9343888522438233</v>
      </c>
      <c r="P36" s="764">
        <v>5.471844791684763</v>
      </c>
      <c r="Q36" s="1156">
        <v>5.2391380000930559</v>
      </c>
      <c r="R36" s="1156">
        <v>5.4990273949324964</v>
      </c>
      <c r="S36" s="764">
        <v>18.161846969695315</v>
      </c>
    </row>
    <row r="37" spans="1:19" ht="15.75" customHeight="1">
      <c r="A37" s="439">
        <v>2026</v>
      </c>
      <c r="B37" s="440" t="s">
        <v>414</v>
      </c>
      <c r="C37" s="1155">
        <v>7.0741167769630658E-2</v>
      </c>
      <c r="D37" s="1156">
        <v>1.8785699025460101</v>
      </c>
      <c r="E37" s="1156">
        <v>2.2622727508594709</v>
      </c>
      <c r="F37" s="1156">
        <v>2.3422506501438929</v>
      </c>
      <c r="G37" s="1157">
        <v>6.5227291408816139</v>
      </c>
      <c r="H37" s="1157">
        <v>7.0636857654352534</v>
      </c>
      <c r="I37" s="1156">
        <v>7.4726611652286206</v>
      </c>
      <c r="J37" s="1156">
        <v>6.6633540704884959</v>
      </c>
      <c r="K37" s="1155">
        <v>6.590715614912348</v>
      </c>
      <c r="L37" s="1155">
        <v>6.6204693259291743</v>
      </c>
      <c r="M37" s="764">
        <v>5.1446024795886887</v>
      </c>
      <c r="N37" s="1156">
        <v>5.982346349999152</v>
      </c>
      <c r="O37" s="1156">
        <v>5.3889601860452414</v>
      </c>
      <c r="P37" s="764">
        <v>5.7982406747327113</v>
      </c>
      <c r="Q37" s="1156">
        <v>5.1558749022093666</v>
      </c>
      <c r="R37" s="1156">
        <v>5.5337543255699222</v>
      </c>
      <c r="S37" s="764">
        <v>18.815808258004314</v>
      </c>
    </row>
    <row r="38" spans="1:19" ht="15.75" customHeight="1">
      <c r="A38" s="439"/>
      <c r="B38" s="440" t="s">
        <v>415</v>
      </c>
      <c r="C38" s="1155">
        <v>7.0279270177912648E-2</v>
      </c>
      <c r="D38" s="1156">
        <v>1.8602897977653983</v>
      </c>
      <c r="E38" s="1156">
        <v>2.2539322629636542</v>
      </c>
      <c r="F38" s="1156">
        <v>2.2856083172751251</v>
      </c>
      <c r="G38" s="1157">
        <v>7.0174531520775334</v>
      </c>
      <c r="H38" s="1157">
        <v>6.7937383988460418</v>
      </c>
      <c r="I38" s="1156">
        <v>7.4669773348196884</v>
      </c>
      <c r="J38" s="1156">
        <v>6.7252055925354046</v>
      </c>
      <c r="K38" s="1155">
        <v>6.9763126343367494</v>
      </c>
      <c r="L38" s="1155">
        <v>7.063679680160682</v>
      </c>
      <c r="M38" s="764">
        <v>5.8309296693861681</v>
      </c>
      <c r="N38" s="1156">
        <v>5.3596768626612468</v>
      </c>
      <c r="O38" s="1156">
        <v>4.9668230521095396</v>
      </c>
      <c r="P38" s="764">
        <v>5.530127962584884</v>
      </c>
      <c r="Q38" s="1156">
        <v>5.0688739946768466</v>
      </c>
      <c r="R38" s="1156">
        <v>5.4692473065215248</v>
      </c>
      <c r="S38" s="764">
        <v>18.882805536909665</v>
      </c>
    </row>
    <row r="39" spans="1:19" ht="15.75" customHeight="1">
      <c r="A39" s="439"/>
      <c r="B39" s="440" t="s">
        <v>416</v>
      </c>
      <c r="C39" s="1155">
        <v>6.3572586890487864E-2</v>
      </c>
      <c r="D39" s="1156">
        <v>1.8761719805886794</v>
      </c>
      <c r="E39" s="1156">
        <v>2.2387425847975</v>
      </c>
      <c r="F39" s="1156">
        <v>2.2986112318806242</v>
      </c>
      <c r="G39" s="1157">
        <v>7.3718267655545944</v>
      </c>
      <c r="H39" s="1157">
        <v>5.5699138820932648</v>
      </c>
      <c r="I39" s="1156">
        <v>7.0329152276549038</v>
      </c>
      <c r="J39" s="1156">
        <v>5.9468380654943793</v>
      </c>
      <c r="K39" s="1155">
        <v>6.1783671541083018</v>
      </c>
      <c r="L39" s="1155">
        <v>6.3605160414978927</v>
      </c>
      <c r="M39" s="764">
        <v>4.8444622838168616</v>
      </c>
      <c r="N39" s="1156">
        <v>5.0868773852680338</v>
      </c>
      <c r="O39" s="1156">
        <v>5.2679304458129534</v>
      </c>
      <c r="P39" s="764">
        <v>5.1427330076851439</v>
      </c>
      <c r="Q39" s="1156">
        <v>5.0989100616058751</v>
      </c>
      <c r="R39" s="1156">
        <v>5.2431497216853495</v>
      </c>
      <c r="S39" s="764">
        <v>19.371103833449745</v>
      </c>
    </row>
    <row r="40" spans="1:19" ht="15.75" customHeight="1">
      <c r="A40" s="439"/>
      <c r="B40" s="440" t="s">
        <v>417</v>
      </c>
      <c r="C40" s="1155">
        <v>6.4351641691984776E-2</v>
      </c>
      <c r="D40" s="1156">
        <v>2.2179539668825217</v>
      </c>
      <c r="E40" s="1156">
        <v>2.6483560609920098</v>
      </c>
      <c r="F40" s="1156">
        <v>2.7072130102667655</v>
      </c>
      <c r="G40" s="1157">
        <v>6.5215166893163019</v>
      </c>
      <c r="H40" s="1157">
        <v>6.6684476115029945</v>
      </c>
      <c r="I40" s="1156">
        <v>7.1997731473034765</v>
      </c>
      <c r="J40" s="1156">
        <v>6.1183728798842907</v>
      </c>
      <c r="K40" s="1155">
        <v>6.4886355825022317</v>
      </c>
      <c r="L40" s="1155">
        <v>6.5566394767061649</v>
      </c>
      <c r="M40" s="764">
        <v>5.3065457214564073</v>
      </c>
      <c r="N40" s="1156">
        <v>6.7583827239402154</v>
      </c>
      <c r="O40" s="1156">
        <v>5.5038324402662324</v>
      </c>
      <c r="P40" s="764">
        <v>5.1137210016018972</v>
      </c>
      <c r="Q40" s="1156">
        <v>5.0994446639349622</v>
      </c>
      <c r="R40" s="1156">
        <v>5.3995217913437923</v>
      </c>
      <c r="S40" s="764">
        <v>19.398732102766363</v>
      </c>
    </row>
    <row r="41" spans="1:19" ht="15.75" customHeight="1">
      <c r="A41" s="439"/>
      <c r="B41" s="440" t="s">
        <v>418</v>
      </c>
      <c r="C41" s="1155">
        <v>6.4814201563200322E-2</v>
      </c>
      <c r="D41" s="1156">
        <v>1.9917946435688325</v>
      </c>
      <c r="E41" s="1156">
        <v>2.5720260592019737</v>
      </c>
      <c r="F41" s="1156">
        <v>2.7256404834306815</v>
      </c>
      <c r="G41" s="1157">
        <v>7.4674272207607908</v>
      </c>
      <c r="H41" s="1157">
        <v>4.0956258201112741</v>
      </c>
      <c r="I41" s="1156">
        <v>6.9216986531949303</v>
      </c>
      <c r="J41" s="1156">
        <v>6.9295477551333304</v>
      </c>
      <c r="K41" s="1155">
        <v>6.408576124798933</v>
      </c>
      <c r="L41" s="1155">
        <v>6.6221992686712747</v>
      </c>
      <c r="M41" s="764">
        <v>4.8717464923463059</v>
      </c>
      <c r="N41" s="1156">
        <v>4.9820058732963464</v>
      </c>
      <c r="O41" s="1156">
        <v>5.487847121342174</v>
      </c>
      <c r="P41" s="764">
        <v>4.8048374529436142</v>
      </c>
      <c r="Q41" s="1156">
        <v>5.3067489000751573</v>
      </c>
      <c r="R41" s="1156">
        <v>5.2444235808297881</v>
      </c>
      <c r="S41" s="764">
        <v>18.639447135392828</v>
      </c>
    </row>
    <row r="42" spans="1:19" ht="15.75" customHeight="1">
      <c r="A42" s="439"/>
      <c r="B42" s="440" t="s">
        <v>419</v>
      </c>
      <c r="C42" s="1155">
        <v>6.4235893319580226E-2</v>
      </c>
      <c r="D42" s="1156">
        <v>1.9982562005698665</v>
      </c>
      <c r="E42" s="1156">
        <v>2.5943982085945998</v>
      </c>
      <c r="F42" s="1156">
        <v>2.7469724507928692</v>
      </c>
      <c r="G42" s="1157">
        <v>7.9787957570041765</v>
      </c>
      <c r="H42" s="1157">
        <v>7.1762062045861015</v>
      </c>
      <c r="I42" s="1156">
        <v>7.0615710830089213</v>
      </c>
      <c r="J42" s="1156">
        <v>6.242546838921978</v>
      </c>
      <c r="K42" s="1155">
        <v>6.456727630205787</v>
      </c>
      <c r="L42" s="1155">
        <v>6.5471572718414777</v>
      </c>
      <c r="M42" s="764">
        <v>4.7700672320730719</v>
      </c>
      <c r="N42" s="1156">
        <v>5.389484973982368</v>
      </c>
      <c r="O42" s="1156">
        <v>4.8845236765091666</v>
      </c>
      <c r="P42" s="764">
        <v>5.0411655851656798</v>
      </c>
      <c r="Q42" s="1156">
        <v>5.0999687324281906</v>
      </c>
      <c r="R42" s="1156">
        <v>5.1211094079243775</v>
      </c>
      <c r="S42" s="764">
        <v>18.835632267495114</v>
      </c>
    </row>
    <row r="43" spans="1:19" ht="15.75" customHeight="1">
      <c r="A43" s="439"/>
      <c r="B43" s="440" t="s">
        <v>420</v>
      </c>
      <c r="C43" s="1155">
        <v>6.4301171766532467E-2</v>
      </c>
      <c r="D43" s="1156">
        <v>1.9907403329758364</v>
      </c>
      <c r="E43" s="1156">
        <v>2.6102687909570115</v>
      </c>
      <c r="F43" s="1156">
        <v>2.731144692128654</v>
      </c>
      <c r="G43" s="1157">
        <v>7.5412048731965786</v>
      </c>
      <c r="H43" s="1157">
        <v>7.3951562494089549</v>
      </c>
      <c r="I43" s="1156">
        <v>7.2644846648995589</v>
      </c>
      <c r="J43" s="1156">
        <v>6.242549130627717</v>
      </c>
      <c r="K43" s="1155">
        <v>7.1980640188029659</v>
      </c>
      <c r="L43" s="1155">
        <v>7.1737444201610483</v>
      </c>
      <c r="M43" s="764">
        <v>5.1631409221201645</v>
      </c>
      <c r="N43" s="1156">
        <v>5.4658751478965995</v>
      </c>
      <c r="O43" s="1156">
        <v>5.5170939159706229</v>
      </c>
      <c r="P43" s="764">
        <v>5.0565191884822536</v>
      </c>
      <c r="Q43" s="1156">
        <v>5.2712074346118172</v>
      </c>
      <c r="R43" s="1156">
        <v>5.3140051442753009</v>
      </c>
      <c r="S43" s="764">
        <v>18.817263933672557</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863"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c r="H47" s="413"/>
      <c r="I47" s="413"/>
      <c r="J47" s="413"/>
      <c r="K47" s="413"/>
      <c r="L47" s="414"/>
      <c r="M47" s="413"/>
      <c r="N47" s="413"/>
      <c r="O47" s="413"/>
      <c r="S47" s="1097"/>
    </row>
    <row r="48" spans="1:19" s="416" customFormat="1">
      <c r="A48" s="148"/>
      <c r="H48" s="413"/>
      <c r="I48" s="413"/>
      <c r="J48" s="413"/>
      <c r="K48" s="413"/>
      <c r="L48" s="414"/>
      <c r="M48" s="413"/>
      <c r="N48" s="413"/>
      <c r="O48" s="413"/>
      <c r="S48" s="1097"/>
    </row>
    <row r="49" spans="1:19">
      <c r="A49" s="387" t="s">
        <v>662</v>
      </c>
      <c r="B49" s="387"/>
      <c r="C49" s="387"/>
      <c r="D49" s="387"/>
      <c r="E49" s="387"/>
      <c r="F49" s="387"/>
      <c r="G49" s="387"/>
      <c r="H49" s="387"/>
      <c r="I49" s="387"/>
      <c r="J49" s="387"/>
      <c r="K49" s="387"/>
      <c r="L49" s="387"/>
      <c r="M49" s="387"/>
      <c r="N49" s="387"/>
      <c r="O49" s="387"/>
      <c r="P49" s="387"/>
      <c r="Q49" s="387"/>
      <c r="R49" s="387"/>
      <c r="S49" s="387"/>
    </row>
    <row r="50" spans="1:19" ht="14.85" customHeight="1">
      <c r="C50" s="443"/>
      <c r="D50" s="443"/>
      <c r="E50" s="443"/>
      <c r="F50" s="443"/>
      <c r="G50" s="443"/>
      <c r="H50" s="443"/>
      <c r="I50" s="443"/>
      <c r="J50" s="443"/>
      <c r="K50" s="443"/>
      <c r="L50" s="443"/>
      <c r="M50" s="443"/>
      <c r="N50" s="443"/>
      <c r="O50" s="443"/>
      <c r="P50" s="443"/>
      <c r="Q50" s="443"/>
      <c r="R50" s="443"/>
      <c r="S50" s="443"/>
    </row>
    <row r="51" spans="1:19" ht="14.85" customHeight="1">
      <c r="G51" s="443"/>
      <c r="H51" s="443"/>
      <c r="I51" s="443"/>
      <c r="J51" s="443"/>
      <c r="K51" s="443"/>
      <c r="L51" s="443"/>
      <c r="M51" s="443"/>
      <c r="N51" s="443"/>
      <c r="O51" s="443"/>
      <c r="P51" s="443"/>
      <c r="Q51" s="443"/>
      <c r="R51" s="443"/>
      <c r="S51" s="443"/>
    </row>
    <row r="52" spans="1:19" ht="14.85" customHeight="1"/>
  </sheetData>
  <mergeCells count="1">
    <mergeCell ref="A9:B11"/>
  </mergeCells>
  <printOptions horizontalCentered="1" verticalCentered="1"/>
  <pageMargins left="0" right="0" top="0" bottom="0" header="0.3" footer="0.3"/>
  <pageSetup paperSize="9"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3"/>
  <sheetViews>
    <sheetView zoomScale="70" zoomScaleNormal="70" workbookViewId="0">
      <pane ySplit="8" topLeftCell="A9" activePane="bottomLeft" state="frozen"/>
      <selection activeCell="B2" sqref="B2"/>
      <selection pane="bottomLeft" activeCell="B2" sqref="B2"/>
    </sheetView>
  </sheetViews>
  <sheetFormatPr defaultColWidth="9.21875" defaultRowHeight="15"/>
  <cols>
    <col min="1" max="1" width="38.77734375" style="148" customWidth="1"/>
    <col min="2" max="3" width="16.77734375" style="148" customWidth="1"/>
    <col min="4" max="4" width="14.21875" style="148" customWidth="1"/>
    <col min="5" max="5" width="13.44140625" style="148" customWidth="1"/>
    <col min="6" max="6" width="14.21875" style="148" customWidth="1"/>
    <col min="7" max="7" width="14.44140625" style="148" customWidth="1"/>
    <col min="8" max="8" width="14.77734375" style="148" customWidth="1"/>
    <col min="9" max="9" width="10.77734375" style="148" customWidth="1"/>
    <col min="10" max="10" width="12.44140625" style="148" customWidth="1"/>
    <col min="11" max="11" width="15.77734375" style="148" customWidth="1"/>
    <col min="12" max="14" width="10.77734375" style="148" customWidth="1"/>
    <col min="15" max="15" width="32.77734375" style="148" customWidth="1"/>
    <col min="16" max="16384" width="9.21875" style="148"/>
  </cols>
  <sheetData>
    <row r="1" spans="1:16" s="416" customFormat="1" ht="17.399999999999999">
      <c r="A1" s="277" t="s">
        <v>1774</v>
      </c>
      <c r="B1" s="387"/>
      <c r="C1" s="387"/>
      <c r="D1" s="387"/>
      <c r="E1" s="387"/>
      <c r="F1" s="387"/>
      <c r="G1" s="387"/>
      <c r="H1" s="387"/>
      <c r="I1" s="387"/>
      <c r="J1" s="387"/>
      <c r="K1" s="387"/>
      <c r="L1" s="387"/>
      <c r="M1" s="387"/>
      <c r="N1" s="387"/>
      <c r="O1" s="387"/>
    </row>
    <row r="2" spans="1:16" s="1954" customFormat="1" ht="21.75" customHeight="1">
      <c r="A2" s="1405" t="s">
        <v>1775</v>
      </c>
      <c r="B2" s="1953"/>
      <c r="C2" s="1953"/>
      <c r="D2" s="1953"/>
      <c r="E2" s="1953"/>
      <c r="F2" s="1953"/>
      <c r="G2" s="1953"/>
      <c r="H2" s="1953"/>
      <c r="I2" s="1953"/>
      <c r="J2" s="1953"/>
      <c r="K2" s="1953"/>
      <c r="L2" s="1953"/>
      <c r="M2" s="1953"/>
      <c r="N2" s="1953"/>
      <c r="O2" s="1953"/>
    </row>
    <row r="3" spans="1:16" s="416" customFormat="1" ht="17.399999999999999">
      <c r="A3" s="277" t="s">
        <v>1776</v>
      </c>
      <c r="B3" s="387"/>
      <c r="C3" s="387"/>
      <c r="D3" s="387"/>
      <c r="E3" s="387"/>
      <c r="F3" s="387"/>
      <c r="G3" s="387"/>
      <c r="H3" s="387"/>
      <c r="I3" s="387"/>
      <c r="J3" s="387"/>
      <c r="K3" s="387"/>
      <c r="L3" s="387"/>
      <c r="M3" s="387"/>
      <c r="N3" s="387"/>
      <c r="O3" s="387"/>
    </row>
    <row r="4" spans="1:16" s="416" customFormat="1" ht="14.25" customHeight="1">
      <c r="A4" s="1955" t="s">
        <v>552</v>
      </c>
      <c r="B4" s="415"/>
      <c r="C4" s="415"/>
      <c r="D4" s="415"/>
      <c r="E4" s="415"/>
      <c r="F4" s="415"/>
      <c r="O4" s="1956" t="s">
        <v>553</v>
      </c>
    </row>
    <row r="5" spans="1:16" s="161" customFormat="1" ht="23.85" customHeight="1">
      <c r="A5" s="1438" t="s">
        <v>405</v>
      </c>
      <c r="B5" s="1957" t="s">
        <v>602</v>
      </c>
      <c r="C5" s="160"/>
      <c r="D5" s="423"/>
      <c r="E5" s="423"/>
      <c r="F5" s="160"/>
      <c r="G5" s="1958" t="s">
        <v>603</v>
      </c>
      <c r="H5" s="1957" t="s">
        <v>604</v>
      </c>
      <c r="I5" s="425"/>
      <c r="J5" s="425"/>
      <c r="K5" s="174"/>
      <c r="L5" s="426"/>
      <c r="M5" s="426"/>
      <c r="N5" s="1958" t="s">
        <v>605</v>
      </c>
      <c r="O5" s="1959" t="s">
        <v>431</v>
      </c>
    </row>
    <row r="6" spans="1:16" s="404" customFormat="1" ht="20.25" customHeight="1">
      <c r="A6" s="1443"/>
      <c r="B6" s="1960"/>
      <c r="C6" s="430"/>
      <c r="D6" s="430"/>
      <c r="E6" s="430"/>
      <c r="F6" s="1961"/>
      <c r="G6" s="1962"/>
      <c r="H6" s="431" t="s">
        <v>561</v>
      </c>
      <c r="I6" s="181"/>
      <c r="J6" s="181"/>
      <c r="K6" s="424" t="s">
        <v>562</v>
      </c>
      <c r="L6" s="588"/>
      <c r="N6" s="432"/>
      <c r="O6" s="1963"/>
    </row>
    <row r="7" spans="1:16" s="404" customFormat="1" ht="31.2">
      <c r="A7" s="1443"/>
      <c r="B7" s="433" t="s">
        <v>567</v>
      </c>
      <c r="C7" s="435" t="s">
        <v>568</v>
      </c>
      <c r="D7" s="435" t="s">
        <v>569</v>
      </c>
      <c r="E7" s="435" t="s">
        <v>391</v>
      </c>
      <c r="F7" s="435" t="s">
        <v>382</v>
      </c>
      <c r="G7" s="435" t="s">
        <v>606</v>
      </c>
      <c r="H7" s="1962" t="s">
        <v>572</v>
      </c>
      <c r="I7" s="435" t="s">
        <v>573</v>
      </c>
      <c r="J7" s="435" t="s">
        <v>574</v>
      </c>
      <c r="K7" s="435" t="s">
        <v>575</v>
      </c>
      <c r="L7" s="435" t="s">
        <v>391</v>
      </c>
      <c r="M7" s="435" t="s">
        <v>382</v>
      </c>
      <c r="N7" s="435" t="s">
        <v>576</v>
      </c>
      <c r="O7" s="1963"/>
    </row>
    <row r="8" spans="1:16" s="404" customFormat="1" ht="46.8">
      <c r="A8" s="1446"/>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964"/>
      <c r="P8" s="438"/>
    </row>
    <row r="9" spans="1:16" ht="33.75" customHeight="1">
      <c r="A9" s="1965" t="s">
        <v>663</v>
      </c>
      <c r="B9" s="1966">
        <v>7.5</v>
      </c>
      <c r="C9" s="1156">
        <v>8.5</v>
      </c>
      <c r="D9" s="1966">
        <v>7.472008559271309</v>
      </c>
      <c r="E9" s="1966">
        <v>5.5075219214515618</v>
      </c>
      <c r="F9" s="1966">
        <v>5.7114231795207164</v>
      </c>
      <c r="G9" s="1966" t="s">
        <v>592</v>
      </c>
      <c r="H9" s="1966">
        <v>5.4247590135286554</v>
      </c>
      <c r="I9" s="1966" t="s">
        <v>592</v>
      </c>
      <c r="J9" s="1966" t="s">
        <v>592</v>
      </c>
      <c r="K9" s="1966">
        <v>4.8331239241475528</v>
      </c>
      <c r="L9" s="1966" t="s">
        <v>592</v>
      </c>
      <c r="M9" s="1966">
        <v>8.9001990003708862</v>
      </c>
      <c r="N9" s="1966">
        <v>19.5</v>
      </c>
      <c r="O9" s="1967" t="s">
        <v>664</v>
      </c>
    </row>
    <row r="10" spans="1:16" ht="21" customHeight="1">
      <c r="A10" s="1965" t="s">
        <v>665</v>
      </c>
      <c r="B10" s="1966">
        <v>7.3824878579480577</v>
      </c>
      <c r="C10" s="1966">
        <v>6.6871632912056178</v>
      </c>
      <c r="D10" s="1966">
        <v>6.9828845685759795</v>
      </c>
      <c r="E10" s="1966">
        <v>6.3086544356191716</v>
      </c>
      <c r="F10" s="1966">
        <v>7.0744437588775897</v>
      </c>
      <c r="G10" s="1966" t="s">
        <v>592</v>
      </c>
      <c r="H10" s="1966">
        <v>5.236093833525242</v>
      </c>
      <c r="I10" s="1966">
        <v>4.9736635262346685</v>
      </c>
      <c r="J10" s="1966">
        <v>5.6303435347671407</v>
      </c>
      <c r="K10" s="1966">
        <v>3.9344540361497211</v>
      </c>
      <c r="L10" s="1966">
        <v>5.1947553484754545</v>
      </c>
      <c r="M10" s="1966">
        <v>5.1818998261277791</v>
      </c>
      <c r="N10" s="1966">
        <v>18.061031680424893</v>
      </c>
      <c r="O10" s="1967" t="s">
        <v>666</v>
      </c>
    </row>
    <row r="11" spans="1:16" ht="21" customHeight="1">
      <c r="A11" s="1968" t="s">
        <v>667</v>
      </c>
      <c r="B11" s="1966">
        <v>7.6671873377938971</v>
      </c>
      <c r="C11" s="1966">
        <v>7.8903823844028667</v>
      </c>
      <c r="D11" s="1966">
        <v>7.5971572851205815</v>
      </c>
      <c r="E11" s="1966">
        <v>6.8742807222272289</v>
      </c>
      <c r="F11" s="1966">
        <v>7.5946455760055152</v>
      </c>
      <c r="G11" s="1966">
        <v>7.0222929936305736</v>
      </c>
      <c r="H11" s="1966">
        <v>6.177077809657475</v>
      </c>
      <c r="I11" s="1966">
        <v>4.5</v>
      </c>
      <c r="J11" s="1966">
        <v>3.8388563313086363</v>
      </c>
      <c r="K11" s="1966">
        <v>4.7629985531352652</v>
      </c>
      <c r="L11" s="1966">
        <v>6.5</v>
      </c>
      <c r="M11" s="1966">
        <v>5.344982648296984</v>
      </c>
      <c r="N11" s="1966">
        <v>19.5</v>
      </c>
      <c r="O11" s="1967" t="s">
        <v>668</v>
      </c>
    </row>
    <row r="12" spans="1:16" ht="21.3" customHeight="1">
      <c r="A12" s="1968" t="s">
        <v>669</v>
      </c>
      <c r="B12" s="1966">
        <v>7.5</v>
      </c>
      <c r="C12" s="1966">
        <v>7.1506024096385534</v>
      </c>
      <c r="D12" s="1966">
        <v>6.5401723007772254</v>
      </c>
      <c r="E12" s="1966">
        <v>8.1401880571498353</v>
      </c>
      <c r="F12" s="1966">
        <v>7.2485108887580925</v>
      </c>
      <c r="G12" s="1966" t="s">
        <v>592</v>
      </c>
      <c r="H12" s="1966" t="s">
        <v>592</v>
      </c>
      <c r="I12" s="1966" t="s">
        <v>592</v>
      </c>
      <c r="J12" s="1966" t="s">
        <v>592</v>
      </c>
      <c r="K12" s="1966" t="s">
        <v>592</v>
      </c>
      <c r="L12" s="1966" t="s">
        <v>592</v>
      </c>
      <c r="M12" s="1966" t="s">
        <v>592</v>
      </c>
      <c r="N12" s="1966" t="s">
        <v>592</v>
      </c>
      <c r="O12" s="1967" t="s">
        <v>670</v>
      </c>
    </row>
    <row r="13" spans="1:16" ht="21.3" customHeight="1">
      <c r="A13" s="1968" t="s">
        <v>671</v>
      </c>
      <c r="B13" s="1966">
        <v>7.4999999999999991</v>
      </c>
      <c r="C13" s="1966" t="s">
        <v>592</v>
      </c>
      <c r="D13" s="1966">
        <v>7.4004100262052894</v>
      </c>
      <c r="E13" s="1966">
        <v>7.0103718006759426</v>
      </c>
      <c r="F13" s="1966">
        <v>7.1155272260791342</v>
      </c>
      <c r="G13" s="1966">
        <v>7.0411302053111138</v>
      </c>
      <c r="H13" s="1966">
        <v>4.7368746548349225</v>
      </c>
      <c r="I13" s="1966">
        <v>5.313536422430718</v>
      </c>
      <c r="J13" s="1966">
        <v>5.4179668042897644</v>
      </c>
      <c r="K13" s="1966">
        <v>4.5897135804108462</v>
      </c>
      <c r="L13" s="1966" t="s">
        <v>592</v>
      </c>
      <c r="M13" s="1966">
        <v>5.0267636502606683</v>
      </c>
      <c r="N13" s="1966">
        <v>11.5</v>
      </c>
      <c r="O13" s="1967" t="s">
        <v>672</v>
      </c>
    </row>
    <row r="14" spans="1:16" ht="21.3" customHeight="1">
      <c r="A14" s="1968" t="s">
        <v>673</v>
      </c>
      <c r="B14" s="1966">
        <v>8.5</v>
      </c>
      <c r="C14" s="1966">
        <v>9.4496404526537958</v>
      </c>
      <c r="D14" s="1966">
        <v>7.7083830406766767</v>
      </c>
      <c r="E14" s="1966">
        <v>6.8034486814831245</v>
      </c>
      <c r="F14" s="1966">
        <v>7.9044162502127593</v>
      </c>
      <c r="G14" s="1966">
        <v>7.8108108108108105</v>
      </c>
      <c r="H14" s="1966">
        <v>4.4602921592244984</v>
      </c>
      <c r="I14" s="1966">
        <v>6.684753545007367</v>
      </c>
      <c r="J14" s="1966" t="s">
        <v>592</v>
      </c>
      <c r="K14" s="1966">
        <v>5.4463076193292448</v>
      </c>
      <c r="L14" s="1966">
        <v>13.545521794050979</v>
      </c>
      <c r="M14" s="1966">
        <v>5.5042437662639587</v>
      </c>
      <c r="N14" s="1966">
        <v>21.977078054495514</v>
      </c>
      <c r="O14" s="1967" t="s">
        <v>674</v>
      </c>
    </row>
    <row r="15" spans="1:16" s="164" customFormat="1" ht="30.3" customHeight="1">
      <c r="A15" s="1969" t="s">
        <v>648</v>
      </c>
      <c r="B15" s="1970">
        <v>7.5412048731965786</v>
      </c>
      <c r="C15" s="1970">
        <v>7.3951562494089549</v>
      </c>
      <c r="D15" s="1970">
        <v>7.2644846648995589</v>
      </c>
      <c r="E15" s="1970">
        <v>6.242549130627717</v>
      </c>
      <c r="F15" s="1970">
        <v>7.1980640188029659</v>
      </c>
      <c r="G15" s="1970">
        <v>7.0884999248263725</v>
      </c>
      <c r="H15" s="1970">
        <v>5.1631409221201645</v>
      </c>
      <c r="I15" s="1970">
        <v>5.4658751478965995</v>
      </c>
      <c r="J15" s="1970">
        <v>5.5170939159706229</v>
      </c>
      <c r="K15" s="1970">
        <v>5.0565191884822536</v>
      </c>
      <c r="L15" s="1970">
        <v>5.2712074346118172</v>
      </c>
      <c r="M15" s="1970">
        <v>5.3140051442753009</v>
      </c>
      <c r="N15" s="1970">
        <v>18.817263933672557</v>
      </c>
      <c r="O15" s="1971" t="s">
        <v>649</v>
      </c>
    </row>
    <row r="16" spans="1:16" s="306" customFormat="1" ht="20.25" customHeight="1">
      <c r="A16" s="253" t="s">
        <v>675</v>
      </c>
      <c r="B16" s="253"/>
      <c r="C16" s="253"/>
      <c r="D16" s="253"/>
      <c r="E16" s="253"/>
      <c r="F16" s="253"/>
      <c r="G16" s="253"/>
      <c r="H16" s="253"/>
      <c r="I16" s="253"/>
      <c r="J16" s="253"/>
      <c r="K16" s="253"/>
      <c r="L16" s="253"/>
      <c r="M16" s="253"/>
      <c r="N16" s="253"/>
      <c r="O16" s="1863" t="s">
        <v>676</v>
      </c>
    </row>
    <row r="17" spans="1:15" s="306" customFormat="1" ht="14.25" customHeight="1">
      <c r="A17" s="306" t="s">
        <v>652</v>
      </c>
      <c r="O17" s="305" t="s">
        <v>677</v>
      </c>
    </row>
    <row r="18" spans="1:15" s="306" customFormat="1" ht="14.25" customHeight="1">
      <c r="A18" s="306" t="s">
        <v>654</v>
      </c>
      <c r="F18" s="321"/>
      <c r="G18" s="321"/>
      <c r="O18" s="305" t="s">
        <v>655</v>
      </c>
    </row>
    <row r="19" spans="1:15" s="306" customFormat="1" ht="13.8">
      <c r="A19" s="306" t="s">
        <v>656</v>
      </c>
      <c r="O19" s="305" t="s">
        <v>657</v>
      </c>
    </row>
    <row r="20" spans="1:15" s="306" customFormat="1" ht="14.25" customHeight="1">
      <c r="A20" s="306" t="s">
        <v>658</v>
      </c>
      <c r="D20" s="441"/>
      <c r="E20" s="441"/>
      <c r="F20" s="442"/>
      <c r="G20" s="321"/>
      <c r="O20" s="305" t="s">
        <v>659</v>
      </c>
    </row>
    <row r="21" spans="1:15">
      <c r="B21" s="443"/>
      <c r="C21" s="443"/>
      <c r="D21" s="443"/>
      <c r="E21" s="443"/>
      <c r="F21" s="443"/>
      <c r="G21" s="443"/>
      <c r="H21" s="443"/>
      <c r="I21" s="443"/>
      <c r="J21" s="443"/>
      <c r="K21" s="443"/>
      <c r="L21" s="443"/>
      <c r="M21" s="443"/>
      <c r="N21" s="443"/>
    </row>
    <row r="22" spans="1:15">
      <c r="B22" s="443"/>
      <c r="C22" s="443"/>
      <c r="D22" s="443"/>
      <c r="E22" s="443"/>
      <c r="F22" s="443"/>
      <c r="G22" s="443"/>
      <c r="H22" s="443"/>
      <c r="I22" s="443"/>
      <c r="J22" s="443"/>
      <c r="K22" s="443"/>
      <c r="L22" s="443"/>
      <c r="M22" s="443"/>
      <c r="N22" s="443"/>
    </row>
    <row r="23" spans="1:15" ht="16.8">
      <c r="A23" s="1972" t="s">
        <v>678</v>
      </c>
      <c r="B23" s="387"/>
      <c r="C23" s="387"/>
      <c r="D23" s="387"/>
      <c r="E23" s="387"/>
      <c r="F23" s="387"/>
      <c r="G23" s="387"/>
      <c r="H23" s="387"/>
      <c r="I23" s="387"/>
      <c r="J23" s="387"/>
      <c r="K23" s="387"/>
      <c r="L23" s="387"/>
      <c r="M23" s="387"/>
      <c r="N23" s="387"/>
      <c r="O23" s="387"/>
    </row>
  </sheetData>
  <mergeCells count="2">
    <mergeCell ref="A5:A8"/>
    <mergeCell ref="O5:O8"/>
  </mergeCells>
  <printOptions horizontalCentered="1" verticalCentered="1"/>
  <pageMargins left="0" right="0" top="0" bottom="0" header="0.3" footer="0.3"/>
  <pageSetup paperSize="9" scale="5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dimension ref="A1:G76"/>
  <sheetViews>
    <sheetView zoomScale="79" zoomScaleNormal="79" workbookViewId="0">
      <pane ySplit="11" topLeftCell="A60" activePane="bottomLeft" state="frozen"/>
      <selection activeCell="B2" sqref="B2"/>
      <selection pane="bottomLeft" activeCell="B2" sqref="B2"/>
    </sheetView>
  </sheetViews>
  <sheetFormatPr defaultColWidth="9.21875" defaultRowHeight="13.2"/>
  <cols>
    <col min="1" max="1" width="18.77734375" style="445" customWidth="1"/>
    <col min="2" max="5" width="17.77734375" style="445" customWidth="1"/>
    <col min="6" max="6" width="22.77734375" style="445" customWidth="1"/>
    <col min="7" max="16384" width="9.21875" style="445"/>
  </cols>
  <sheetData>
    <row r="1" spans="1:7" ht="18" customHeight="1">
      <c r="A1" s="807" t="s">
        <v>1773</v>
      </c>
      <c r="B1" s="444"/>
      <c r="C1" s="444"/>
      <c r="D1" s="444"/>
      <c r="E1" s="444"/>
      <c r="F1" s="444"/>
      <c r="G1" s="1238" t="s">
        <v>679</v>
      </c>
    </row>
    <row r="2" spans="1:7" ht="17.399999999999999">
      <c r="A2" s="1948" t="s">
        <v>25</v>
      </c>
      <c r="B2" s="444"/>
      <c r="C2" s="444"/>
      <c r="D2" s="444"/>
      <c r="E2" s="444"/>
      <c r="F2" s="444"/>
      <c r="G2" s="1238"/>
    </row>
    <row r="3" spans="1:7" ht="17.399999999999999">
      <c r="A3" s="446" t="s">
        <v>24</v>
      </c>
      <c r="B3" s="444"/>
      <c r="C3" s="444"/>
      <c r="D3" s="444"/>
      <c r="E3" s="444"/>
      <c r="F3" s="444"/>
      <c r="G3" s="1238"/>
    </row>
    <row r="4" spans="1:7" s="448" customFormat="1" ht="12.75" customHeight="1">
      <c r="A4" s="446"/>
      <c r="B4" s="447"/>
      <c r="C4" s="447"/>
      <c r="D4" s="447"/>
      <c r="E4" s="447"/>
      <c r="F4" s="447"/>
      <c r="G4" s="1238"/>
    </row>
    <row r="5" spans="1:7" ht="15.6">
      <c r="A5" s="449"/>
      <c r="B5" s="450" t="s">
        <v>680</v>
      </c>
      <c r="C5" s="450" t="s">
        <v>335</v>
      </c>
      <c r="D5" s="450" t="s">
        <v>681</v>
      </c>
      <c r="E5" s="450" t="s">
        <v>682</v>
      </c>
      <c r="F5" s="451" t="s">
        <v>286</v>
      </c>
      <c r="G5" s="1238"/>
    </row>
    <row r="6" spans="1:7" ht="15.6">
      <c r="A6" s="452"/>
      <c r="B6" s="453" t="s">
        <v>683</v>
      </c>
      <c r="C6" s="453" t="s">
        <v>684</v>
      </c>
      <c r="D6" s="453" t="s">
        <v>685</v>
      </c>
      <c r="E6" s="453" t="s">
        <v>686</v>
      </c>
      <c r="F6" s="454" t="s">
        <v>687</v>
      </c>
      <c r="G6" s="1238"/>
    </row>
    <row r="7" spans="1:7" ht="15.6">
      <c r="A7" s="452" t="s">
        <v>688</v>
      </c>
      <c r="B7" s="453" t="s">
        <v>689</v>
      </c>
      <c r="C7" s="453" t="s">
        <v>689</v>
      </c>
      <c r="D7" s="453" t="s">
        <v>690</v>
      </c>
      <c r="E7" s="453" t="s">
        <v>691</v>
      </c>
      <c r="F7" s="454" t="s">
        <v>692</v>
      </c>
      <c r="G7" s="1238"/>
    </row>
    <row r="8" spans="1:7" ht="15.6">
      <c r="A8" s="455" t="s">
        <v>693</v>
      </c>
      <c r="B8" s="456" t="s">
        <v>392</v>
      </c>
      <c r="C8" s="456" t="s">
        <v>694</v>
      </c>
      <c r="D8" s="456" t="s">
        <v>695</v>
      </c>
      <c r="E8" s="456" t="s">
        <v>696</v>
      </c>
      <c r="F8" s="457" t="s">
        <v>697</v>
      </c>
      <c r="G8" s="1238"/>
    </row>
    <row r="9" spans="1:7" ht="15.6">
      <c r="A9" s="455" t="s">
        <v>698</v>
      </c>
      <c r="B9" s="456" t="s">
        <v>699</v>
      </c>
      <c r="C9" s="456" t="s">
        <v>700</v>
      </c>
      <c r="D9" s="456" t="s">
        <v>701</v>
      </c>
      <c r="E9" s="456" t="s">
        <v>702</v>
      </c>
      <c r="F9" s="457" t="s">
        <v>703</v>
      </c>
      <c r="G9" s="1238"/>
    </row>
    <row r="10" spans="1:7" ht="15.6">
      <c r="A10" s="455"/>
      <c r="B10" s="456" t="s">
        <v>704</v>
      </c>
      <c r="C10" s="456" t="s">
        <v>705</v>
      </c>
      <c r="D10" s="456" t="s">
        <v>706</v>
      </c>
      <c r="E10" s="456" t="s">
        <v>707</v>
      </c>
      <c r="F10" s="457" t="s">
        <v>708</v>
      </c>
      <c r="G10" s="1238"/>
    </row>
    <row r="11" spans="1:7" s="461" customFormat="1" ht="15.6">
      <c r="A11" s="458"/>
      <c r="B11" s="459" t="s">
        <v>709</v>
      </c>
      <c r="C11" s="459" t="s">
        <v>709</v>
      </c>
      <c r="D11" s="459" t="s">
        <v>710</v>
      </c>
      <c r="E11" s="459" t="s">
        <v>711</v>
      </c>
      <c r="F11" s="460" t="s">
        <v>711</v>
      </c>
      <c r="G11" s="1238"/>
    </row>
    <row r="12" spans="1:7" ht="20.25" customHeight="1">
      <c r="A12" s="1949" t="s">
        <v>712</v>
      </c>
      <c r="B12" s="1950">
        <v>106.26742</v>
      </c>
      <c r="C12" s="1950">
        <v>70</v>
      </c>
      <c r="D12" s="1951">
        <v>98.655000000000001</v>
      </c>
      <c r="E12" s="1952">
        <v>5.39</v>
      </c>
      <c r="F12" s="1952">
        <v>4.3212000000000002</v>
      </c>
      <c r="G12" s="1238"/>
    </row>
    <row r="13" spans="1:7" ht="12.75" customHeight="1">
      <c r="A13" s="1949" t="s">
        <v>713</v>
      </c>
      <c r="B13" s="1950">
        <v>116.57256099999999</v>
      </c>
      <c r="C13" s="1950">
        <v>70</v>
      </c>
      <c r="D13" s="1951">
        <v>98.703999999999994</v>
      </c>
      <c r="E13" s="1952">
        <v>5.2</v>
      </c>
      <c r="F13" s="1952">
        <v>4.1946000000000003</v>
      </c>
      <c r="G13" s="1238"/>
    </row>
    <row r="14" spans="1:7" ht="12.75" customHeight="1">
      <c r="A14" s="1949" t="s">
        <v>714</v>
      </c>
      <c r="B14" s="1950">
        <v>250.28024199999999</v>
      </c>
      <c r="C14" s="1950">
        <v>100</v>
      </c>
      <c r="D14" s="1951">
        <v>95.15</v>
      </c>
      <c r="E14" s="1952">
        <v>5.04</v>
      </c>
      <c r="F14" s="1952">
        <v>3.8222999999999998</v>
      </c>
      <c r="G14" s="1238"/>
    </row>
    <row r="15" spans="1:7" ht="12.75" customHeight="1">
      <c r="A15" s="1949" t="s">
        <v>715</v>
      </c>
      <c r="B15" s="1950">
        <v>129.53598199999999</v>
      </c>
      <c r="C15" s="1950">
        <v>35</v>
      </c>
      <c r="D15" s="1951">
        <v>97.45</v>
      </c>
      <c r="E15" s="1952">
        <v>5.18</v>
      </c>
      <c r="F15" s="1952">
        <v>4.0654000000000003</v>
      </c>
      <c r="G15" s="1238"/>
    </row>
    <row r="16" spans="1:7" ht="12.75" customHeight="1">
      <c r="A16" s="1949" t="s">
        <v>716</v>
      </c>
      <c r="B16" s="1950">
        <v>98.030921000000006</v>
      </c>
      <c r="C16" s="1950">
        <v>70</v>
      </c>
      <c r="D16" s="1951">
        <v>98.71</v>
      </c>
      <c r="E16" s="1952">
        <v>5.17</v>
      </c>
      <c r="F16" s="1952">
        <v>4.2226999999999997</v>
      </c>
      <c r="G16" s="1238"/>
    </row>
    <row r="17" spans="1:7" ht="20.25" customHeight="1">
      <c r="A17" s="1949" t="s">
        <v>717</v>
      </c>
      <c r="B17" s="1950">
        <v>130.108879</v>
      </c>
      <c r="C17" s="1950">
        <v>70</v>
      </c>
      <c r="D17" s="1951">
        <v>98.727999999999994</v>
      </c>
      <c r="E17" s="1952">
        <v>5.0999999999999996</v>
      </c>
      <c r="F17" s="1952">
        <v>4.1711</v>
      </c>
      <c r="G17" s="1238"/>
    </row>
    <row r="18" spans="1:7" ht="12.75" customHeight="1">
      <c r="A18" s="1949" t="s">
        <v>718</v>
      </c>
      <c r="B18" s="1950">
        <v>138.60515100000001</v>
      </c>
      <c r="C18" s="1950">
        <v>70</v>
      </c>
      <c r="D18" s="1951">
        <v>98.751999999999995</v>
      </c>
      <c r="E18" s="1952">
        <v>5</v>
      </c>
      <c r="F18" s="1952">
        <v>4.0206</v>
      </c>
      <c r="G18" s="1238"/>
    </row>
    <row r="19" spans="1:7" ht="12.75" customHeight="1">
      <c r="A19" s="1949" t="s">
        <v>719</v>
      </c>
      <c r="B19" s="1950">
        <v>114.82243</v>
      </c>
      <c r="C19" s="1950">
        <v>100</v>
      </c>
      <c r="D19" s="1951">
        <v>95.224000000000004</v>
      </c>
      <c r="E19" s="1952">
        <v>4.96</v>
      </c>
      <c r="F19" s="1952">
        <v>3.6070000000000002</v>
      </c>
      <c r="G19" s="1238"/>
    </row>
    <row r="20" spans="1:7" ht="12.75" customHeight="1">
      <c r="A20" s="1949" t="s">
        <v>720</v>
      </c>
      <c r="B20" s="1950">
        <v>35</v>
      </c>
      <c r="C20" s="1950">
        <v>35</v>
      </c>
      <c r="D20" s="1951">
        <v>97.436000000000007</v>
      </c>
      <c r="E20" s="1952">
        <v>5.2</v>
      </c>
      <c r="F20" s="1952">
        <v>3.8544999999999998</v>
      </c>
      <c r="G20" s="1238"/>
    </row>
    <row r="21" spans="1:7" ht="12.75" customHeight="1">
      <c r="A21" s="1949" t="s">
        <v>721</v>
      </c>
      <c r="B21" s="1950">
        <v>70</v>
      </c>
      <c r="C21" s="1950">
        <v>70</v>
      </c>
      <c r="D21" s="1951">
        <v>98.759</v>
      </c>
      <c r="E21" s="1952">
        <v>4.97</v>
      </c>
      <c r="F21" s="1952">
        <v>4.0125000000000002</v>
      </c>
      <c r="G21" s="1238"/>
    </row>
    <row r="22" spans="1:7" ht="20.25" customHeight="1">
      <c r="A22" s="1949" t="s">
        <v>722</v>
      </c>
      <c r="B22" s="1950">
        <v>80</v>
      </c>
      <c r="C22" s="1950">
        <v>70</v>
      </c>
      <c r="D22" s="1951">
        <v>98.747</v>
      </c>
      <c r="E22" s="1952">
        <v>5.0199999999999996</v>
      </c>
      <c r="F22" s="1952">
        <v>4.0015000000000001</v>
      </c>
      <c r="G22" s="1238"/>
    </row>
    <row r="23" spans="1:7" ht="12.75" customHeight="1">
      <c r="A23" s="1949" t="s">
        <v>723</v>
      </c>
      <c r="B23" s="1950">
        <v>94.290999999999997</v>
      </c>
      <c r="C23" s="1950">
        <v>70</v>
      </c>
      <c r="D23" s="1951">
        <v>98.751000000000005</v>
      </c>
      <c r="E23" s="1952">
        <v>5</v>
      </c>
      <c r="F23" s="1952">
        <v>3.9045000000000001</v>
      </c>
      <c r="G23" s="1238"/>
    </row>
    <row r="24" spans="1:7" ht="12.75" customHeight="1">
      <c r="A24" s="1949" t="s">
        <v>724</v>
      </c>
      <c r="B24" s="1950">
        <v>105.08</v>
      </c>
      <c r="C24" s="1950">
        <v>100</v>
      </c>
      <c r="D24" s="1951">
        <v>95.168000000000006</v>
      </c>
      <c r="E24" s="1952">
        <v>5.0199999999999996</v>
      </c>
      <c r="F24" s="1952">
        <v>3.5943000000000001</v>
      </c>
      <c r="G24" s="1238"/>
    </row>
    <row r="25" spans="1:7" ht="12.75" customHeight="1">
      <c r="A25" s="1949" t="s">
        <v>725</v>
      </c>
      <c r="B25" s="1950">
        <v>70.5</v>
      </c>
      <c r="C25" s="1950">
        <v>70</v>
      </c>
      <c r="D25" s="1951">
        <v>98.744</v>
      </c>
      <c r="E25" s="1952">
        <v>5.03</v>
      </c>
      <c r="F25" s="1952">
        <v>3.87</v>
      </c>
      <c r="G25" s="1238"/>
    </row>
    <row r="26" spans="1:7" ht="12.75" customHeight="1">
      <c r="A26" s="1949" t="s">
        <v>726</v>
      </c>
      <c r="B26" s="1950">
        <v>70.531999999999996</v>
      </c>
      <c r="C26" s="1950">
        <v>70</v>
      </c>
      <c r="D26" s="1951">
        <v>98.707999999999998</v>
      </c>
      <c r="E26" s="1952">
        <v>5.18</v>
      </c>
      <c r="F26" s="1952">
        <v>3.8593999999999999</v>
      </c>
      <c r="G26" s="1238"/>
    </row>
    <row r="27" spans="1:7" ht="20.100000000000001" customHeight="1">
      <c r="A27" s="1949" t="s">
        <v>1640</v>
      </c>
      <c r="B27" s="1950">
        <v>35</v>
      </c>
      <c r="C27" s="1950">
        <v>35</v>
      </c>
      <c r="D27" s="1951">
        <v>97.4</v>
      </c>
      <c r="E27" s="1952">
        <v>5.28</v>
      </c>
      <c r="F27" s="1952">
        <v>3.7282000000000002</v>
      </c>
      <c r="G27" s="1238"/>
    </row>
    <row r="28" spans="1:7" ht="12.6" customHeight="1">
      <c r="A28" s="1949" t="s">
        <v>1641</v>
      </c>
      <c r="B28" s="1950">
        <v>96.187152999999995</v>
      </c>
      <c r="C28" s="1950">
        <v>70</v>
      </c>
      <c r="D28" s="1951">
        <v>98.748999999999995</v>
      </c>
      <c r="E28" s="1952">
        <v>5.01</v>
      </c>
      <c r="F28" s="1952">
        <v>3.7980999999999998</v>
      </c>
      <c r="G28" s="1238"/>
    </row>
    <row r="29" spans="1:7" ht="12.75" customHeight="1">
      <c r="A29" s="1949" t="s">
        <v>1642</v>
      </c>
      <c r="B29" s="1950">
        <v>75.599999999999994</v>
      </c>
      <c r="C29" s="1950">
        <v>70</v>
      </c>
      <c r="D29" s="1951">
        <v>98.763000000000005</v>
      </c>
      <c r="E29" s="1952">
        <v>4.95</v>
      </c>
      <c r="F29" s="1952">
        <v>3.8748</v>
      </c>
      <c r="G29" s="1238"/>
    </row>
    <row r="30" spans="1:7" ht="12.75" customHeight="1">
      <c r="A30" s="1949" t="s">
        <v>1643</v>
      </c>
      <c r="B30" s="1950">
        <v>150.73289600000001</v>
      </c>
      <c r="C30" s="1950">
        <v>100</v>
      </c>
      <c r="D30" s="1951">
        <v>95.319000000000003</v>
      </c>
      <c r="E30" s="1952">
        <v>4.8600000000000003</v>
      </c>
      <c r="F30" s="1952">
        <v>3.5958000000000001</v>
      </c>
      <c r="G30" s="1238"/>
    </row>
    <row r="31" spans="1:7" ht="12.75" customHeight="1">
      <c r="A31" s="1949" t="s">
        <v>1644</v>
      </c>
      <c r="B31" s="1950">
        <v>67.589515000000006</v>
      </c>
      <c r="C31" s="1950">
        <v>35</v>
      </c>
      <c r="D31" s="1951">
        <v>97.53</v>
      </c>
      <c r="E31" s="1952">
        <v>5.01</v>
      </c>
      <c r="F31" s="1952">
        <v>3.7993000000000001</v>
      </c>
      <c r="G31" s="1238"/>
    </row>
    <row r="32" spans="1:7" ht="12.75" customHeight="1">
      <c r="A32" s="1949" t="s">
        <v>1645</v>
      </c>
      <c r="B32" s="1950">
        <v>100.926429</v>
      </c>
      <c r="C32" s="1950">
        <v>70</v>
      </c>
      <c r="D32" s="1951">
        <v>98.763000000000005</v>
      </c>
      <c r="E32" s="1952">
        <v>4.95</v>
      </c>
      <c r="F32" s="1952">
        <v>3.8786</v>
      </c>
      <c r="G32" s="1238"/>
    </row>
    <row r="33" spans="1:7" ht="20.100000000000001" customHeight="1">
      <c r="A33" s="1949" t="s">
        <v>1646</v>
      </c>
      <c r="B33" s="1950">
        <v>75.437880000000007</v>
      </c>
      <c r="C33" s="1950">
        <v>70</v>
      </c>
      <c r="D33" s="1951">
        <v>98.775999999999996</v>
      </c>
      <c r="E33" s="1952">
        <v>4.9000000000000004</v>
      </c>
      <c r="F33" s="1952">
        <v>3.7873999999999999</v>
      </c>
      <c r="G33" s="1238"/>
    </row>
    <row r="34" spans="1:7" ht="12.6" customHeight="1">
      <c r="A34" s="1949" t="s">
        <v>1647</v>
      </c>
      <c r="B34" s="1950">
        <v>70.5</v>
      </c>
      <c r="C34" s="1950">
        <v>70</v>
      </c>
      <c r="D34" s="1951">
        <v>98.772999999999996</v>
      </c>
      <c r="E34" s="1952">
        <v>4.91</v>
      </c>
      <c r="F34" s="1952">
        <v>3.7063000000000001</v>
      </c>
      <c r="G34" s="1238"/>
    </row>
    <row r="35" spans="1:7" ht="12.75" customHeight="1">
      <c r="A35" s="1949" t="s">
        <v>1648</v>
      </c>
      <c r="B35" s="1950">
        <v>129.76075599999999</v>
      </c>
      <c r="C35" s="1950">
        <v>100</v>
      </c>
      <c r="D35" s="1951">
        <v>95.34</v>
      </c>
      <c r="E35" s="1952">
        <v>4.83</v>
      </c>
      <c r="F35" s="1952">
        <v>3.6019999999999999</v>
      </c>
      <c r="G35" s="1238"/>
    </row>
    <row r="36" spans="1:7" ht="12.75" customHeight="1">
      <c r="A36" s="1949" t="s">
        <v>1649</v>
      </c>
      <c r="B36" s="1950">
        <v>35.5</v>
      </c>
      <c r="C36" s="1950">
        <v>35</v>
      </c>
      <c r="D36" s="1951">
        <v>97.534000000000006</v>
      </c>
      <c r="E36" s="1952">
        <v>5</v>
      </c>
      <c r="F36" s="1952">
        <v>3.6227999999999998</v>
      </c>
      <c r="G36" s="1238"/>
    </row>
    <row r="37" spans="1:7" ht="12.75" customHeight="1">
      <c r="A37" s="1949" t="s">
        <v>1650</v>
      </c>
      <c r="B37" s="1950">
        <v>123.80958099999999</v>
      </c>
      <c r="C37" s="1950">
        <v>70</v>
      </c>
      <c r="D37" s="1951">
        <v>98.790999999999997</v>
      </c>
      <c r="E37" s="1952">
        <v>4.84</v>
      </c>
      <c r="F37" s="1952">
        <v>3.6850000000000001</v>
      </c>
      <c r="G37" s="1238"/>
    </row>
    <row r="38" spans="1:7" ht="12.75" customHeight="1">
      <c r="A38" s="1949" t="s">
        <v>1651</v>
      </c>
      <c r="B38" s="1950">
        <v>99.841132000000002</v>
      </c>
      <c r="C38" s="1950">
        <v>70</v>
      </c>
      <c r="D38" s="1951">
        <v>98.790999999999997</v>
      </c>
      <c r="E38" s="1952">
        <v>4.84</v>
      </c>
      <c r="F38" s="1952">
        <v>3.6856</v>
      </c>
      <c r="G38" s="1238"/>
    </row>
    <row r="39" spans="1:7" ht="20.25" customHeight="1">
      <c r="A39" s="1949" t="s">
        <v>1689</v>
      </c>
      <c r="B39" s="1950">
        <v>91.662685999999994</v>
      </c>
      <c r="C39" s="1950">
        <v>70</v>
      </c>
      <c r="D39" s="1951">
        <v>98.795000000000002</v>
      </c>
      <c r="E39" s="1952">
        <v>4.82</v>
      </c>
      <c r="F39" s="1952">
        <v>3.4449000000000001</v>
      </c>
      <c r="G39" s="1238"/>
    </row>
    <row r="40" spans="1:7" ht="12.75" customHeight="1">
      <c r="A40" s="1949" t="s">
        <v>1690</v>
      </c>
      <c r="B40" s="1950">
        <v>199.15594899999999</v>
      </c>
      <c r="C40" s="1950">
        <v>100</v>
      </c>
      <c r="D40" s="1951">
        <v>98.484999999999999</v>
      </c>
      <c r="E40" s="1952">
        <v>4.68</v>
      </c>
      <c r="F40" s="1952">
        <v>3.4761000000000002</v>
      </c>
      <c r="G40" s="1238"/>
    </row>
    <row r="41" spans="1:7" ht="12.75" customHeight="1">
      <c r="A41" s="1949" t="s">
        <v>1691</v>
      </c>
      <c r="B41" s="1950">
        <v>129.92472000000001</v>
      </c>
      <c r="C41" s="1950">
        <v>70</v>
      </c>
      <c r="D41" s="1951">
        <v>98.8</v>
      </c>
      <c r="E41" s="1952">
        <v>4.8</v>
      </c>
      <c r="F41" s="1952">
        <v>3.6697000000000002</v>
      </c>
      <c r="G41" s="1238"/>
    </row>
    <row r="42" spans="1:7" ht="12.75" customHeight="1">
      <c r="A42" s="1949" t="s">
        <v>1692</v>
      </c>
      <c r="B42" s="1950">
        <v>88.462162000000006</v>
      </c>
      <c r="C42" s="1950">
        <v>35</v>
      </c>
      <c r="D42" s="1951">
        <v>97.634</v>
      </c>
      <c r="E42" s="1952">
        <v>4.79</v>
      </c>
      <c r="F42" s="1952">
        <v>3.6337000000000002</v>
      </c>
      <c r="G42" s="1238"/>
    </row>
    <row r="43" spans="1:7" ht="12.75" customHeight="1">
      <c r="A43" s="1949" t="s">
        <v>1693</v>
      </c>
      <c r="B43" s="1950">
        <v>90.893032000000005</v>
      </c>
      <c r="C43" s="1950">
        <v>70</v>
      </c>
      <c r="D43" s="1951">
        <v>98.796999999999997</v>
      </c>
      <c r="E43" s="1952">
        <v>4.82</v>
      </c>
      <c r="F43" s="1952">
        <v>3.6701000000000001</v>
      </c>
      <c r="G43" s="1238"/>
    </row>
    <row r="44" spans="1:7" ht="20.100000000000001" customHeight="1">
      <c r="A44" s="1949" t="s">
        <v>1684</v>
      </c>
      <c r="B44" s="1950">
        <v>75.75</v>
      </c>
      <c r="C44" s="1950">
        <v>70</v>
      </c>
      <c r="D44" s="1951">
        <v>98.787999999999997</v>
      </c>
      <c r="E44" s="1952">
        <v>4.8499999999999996</v>
      </c>
      <c r="F44" s="1952">
        <v>3.6602000000000001</v>
      </c>
      <c r="G44" s="1238"/>
    </row>
    <row r="45" spans="1:7" ht="12.75" customHeight="1">
      <c r="A45" s="1949" t="s">
        <v>1685</v>
      </c>
      <c r="B45" s="1950">
        <v>81.983514</v>
      </c>
      <c r="C45" s="1950">
        <v>70</v>
      </c>
      <c r="D45" s="1951">
        <v>98.787000000000006</v>
      </c>
      <c r="E45" s="1952">
        <v>4.8600000000000003</v>
      </c>
      <c r="F45" s="1952">
        <v>3.6553</v>
      </c>
      <c r="G45" s="1238"/>
    </row>
    <row r="46" spans="1:7" ht="12.75" customHeight="1">
      <c r="A46" s="1949" t="s">
        <v>1686</v>
      </c>
      <c r="B46" s="1950">
        <v>105</v>
      </c>
      <c r="C46" s="1950">
        <v>100</v>
      </c>
      <c r="D46" s="1951">
        <v>95.534000000000006</v>
      </c>
      <c r="E46" s="1952">
        <v>4.62</v>
      </c>
      <c r="F46" s="1952">
        <v>3.4409000000000001</v>
      </c>
      <c r="G46" s="1238"/>
    </row>
    <row r="47" spans="1:7" ht="12.75" customHeight="1">
      <c r="A47" s="1949" t="s">
        <v>1687</v>
      </c>
      <c r="B47" s="1950">
        <v>35</v>
      </c>
      <c r="C47" s="1950">
        <v>35</v>
      </c>
      <c r="D47" s="1951">
        <v>97.546000000000006</v>
      </c>
      <c r="E47" s="1952">
        <v>4.9800000000000004</v>
      </c>
      <c r="F47" s="1952">
        <v>3.5865</v>
      </c>
      <c r="G47" s="1238"/>
    </row>
    <row r="48" spans="1:7" ht="12.75" customHeight="1">
      <c r="A48" s="1949" t="s">
        <v>1688</v>
      </c>
      <c r="B48" s="1950">
        <v>70</v>
      </c>
      <c r="C48" s="1950">
        <v>70</v>
      </c>
      <c r="D48" s="1951">
        <v>98.771000000000001</v>
      </c>
      <c r="E48" s="1952">
        <v>4.92</v>
      </c>
      <c r="F48" s="1952">
        <v>3.6648000000000001</v>
      </c>
      <c r="G48" s="1238"/>
    </row>
    <row r="49" spans="1:7" ht="20.100000000000001" customHeight="1">
      <c r="A49" s="1949" t="s">
        <v>1679</v>
      </c>
      <c r="B49" s="1950">
        <v>70</v>
      </c>
      <c r="C49" s="1950">
        <v>70</v>
      </c>
      <c r="D49" s="1951">
        <v>98.754000000000005</v>
      </c>
      <c r="E49" s="1952">
        <v>4.99</v>
      </c>
      <c r="F49" s="1952">
        <v>3.6657000000000002</v>
      </c>
      <c r="G49" s="1238"/>
    </row>
    <row r="50" spans="1:7" ht="12.75" customHeight="1">
      <c r="A50" s="1949" t="s">
        <v>1680</v>
      </c>
      <c r="B50" s="1950">
        <v>70.050712000000004</v>
      </c>
      <c r="C50" s="1950">
        <v>70</v>
      </c>
      <c r="D50" s="1951">
        <v>98.736000000000004</v>
      </c>
      <c r="E50" s="1952">
        <v>5.0599999999999996</v>
      </c>
      <c r="F50" s="1952">
        <v>3.6833</v>
      </c>
      <c r="G50" s="1238"/>
    </row>
    <row r="51" spans="1:7" ht="12.75" customHeight="1">
      <c r="A51" s="1949" t="s">
        <v>1681</v>
      </c>
      <c r="B51" s="1950">
        <v>122.021095</v>
      </c>
      <c r="C51" s="1950">
        <v>100</v>
      </c>
      <c r="D51" s="1951">
        <v>95.325000000000003</v>
      </c>
      <c r="E51" s="1952">
        <v>4.8499999999999996</v>
      </c>
      <c r="F51" s="1952">
        <v>3.6322000000000001</v>
      </c>
      <c r="G51" s="1238"/>
    </row>
    <row r="52" spans="1:7" ht="12.75" customHeight="1">
      <c r="A52" s="1949" t="s">
        <v>1682</v>
      </c>
      <c r="B52" s="1950">
        <v>35</v>
      </c>
      <c r="C52" s="1950">
        <v>35</v>
      </c>
      <c r="D52" s="1951">
        <v>97.417000000000002</v>
      </c>
      <c r="E52" s="1952">
        <v>5.24</v>
      </c>
      <c r="F52" s="1952">
        <v>3.6676000000000002</v>
      </c>
      <c r="G52" s="1238"/>
    </row>
    <row r="53" spans="1:7" ht="12.75" customHeight="1">
      <c r="A53" s="1949" t="s">
        <v>1683</v>
      </c>
      <c r="B53" s="1950">
        <v>70</v>
      </c>
      <c r="C53" s="1950">
        <v>70</v>
      </c>
      <c r="D53" s="1951">
        <v>98.665000000000006</v>
      </c>
      <c r="E53" s="1952">
        <v>5.35</v>
      </c>
      <c r="F53" s="1952">
        <v>3.7</v>
      </c>
      <c r="G53" s="1238"/>
    </row>
    <row r="54" spans="1:7" ht="20.100000000000001" customHeight="1">
      <c r="A54" s="1949" t="s">
        <v>1697</v>
      </c>
      <c r="B54" s="1950">
        <v>123.917203</v>
      </c>
      <c r="C54" s="1950">
        <v>70</v>
      </c>
      <c r="D54" s="1951">
        <v>98.676000000000002</v>
      </c>
      <c r="E54" s="1952">
        <v>5.31</v>
      </c>
      <c r="F54" s="1952">
        <v>3.6996000000000002</v>
      </c>
      <c r="G54" s="1238"/>
    </row>
    <row r="55" spans="1:7" ht="12.75" customHeight="1">
      <c r="A55" s="1949" t="s">
        <v>1698</v>
      </c>
      <c r="B55" s="1950">
        <v>164.688794</v>
      </c>
      <c r="C55" s="1950">
        <v>70</v>
      </c>
      <c r="D55" s="1951">
        <v>98.694000000000003</v>
      </c>
      <c r="E55" s="1952">
        <v>5.24</v>
      </c>
      <c r="F55" s="1952">
        <v>3.669</v>
      </c>
      <c r="G55" s="1238"/>
    </row>
    <row r="56" spans="1:7" ht="12.75" customHeight="1">
      <c r="A56" s="1949" t="s">
        <v>1699</v>
      </c>
      <c r="B56" s="1950">
        <v>145.508208</v>
      </c>
      <c r="C56" s="1950">
        <v>100</v>
      </c>
      <c r="D56" s="1951">
        <v>95.073999999999998</v>
      </c>
      <c r="E56" s="1952">
        <v>5.12</v>
      </c>
      <c r="F56" s="1952">
        <v>3.7027000000000001</v>
      </c>
      <c r="G56" s="1238"/>
    </row>
    <row r="57" spans="1:7" ht="12.75" customHeight="1">
      <c r="A57" s="1949" t="s">
        <v>1700</v>
      </c>
      <c r="B57" s="1950">
        <v>98.673371000000003</v>
      </c>
      <c r="C57" s="1950">
        <v>70</v>
      </c>
      <c r="D57" s="1951">
        <v>98.701999999999998</v>
      </c>
      <c r="E57" s="1952">
        <v>5.2</v>
      </c>
      <c r="F57" s="1952">
        <v>3.6720999999999999</v>
      </c>
      <c r="G57" s="1238"/>
    </row>
    <row r="58" spans="1:7" ht="12.75" customHeight="1">
      <c r="A58" s="1949" t="s">
        <v>1701</v>
      </c>
      <c r="B58" s="1950">
        <v>70</v>
      </c>
      <c r="C58" s="1950">
        <v>70</v>
      </c>
      <c r="D58" s="1951">
        <v>98.707999999999998</v>
      </c>
      <c r="E58" s="1952">
        <v>5.18</v>
      </c>
      <c r="F58" s="1952">
        <v>3.6701000000000001</v>
      </c>
      <c r="G58" s="1238"/>
    </row>
    <row r="59" spans="1:7" ht="20.100000000000001" customHeight="1">
      <c r="A59" s="1949" t="s">
        <v>1702</v>
      </c>
      <c r="B59" s="1950">
        <v>35</v>
      </c>
      <c r="C59" s="1950">
        <v>35</v>
      </c>
      <c r="D59" s="1951">
        <v>97.397000000000006</v>
      </c>
      <c r="E59" s="1952">
        <v>5.29</v>
      </c>
      <c r="F59" s="1952">
        <v>3.6686000000000001</v>
      </c>
      <c r="G59" s="1238"/>
    </row>
    <row r="60" spans="1:7" ht="12.75" customHeight="1">
      <c r="A60" s="1949" t="s">
        <v>1703</v>
      </c>
      <c r="B60" s="1950">
        <v>70.150000000000006</v>
      </c>
      <c r="C60" s="1950">
        <v>70</v>
      </c>
      <c r="D60" s="1951">
        <v>98.674000000000007</v>
      </c>
      <c r="E60" s="1952">
        <v>5.32</v>
      </c>
      <c r="F60" s="1952">
        <v>3.6581000000000001</v>
      </c>
      <c r="G60" s="1238"/>
    </row>
    <row r="61" spans="1:7" ht="12.75" customHeight="1">
      <c r="A61" s="1949" t="s">
        <v>1704</v>
      </c>
      <c r="B61" s="1950">
        <v>125.458911</v>
      </c>
      <c r="C61" s="1950">
        <v>70</v>
      </c>
      <c r="D61" s="1951">
        <v>98.683999999999997</v>
      </c>
      <c r="E61" s="1952">
        <v>5.28</v>
      </c>
      <c r="F61" s="1952">
        <v>3.6410999999999998</v>
      </c>
      <c r="G61" s="1238"/>
    </row>
    <row r="62" spans="1:7" ht="12.75" customHeight="1">
      <c r="A62" s="1949" t="s">
        <v>1705</v>
      </c>
      <c r="B62" s="1950">
        <v>110.377</v>
      </c>
      <c r="C62" s="1950">
        <v>100</v>
      </c>
      <c r="D62" s="1951">
        <v>94.924999999999997</v>
      </c>
      <c r="E62" s="1952">
        <v>5.29</v>
      </c>
      <c r="F62" s="1952">
        <v>3.831</v>
      </c>
      <c r="G62" s="1238"/>
    </row>
    <row r="63" spans="1:7" ht="12.75" customHeight="1">
      <c r="A63" s="1949" t="s">
        <v>1706</v>
      </c>
      <c r="B63" s="1950">
        <v>38.049325000000003</v>
      </c>
      <c r="C63" s="1950">
        <v>35</v>
      </c>
      <c r="D63" s="1951">
        <v>97.355000000000004</v>
      </c>
      <c r="E63" s="1952">
        <v>5.37</v>
      </c>
      <c r="F63" s="1952">
        <v>3.6943000000000001</v>
      </c>
      <c r="G63" s="1238"/>
    </row>
    <row r="64" spans="1:7" ht="12.75" customHeight="1">
      <c r="A64" s="1949" t="s">
        <v>1707</v>
      </c>
      <c r="B64" s="1950">
        <v>70.5</v>
      </c>
      <c r="C64" s="1950">
        <v>70</v>
      </c>
      <c r="D64" s="1951">
        <v>98.679000000000002</v>
      </c>
      <c r="E64" s="1952">
        <v>5.3</v>
      </c>
      <c r="F64" s="1952">
        <v>3.6562000000000001</v>
      </c>
      <c r="G64" s="1238"/>
    </row>
    <row r="65" spans="1:7" ht="20.100000000000001" customHeight="1">
      <c r="A65" s="1949" t="s">
        <v>1709</v>
      </c>
      <c r="B65" s="1950">
        <v>121.161095</v>
      </c>
      <c r="C65" s="1950">
        <v>70</v>
      </c>
      <c r="D65" s="1951">
        <v>98.682000000000002</v>
      </c>
      <c r="E65" s="1952">
        <v>5.29</v>
      </c>
      <c r="F65" s="1952">
        <v>3.6574</v>
      </c>
      <c r="G65" s="1238"/>
    </row>
    <row r="66" spans="1:7" ht="12.75" customHeight="1">
      <c r="A66" s="1949" t="s">
        <v>1710</v>
      </c>
      <c r="B66" s="1950">
        <v>99.107231999999996</v>
      </c>
      <c r="C66" s="1950">
        <v>70</v>
      </c>
      <c r="D66" s="1951">
        <v>98.686000000000007</v>
      </c>
      <c r="E66" s="1952">
        <v>5.27</v>
      </c>
      <c r="F66" s="1952">
        <v>3.6705000000000001</v>
      </c>
      <c r="G66" s="1238"/>
    </row>
    <row r="67" spans="1:7" ht="12.75" customHeight="1">
      <c r="A67" s="1949" t="s">
        <v>1711</v>
      </c>
      <c r="B67" s="1950">
        <v>110.5</v>
      </c>
      <c r="C67" s="1950">
        <v>100</v>
      </c>
      <c r="D67" s="1951">
        <v>94.878</v>
      </c>
      <c r="E67" s="1952">
        <v>5.34</v>
      </c>
      <c r="F67" s="1952">
        <v>3.9136000000000002</v>
      </c>
      <c r="G67" s="1238"/>
    </row>
    <row r="68" spans="1:7" ht="12.75" customHeight="1">
      <c r="A68" s="1949" t="s">
        <v>1712</v>
      </c>
      <c r="B68" s="1950">
        <v>65.396040999999997</v>
      </c>
      <c r="C68" s="1950">
        <v>35</v>
      </c>
      <c r="D68" s="1951">
        <v>97.355999999999995</v>
      </c>
      <c r="E68" s="1952">
        <v>5.37</v>
      </c>
      <c r="F68" s="1952">
        <v>3.7313000000000001</v>
      </c>
      <c r="G68" s="1238"/>
    </row>
    <row r="69" spans="1:7" ht="12.75" customHeight="1">
      <c r="A69" s="1949" t="s">
        <v>1713</v>
      </c>
      <c r="B69" s="1950">
        <v>94.719766000000007</v>
      </c>
      <c r="C69" s="1950">
        <v>70</v>
      </c>
      <c r="D69" s="1951">
        <v>98.692999999999998</v>
      </c>
      <c r="E69" s="1952">
        <v>5.24</v>
      </c>
      <c r="F69" s="1952">
        <v>3.6960000000000002</v>
      </c>
      <c r="G69" s="1238"/>
    </row>
    <row r="70" spans="1:7" ht="20.100000000000001" customHeight="1">
      <c r="A70" s="1949" t="s">
        <v>1719</v>
      </c>
      <c r="B70" s="1950">
        <v>137.404706</v>
      </c>
      <c r="C70" s="1950">
        <v>70</v>
      </c>
      <c r="D70" s="1951">
        <v>98.696860000000001</v>
      </c>
      <c r="E70" s="1952">
        <v>5.2233499999999999</v>
      </c>
      <c r="F70" s="1952">
        <v>3.7322000000000002</v>
      </c>
      <c r="G70" s="1238"/>
    </row>
    <row r="71" spans="1:7" ht="12.75" customHeight="1">
      <c r="A71" s="1949" t="s">
        <v>1720</v>
      </c>
      <c r="B71" s="1950">
        <v>124.72968899999999</v>
      </c>
      <c r="C71" s="1950">
        <v>70</v>
      </c>
      <c r="D71" s="1951">
        <v>98.702089999999998</v>
      </c>
      <c r="E71" s="1952">
        <v>5.2020999999999997</v>
      </c>
      <c r="F71" s="1952">
        <v>3.7406000000000001</v>
      </c>
      <c r="G71" s="1238"/>
    </row>
    <row r="72" spans="1:7" ht="12.75" customHeight="1">
      <c r="A72" s="1949" t="s">
        <v>1721</v>
      </c>
      <c r="B72" s="1950">
        <v>100.7</v>
      </c>
      <c r="C72" s="1950">
        <v>100</v>
      </c>
      <c r="D72" s="1951">
        <v>94.716999999999999</v>
      </c>
      <c r="E72" s="1952">
        <v>5.52</v>
      </c>
      <c r="F72" s="1952">
        <v>4.0326000000000004</v>
      </c>
      <c r="G72" s="1238"/>
    </row>
    <row r="73" spans="1:7" ht="12.75" customHeight="1">
      <c r="A73" s="1949" t="s">
        <v>1722</v>
      </c>
      <c r="B73" s="1950">
        <v>72.185000000000002</v>
      </c>
      <c r="C73" s="1950">
        <v>70</v>
      </c>
      <c r="D73" s="1951">
        <v>98.701229999999995</v>
      </c>
      <c r="E73" s="1952">
        <v>5.2055899999999999</v>
      </c>
      <c r="F73" s="1952">
        <v>3.7336999999999998</v>
      </c>
      <c r="G73" s="1238"/>
    </row>
    <row r="74" spans="1:7" ht="12.75" customHeight="1">
      <c r="A74" s="1949" t="s">
        <v>1723</v>
      </c>
      <c r="B74" s="1950">
        <v>35</v>
      </c>
      <c r="C74" s="1950">
        <v>35</v>
      </c>
      <c r="D74" s="1951">
        <v>97.236000000000004</v>
      </c>
      <c r="E74" s="1952">
        <v>5.62</v>
      </c>
      <c r="F74" s="1952">
        <v>3.8801000000000001</v>
      </c>
      <c r="G74" s="1238"/>
    </row>
    <row r="75" spans="1:7" ht="12.75" customHeight="1">
      <c r="A75" s="1949" t="s">
        <v>1724</v>
      </c>
      <c r="B75" s="1950">
        <v>70.3</v>
      </c>
      <c r="C75" s="1950">
        <v>70</v>
      </c>
      <c r="D75" s="1951">
        <v>98.672510000000003</v>
      </c>
      <c r="E75" s="1952">
        <v>5.3222500000000004</v>
      </c>
      <c r="F75" s="1952">
        <v>3.8376000000000001</v>
      </c>
      <c r="G75" s="1238"/>
    </row>
    <row r="76" spans="1:7">
      <c r="A76" s="462"/>
      <c r="B76" s="462"/>
      <c r="C76" s="462"/>
      <c r="D76" s="462"/>
      <c r="E76" s="462"/>
      <c r="F76" s="462"/>
    </row>
  </sheetData>
  <mergeCells count="1">
    <mergeCell ref="G1:G75"/>
  </mergeCells>
  <printOptions horizontalCentered="1" verticalCentered="1"/>
  <pageMargins left="0.39" right="0" top="0" bottom="0" header="0.3" footer="0"/>
  <pageSetup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Q50"/>
  <sheetViews>
    <sheetView zoomScale="75" zoomScaleNormal="75" workbookViewId="0">
      <pane xSplit="2" ySplit="12" topLeftCell="C31" activePane="bottomRight" state="frozen"/>
      <selection activeCell="B2" sqref="B2"/>
      <selection pane="topRight" activeCell="B2" sqref="B2"/>
      <selection pane="bottomLeft" activeCell="B2" sqref="B2"/>
      <selection pane="bottomRight" activeCell="I42" sqref="I42"/>
    </sheetView>
  </sheetViews>
  <sheetFormatPr defaultColWidth="9.21875" defaultRowHeight="13.2"/>
  <cols>
    <col min="1" max="2" width="9.77734375" style="1402" customWidth="1"/>
    <col min="3" max="8" width="11.77734375" style="1402" customWidth="1"/>
    <col min="9" max="9" width="13.77734375" style="1402" customWidth="1"/>
    <col min="10" max="15" width="11.77734375" style="1402" customWidth="1"/>
    <col min="16" max="17" width="13.77734375" style="1402" customWidth="1"/>
    <col min="18" max="18" width="9.21875" style="1402" bestFit="1" customWidth="1"/>
    <col min="19" max="16384" width="9.21875" style="1402"/>
  </cols>
  <sheetData>
    <row r="1" spans="1:17" s="381" customFormat="1" ht="19.2">
      <c r="A1" s="1938" t="s">
        <v>727</v>
      </c>
      <c r="B1" s="387"/>
      <c r="C1" s="382"/>
      <c r="D1" s="382"/>
      <c r="E1" s="382"/>
      <c r="F1" s="382"/>
      <c r="G1" s="382"/>
      <c r="H1" s="382"/>
      <c r="I1" s="382"/>
      <c r="J1" s="382"/>
      <c r="K1" s="382"/>
      <c r="L1" s="382"/>
      <c r="M1" s="382"/>
      <c r="N1" s="382"/>
      <c r="O1" s="382"/>
      <c r="P1" s="382"/>
      <c r="Q1" s="382"/>
    </row>
    <row r="2" spans="1:17" s="381" customFormat="1" ht="19.2">
      <c r="A2" s="1939" t="s">
        <v>27</v>
      </c>
      <c r="B2" s="387"/>
      <c r="C2" s="382"/>
      <c r="D2" s="382"/>
      <c r="E2" s="382"/>
      <c r="F2" s="382"/>
      <c r="G2" s="382"/>
      <c r="H2" s="382"/>
      <c r="I2" s="382"/>
      <c r="J2" s="382"/>
      <c r="K2" s="382"/>
      <c r="L2" s="382"/>
      <c r="M2" s="382"/>
      <c r="N2" s="382"/>
      <c r="O2" s="382"/>
      <c r="P2" s="382"/>
      <c r="Q2" s="382"/>
    </row>
    <row r="3" spans="1:17" s="381" customFormat="1" ht="19.2">
      <c r="A3" s="1938" t="s">
        <v>26</v>
      </c>
      <c r="B3" s="387"/>
      <c r="C3" s="382"/>
      <c r="D3" s="382"/>
      <c r="E3" s="382"/>
      <c r="F3" s="382"/>
      <c r="G3" s="382"/>
      <c r="H3" s="382"/>
      <c r="I3" s="382"/>
      <c r="J3" s="382"/>
      <c r="K3" s="382"/>
      <c r="L3" s="382"/>
      <c r="M3" s="382"/>
      <c r="N3" s="382"/>
      <c r="O3" s="382"/>
      <c r="P3" s="382"/>
      <c r="Q3" s="382"/>
    </row>
    <row r="4" spans="1:17" ht="18" hidden="1" customHeight="1">
      <c r="A4" s="277"/>
      <c r="B4" s="387"/>
    </row>
    <row r="5" spans="1:17" ht="18" hidden="1" customHeight="1">
      <c r="A5" s="277"/>
      <c r="B5" s="387"/>
    </row>
    <row r="6" spans="1:17" ht="18" hidden="1" customHeight="1">
      <c r="A6" s="277"/>
      <c r="B6" s="387"/>
    </row>
    <row r="7" spans="1:17" s="180" customFormat="1" ht="15">
      <c r="A7" s="148" t="s">
        <v>369</v>
      </c>
      <c r="B7" s="387"/>
      <c r="P7" s="360"/>
      <c r="Q7" s="589" t="s">
        <v>370</v>
      </c>
    </row>
    <row r="8" spans="1:17" s="597" customFormat="1" ht="23.25" customHeight="1">
      <c r="A8" s="590"/>
      <c r="B8" s="591"/>
      <c r="C8" s="592" t="s">
        <v>728</v>
      </c>
      <c r="D8" s="867"/>
      <c r="E8" s="593"/>
      <c r="F8" s="594"/>
      <c r="G8" s="867"/>
      <c r="H8" s="594"/>
      <c r="I8" s="595" t="s">
        <v>729</v>
      </c>
      <c r="J8" s="592" t="s">
        <v>1667</v>
      </c>
      <c r="K8" s="867"/>
      <c r="L8" s="594"/>
      <c r="M8" s="594"/>
      <c r="N8" s="867"/>
      <c r="O8" s="594"/>
      <c r="P8" s="595" t="s">
        <v>730</v>
      </c>
      <c r="Q8" s="596"/>
    </row>
    <row r="9" spans="1:17" s="597" customFormat="1" ht="19.5" customHeight="1">
      <c r="A9" s="598"/>
      <c r="C9" s="599" t="s">
        <v>333</v>
      </c>
      <c r="D9" s="600"/>
      <c r="E9" s="601"/>
      <c r="F9" s="599" t="s">
        <v>335</v>
      </c>
      <c r="G9" s="600"/>
      <c r="H9" s="601"/>
      <c r="I9" s="865"/>
      <c r="J9" s="602" t="s">
        <v>1677</v>
      </c>
      <c r="K9" s="600"/>
      <c r="L9" s="601"/>
      <c r="M9" s="603" t="s">
        <v>337</v>
      </c>
      <c r="N9" s="600"/>
      <c r="O9" s="601"/>
      <c r="P9" s="865"/>
      <c r="Q9" s="866"/>
    </row>
    <row r="10" spans="1:17" s="597" customFormat="1" ht="19.5" customHeight="1">
      <c r="A10" s="396" t="s">
        <v>379</v>
      </c>
      <c r="B10" s="397"/>
      <c r="C10" s="604" t="s">
        <v>1668</v>
      </c>
      <c r="D10" s="605"/>
      <c r="E10" s="606"/>
      <c r="F10" s="604" t="s">
        <v>731</v>
      </c>
      <c r="G10" s="607"/>
      <c r="H10" s="606"/>
      <c r="I10" s="608" t="s">
        <v>732</v>
      </c>
      <c r="J10" s="609" t="s">
        <v>1670</v>
      </c>
      <c r="K10" s="610"/>
      <c r="L10" s="611"/>
      <c r="M10" s="609" t="s">
        <v>1669</v>
      </c>
      <c r="N10" s="610"/>
      <c r="O10" s="611"/>
      <c r="P10" s="612" t="s">
        <v>732</v>
      </c>
      <c r="Q10" s="612" t="s">
        <v>382</v>
      </c>
    </row>
    <row r="11" spans="1:17" s="597" customFormat="1" ht="21.3" customHeight="1">
      <c r="A11" s="613" t="s">
        <v>387</v>
      </c>
      <c r="B11" s="614"/>
      <c r="C11" s="866" t="s">
        <v>733</v>
      </c>
      <c r="D11" s="866" t="s">
        <v>734</v>
      </c>
      <c r="E11" s="866" t="s">
        <v>735</v>
      </c>
      <c r="F11" s="866" t="s">
        <v>733</v>
      </c>
      <c r="G11" s="866" t="s">
        <v>734</v>
      </c>
      <c r="H11" s="866" t="s">
        <v>735</v>
      </c>
      <c r="I11" s="866" t="s">
        <v>736</v>
      </c>
      <c r="J11" s="866" t="s">
        <v>733</v>
      </c>
      <c r="K11" s="866" t="s">
        <v>734</v>
      </c>
      <c r="L11" s="866" t="s">
        <v>735</v>
      </c>
      <c r="M11" s="866" t="s">
        <v>733</v>
      </c>
      <c r="N11" s="866" t="s">
        <v>734</v>
      </c>
      <c r="O11" s="866" t="s">
        <v>735</v>
      </c>
      <c r="P11" s="866" t="s">
        <v>736</v>
      </c>
      <c r="Q11" s="866" t="s">
        <v>737</v>
      </c>
    </row>
    <row r="12" spans="1:17" s="597" customFormat="1" ht="15.6">
      <c r="A12" s="598"/>
      <c r="B12" s="615"/>
      <c r="C12" s="866" t="s">
        <v>738</v>
      </c>
      <c r="D12" s="863" t="s">
        <v>739</v>
      </c>
      <c r="E12" s="554" t="s">
        <v>740</v>
      </c>
      <c r="F12" s="554" t="s">
        <v>738</v>
      </c>
      <c r="G12" s="864" t="s">
        <v>739</v>
      </c>
      <c r="H12" s="554" t="s">
        <v>740</v>
      </c>
      <c r="I12" s="616" t="s">
        <v>740</v>
      </c>
      <c r="J12" s="554" t="s">
        <v>738</v>
      </c>
      <c r="K12" s="864" t="s">
        <v>739</v>
      </c>
      <c r="L12" s="554" t="s">
        <v>740</v>
      </c>
      <c r="M12" s="554" t="s">
        <v>738</v>
      </c>
      <c r="N12" s="864" t="s">
        <v>739</v>
      </c>
      <c r="O12" s="554" t="s">
        <v>740</v>
      </c>
      <c r="P12" s="617" t="s">
        <v>740</v>
      </c>
      <c r="Q12" s="616"/>
    </row>
    <row r="13" spans="1:17" s="148" customFormat="1" ht="20.25" customHeight="1">
      <c r="A13" s="1940">
        <v>2016</v>
      </c>
      <c r="B13" s="1941"/>
      <c r="C13" s="618">
        <v>150</v>
      </c>
      <c r="D13" s="618">
        <v>1386.6</v>
      </c>
      <c r="E13" s="623">
        <v>5103.6000000000004</v>
      </c>
      <c r="F13" s="1153">
        <v>4020</v>
      </c>
      <c r="G13" s="1154">
        <v>4095</v>
      </c>
      <c r="H13" s="623">
        <v>1785</v>
      </c>
      <c r="I13" s="619">
        <v>6888.6</v>
      </c>
      <c r="J13" s="618">
        <v>512</v>
      </c>
      <c r="K13" s="618">
        <v>851.56</v>
      </c>
      <c r="L13" s="623">
        <v>1687.56</v>
      </c>
      <c r="M13" s="618">
        <v>516</v>
      </c>
      <c r="N13" s="618">
        <v>516</v>
      </c>
      <c r="O13" s="618">
        <v>129</v>
      </c>
      <c r="P13" s="623">
        <v>1816.8</v>
      </c>
      <c r="Q13" s="620">
        <v>8705.4</v>
      </c>
    </row>
    <row r="14" spans="1:17" s="148" customFormat="1" ht="15.6">
      <c r="A14" s="1942">
        <v>2017</v>
      </c>
      <c r="B14" s="1943"/>
      <c r="C14" s="621">
        <v>300</v>
      </c>
      <c r="D14" s="623">
        <v>1622</v>
      </c>
      <c r="E14" s="623">
        <v>6425.6</v>
      </c>
      <c r="F14" s="623">
        <v>4130</v>
      </c>
      <c r="G14" s="623">
        <v>4405</v>
      </c>
      <c r="H14" s="623">
        <v>2060</v>
      </c>
      <c r="I14" s="622">
        <v>8485.6</v>
      </c>
      <c r="J14" s="621">
        <v>472</v>
      </c>
      <c r="K14" s="621">
        <v>756.6</v>
      </c>
      <c r="L14" s="1154">
        <v>1972.1599999999999</v>
      </c>
      <c r="M14" s="621">
        <v>516</v>
      </c>
      <c r="N14" s="621">
        <v>516</v>
      </c>
      <c r="O14" s="621">
        <v>129</v>
      </c>
      <c r="P14" s="623">
        <v>2101.4</v>
      </c>
      <c r="Q14" s="623">
        <v>10587</v>
      </c>
    </row>
    <row r="15" spans="1:17" s="148" customFormat="1" ht="16.5" customHeight="1">
      <c r="A15" s="848">
        <v>2018</v>
      </c>
      <c r="B15" s="440"/>
      <c r="C15" s="1152">
        <v>100</v>
      </c>
      <c r="D15" s="1152">
        <v>638</v>
      </c>
      <c r="E15" s="623">
        <v>6963.6</v>
      </c>
      <c r="F15" s="1153">
        <v>4370</v>
      </c>
      <c r="G15" s="1154">
        <v>4420</v>
      </c>
      <c r="H15" s="1154">
        <v>2110</v>
      </c>
      <c r="I15" s="1154">
        <v>9073.6</v>
      </c>
      <c r="J15" s="1152">
        <v>694</v>
      </c>
      <c r="K15" s="1152">
        <v>976</v>
      </c>
      <c r="L15" s="1154">
        <v>2254.16</v>
      </c>
      <c r="M15" s="1154">
        <v>516</v>
      </c>
      <c r="N15" s="1152">
        <v>516</v>
      </c>
      <c r="O15" s="1152">
        <v>129</v>
      </c>
      <c r="P15" s="1154">
        <v>2383.4</v>
      </c>
      <c r="Q15" s="1154">
        <v>11457</v>
      </c>
    </row>
    <row r="16" spans="1:17" s="148" customFormat="1" ht="16.5" customHeight="1">
      <c r="A16" s="848">
        <v>2019</v>
      </c>
      <c r="B16" s="440"/>
      <c r="C16" s="1152">
        <v>485</v>
      </c>
      <c r="D16" s="1152">
        <v>861</v>
      </c>
      <c r="E16" s="623">
        <v>7339.6</v>
      </c>
      <c r="F16" s="1153">
        <v>4420</v>
      </c>
      <c r="G16" s="1154">
        <v>4420</v>
      </c>
      <c r="H16" s="1154">
        <v>2110</v>
      </c>
      <c r="I16" s="1154">
        <v>9449.6</v>
      </c>
      <c r="J16" s="1152">
        <v>475.6</v>
      </c>
      <c r="K16" s="1152">
        <v>688</v>
      </c>
      <c r="L16" s="1154">
        <v>2466.56</v>
      </c>
      <c r="M16" s="1154">
        <v>516</v>
      </c>
      <c r="N16" s="1152">
        <v>516</v>
      </c>
      <c r="O16" s="1152">
        <v>129</v>
      </c>
      <c r="P16" s="1154">
        <v>2595.8000000000002</v>
      </c>
      <c r="Q16" s="1154">
        <v>12045.4</v>
      </c>
    </row>
    <row r="17" spans="1:17" s="148" customFormat="1" ht="16.5" customHeight="1">
      <c r="A17" s="848">
        <v>2020</v>
      </c>
      <c r="B17" s="440"/>
      <c r="C17" s="1152">
        <v>920</v>
      </c>
      <c r="D17" s="1152">
        <v>1202</v>
      </c>
      <c r="E17" s="623">
        <v>7621.6</v>
      </c>
      <c r="F17" s="1153">
        <v>4110</v>
      </c>
      <c r="G17" s="1154">
        <v>4110</v>
      </c>
      <c r="H17" s="1154">
        <v>2110</v>
      </c>
      <c r="I17" s="1154">
        <v>9731.6</v>
      </c>
      <c r="J17" s="1152">
        <v>286</v>
      </c>
      <c r="K17" s="1152">
        <v>1038</v>
      </c>
      <c r="L17" s="1154">
        <v>3218.56</v>
      </c>
      <c r="M17" s="1154">
        <v>473</v>
      </c>
      <c r="N17" s="1152">
        <v>473</v>
      </c>
      <c r="O17" s="1152">
        <v>129</v>
      </c>
      <c r="P17" s="1154">
        <v>3347.8</v>
      </c>
      <c r="Q17" s="1154">
        <v>13079.400000000001</v>
      </c>
    </row>
    <row r="18" spans="1:17" s="148" customFormat="1" ht="16.5" customHeight="1">
      <c r="A18" s="848">
        <v>2021</v>
      </c>
      <c r="B18" s="440"/>
      <c r="C18" s="1152">
        <v>866.6</v>
      </c>
      <c r="D18" s="1152">
        <v>2304</v>
      </c>
      <c r="E18" s="623">
        <v>9059</v>
      </c>
      <c r="F18" s="1153">
        <v>4420</v>
      </c>
      <c r="G18" s="1154">
        <v>4420</v>
      </c>
      <c r="H18" s="1154">
        <v>2110</v>
      </c>
      <c r="I18" s="1154">
        <v>11169</v>
      </c>
      <c r="J18" s="1152">
        <v>600</v>
      </c>
      <c r="K18" s="1152">
        <v>500</v>
      </c>
      <c r="L18" s="1154">
        <v>3118.56</v>
      </c>
      <c r="M18" s="1154">
        <v>516</v>
      </c>
      <c r="N18" s="1152">
        <v>516</v>
      </c>
      <c r="O18" s="1152">
        <v>129</v>
      </c>
      <c r="P18" s="1154">
        <v>3247.8</v>
      </c>
      <c r="Q18" s="1154">
        <v>14416.8</v>
      </c>
    </row>
    <row r="19" spans="1:17" s="148" customFormat="1" ht="16.5" customHeight="1">
      <c r="A19" s="848">
        <v>2022</v>
      </c>
      <c r="B19" s="440"/>
      <c r="C19" s="1152">
        <v>1252</v>
      </c>
      <c r="D19" s="1152">
        <v>876</v>
      </c>
      <c r="E19" s="623">
        <v>8683</v>
      </c>
      <c r="F19" s="1153">
        <v>4420</v>
      </c>
      <c r="G19" s="1154">
        <v>4320</v>
      </c>
      <c r="H19" s="1154">
        <v>2010</v>
      </c>
      <c r="I19" s="1154">
        <v>10693</v>
      </c>
      <c r="J19" s="1152">
        <v>312</v>
      </c>
      <c r="K19" s="1152">
        <v>443.6</v>
      </c>
      <c r="L19" s="1154">
        <v>3250.16</v>
      </c>
      <c r="M19" s="1154">
        <v>516</v>
      </c>
      <c r="N19" s="1152">
        <v>516</v>
      </c>
      <c r="O19" s="1152">
        <v>129</v>
      </c>
      <c r="P19" s="1154">
        <v>3379.8</v>
      </c>
      <c r="Q19" s="1154">
        <v>14072.8</v>
      </c>
    </row>
    <row r="20" spans="1:17" s="148" customFormat="1" ht="16.5" customHeight="1">
      <c r="A20" s="848">
        <v>2023</v>
      </c>
      <c r="B20" s="440"/>
      <c r="C20" s="1152">
        <v>1640</v>
      </c>
      <c r="D20" s="1152">
        <v>2292</v>
      </c>
      <c r="E20" s="623">
        <v>9335</v>
      </c>
      <c r="F20" s="1153">
        <v>4320</v>
      </c>
      <c r="G20" s="1154">
        <v>4420</v>
      </c>
      <c r="H20" s="1154">
        <v>2110</v>
      </c>
      <c r="I20" s="1154">
        <v>11445</v>
      </c>
      <c r="J20" s="1152">
        <v>312</v>
      </c>
      <c r="K20" s="1152">
        <v>688</v>
      </c>
      <c r="L20" s="1154">
        <v>3626.16</v>
      </c>
      <c r="M20" s="1154">
        <v>516</v>
      </c>
      <c r="N20" s="1152">
        <v>516</v>
      </c>
      <c r="O20" s="1152">
        <v>129</v>
      </c>
      <c r="P20" s="1154">
        <v>3755.16</v>
      </c>
      <c r="Q20" s="1154">
        <v>15200.16</v>
      </c>
    </row>
    <row r="21" spans="1:17" s="148" customFormat="1" ht="16.5" customHeight="1">
      <c r="A21" s="848">
        <v>2024</v>
      </c>
      <c r="B21" s="440"/>
      <c r="C21" s="1152">
        <v>620</v>
      </c>
      <c r="D21" s="1152">
        <v>1748</v>
      </c>
      <c r="E21" s="623">
        <v>10463</v>
      </c>
      <c r="F21" s="1153">
        <v>4420</v>
      </c>
      <c r="G21" s="1154">
        <v>4420</v>
      </c>
      <c r="H21" s="1154">
        <v>2110</v>
      </c>
      <c r="I21" s="1154">
        <v>12573</v>
      </c>
      <c r="J21" s="1152">
        <v>1064</v>
      </c>
      <c r="K21" s="1152">
        <v>1346</v>
      </c>
      <c r="L21" s="1154">
        <v>3908.16</v>
      </c>
      <c r="M21" s="1154">
        <v>516</v>
      </c>
      <c r="N21" s="1152">
        <v>516</v>
      </c>
      <c r="O21" s="1152">
        <v>129</v>
      </c>
      <c r="P21" s="1154">
        <v>4037.16</v>
      </c>
      <c r="Q21" s="1154">
        <v>16610.16</v>
      </c>
    </row>
    <row r="22" spans="1:17" s="148" customFormat="1" ht="16.5" customHeight="1">
      <c r="A22" s="1072">
        <v>2025</v>
      </c>
      <c r="B22" s="1073"/>
      <c r="C22" s="1074">
        <f>SUM(C25:C28)</f>
        <v>688</v>
      </c>
      <c r="D22" s="1074">
        <f>SUM(D25:D28)</f>
        <v>1976</v>
      </c>
      <c r="E22" s="742">
        <f>E21-C22+D22</f>
        <v>11751</v>
      </c>
      <c r="F22" s="1075">
        <f>SUM(F25:F28)</f>
        <v>4490</v>
      </c>
      <c r="G22" s="1076">
        <f>SUM(G25:G28)</f>
        <v>4490</v>
      </c>
      <c r="H22" s="1076">
        <f>H21-F22+G22</f>
        <v>2110</v>
      </c>
      <c r="I22" s="1076">
        <f>E22+H22</f>
        <v>13861</v>
      </c>
      <c r="J22" s="1074">
        <f>SUM(J25:J28)</f>
        <v>1457.6</v>
      </c>
      <c r="K22" s="1074">
        <f>SUM(K25:K28)</f>
        <v>2937.2</v>
      </c>
      <c r="L22" s="1076">
        <f>L21-J22+K22</f>
        <v>5387.76</v>
      </c>
      <c r="M22" s="1076">
        <f>SUM(M25:M28)</f>
        <v>537</v>
      </c>
      <c r="N22" s="1074">
        <f>SUM(N25:N28)</f>
        <v>558</v>
      </c>
      <c r="O22" s="1074">
        <f>O21-M22+N22</f>
        <v>150</v>
      </c>
      <c r="P22" s="1076">
        <f>L22+O22</f>
        <v>5537.76</v>
      </c>
      <c r="Q22" s="1076">
        <f>P22+I22</f>
        <v>19398.760000000002</v>
      </c>
    </row>
    <row r="23" spans="1:17" s="148" customFormat="1" ht="21" customHeight="1">
      <c r="A23" s="848">
        <v>2024</v>
      </c>
      <c r="B23" s="440" t="s">
        <v>237</v>
      </c>
      <c r="C23" s="1152">
        <v>150</v>
      </c>
      <c r="D23" s="1152">
        <v>526</v>
      </c>
      <c r="E23" s="623">
        <v>10087</v>
      </c>
      <c r="F23" s="1153">
        <v>1105</v>
      </c>
      <c r="G23" s="1154">
        <v>1105</v>
      </c>
      <c r="H23" s="1154">
        <v>2110</v>
      </c>
      <c r="I23" s="1154">
        <v>12197</v>
      </c>
      <c r="J23" s="1152">
        <v>78</v>
      </c>
      <c r="K23" s="1152">
        <v>78</v>
      </c>
      <c r="L23" s="1154">
        <v>3626.2</v>
      </c>
      <c r="M23" s="1154">
        <v>129</v>
      </c>
      <c r="N23" s="1152">
        <v>129</v>
      </c>
      <c r="O23" s="1152">
        <v>129</v>
      </c>
      <c r="P23" s="1154">
        <v>3755.2</v>
      </c>
      <c r="Q23" s="1154">
        <v>15952.2</v>
      </c>
    </row>
    <row r="24" spans="1:17" s="148" customFormat="1" ht="15" customHeight="1">
      <c r="A24" s="848"/>
      <c r="B24" s="440" t="s">
        <v>238</v>
      </c>
      <c r="C24" s="1152">
        <v>185</v>
      </c>
      <c r="D24" s="1152">
        <v>561</v>
      </c>
      <c r="E24" s="623">
        <v>10463</v>
      </c>
      <c r="F24" s="1153">
        <v>1105</v>
      </c>
      <c r="G24" s="1154">
        <v>1105</v>
      </c>
      <c r="H24" s="1154">
        <v>2110</v>
      </c>
      <c r="I24" s="1154">
        <v>12573</v>
      </c>
      <c r="J24" s="1152">
        <v>454</v>
      </c>
      <c r="K24" s="1152">
        <v>736</v>
      </c>
      <c r="L24" s="1154">
        <v>3908.2</v>
      </c>
      <c r="M24" s="1154">
        <v>129</v>
      </c>
      <c r="N24" s="1152">
        <v>129</v>
      </c>
      <c r="O24" s="1152">
        <v>129</v>
      </c>
      <c r="P24" s="1154">
        <v>4037.2</v>
      </c>
      <c r="Q24" s="1154">
        <v>16610.2</v>
      </c>
    </row>
    <row r="25" spans="1:17" s="148" customFormat="1" ht="21" customHeight="1">
      <c r="A25" s="848">
        <v>2025</v>
      </c>
      <c r="B25" s="440" t="s">
        <v>239</v>
      </c>
      <c r="C25" s="1152">
        <v>150</v>
      </c>
      <c r="D25" s="1152">
        <v>200</v>
      </c>
      <c r="E25" s="623">
        <v>10513</v>
      </c>
      <c r="F25" s="1153">
        <v>1105</v>
      </c>
      <c r="G25" s="1154">
        <v>1105</v>
      </c>
      <c r="H25" s="1154">
        <v>2110</v>
      </c>
      <c r="I25" s="1154">
        <v>12623</v>
      </c>
      <c r="J25" s="1152">
        <v>647.6</v>
      </c>
      <c r="K25" s="1152">
        <v>78</v>
      </c>
      <c r="L25" s="1154">
        <v>3338.6</v>
      </c>
      <c r="M25" s="1154">
        <v>129</v>
      </c>
      <c r="N25" s="1152">
        <v>129</v>
      </c>
      <c r="O25" s="1152">
        <v>129</v>
      </c>
      <c r="P25" s="1154">
        <v>3467.6</v>
      </c>
      <c r="Q25" s="1154">
        <v>16090.6</v>
      </c>
    </row>
    <row r="26" spans="1:17" s="148" customFormat="1" ht="15" customHeight="1">
      <c r="A26" s="848"/>
      <c r="B26" s="440" t="s">
        <v>240</v>
      </c>
      <c r="C26" s="1152">
        <v>200</v>
      </c>
      <c r="D26" s="1152">
        <v>782</v>
      </c>
      <c r="E26" s="623">
        <v>11095</v>
      </c>
      <c r="F26" s="1153">
        <v>1105</v>
      </c>
      <c r="G26" s="1154">
        <v>1105</v>
      </c>
      <c r="H26" s="1154">
        <v>2110</v>
      </c>
      <c r="I26" s="1154">
        <v>13205</v>
      </c>
      <c r="J26" s="1152">
        <v>78</v>
      </c>
      <c r="K26" s="1152">
        <v>736</v>
      </c>
      <c r="L26" s="1154">
        <v>3996.6</v>
      </c>
      <c r="M26" s="1154">
        <v>129</v>
      </c>
      <c r="N26" s="1152">
        <v>129</v>
      </c>
      <c r="O26" s="1152">
        <v>129</v>
      </c>
      <c r="P26" s="1154">
        <v>4125.6000000000004</v>
      </c>
      <c r="Q26" s="1154">
        <v>17330.599999999999</v>
      </c>
    </row>
    <row r="27" spans="1:17" s="148" customFormat="1" ht="15" customHeight="1">
      <c r="A27" s="848"/>
      <c r="B27" s="440" t="s">
        <v>237</v>
      </c>
      <c r="C27" s="1152">
        <v>338</v>
      </c>
      <c r="D27" s="1152">
        <v>618</v>
      </c>
      <c r="E27" s="623">
        <v>11375</v>
      </c>
      <c r="F27" s="1153">
        <v>1105</v>
      </c>
      <c r="G27" s="1154">
        <v>1105</v>
      </c>
      <c r="H27" s="1154">
        <v>2110</v>
      </c>
      <c r="I27" s="1154">
        <v>13485</v>
      </c>
      <c r="J27" s="1152">
        <v>278</v>
      </c>
      <c r="K27" s="1152">
        <v>1191.2</v>
      </c>
      <c r="L27" s="1154">
        <v>4909.8</v>
      </c>
      <c r="M27" s="1154">
        <v>129</v>
      </c>
      <c r="N27" s="1152">
        <v>150</v>
      </c>
      <c r="O27" s="1152">
        <v>150</v>
      </c>
      <c r="P27" s="1154">
        <v>5059.8</v>
      </c>
      <c r="Q27" s="1154">
        <v>18544.8</v>
      </c>
    </row>
    <row r="28" spans="1:17" s="148" customFormat="1" ht="15" customHeight="1">
      <c r="A28" s="848"/>
      <c r="B28" s="440" t="s">
        <v>238</v>
      </c>
      <c r="C28" s="1152">
        <f>SUM(C34:C36)</f>
        <v>0</v>
      </c>
      <c r="D28" s="1152">
        <f>SUM(D34:D36)</f>
        <v>376</v>
      </c>
      <c r="E28" s="623">
        <f>E27-C28+D28</f>
        <v>11751</v>
      </c>
      <c r="F28" s="1153">
        <f>SUM(F34:F36)</f>
        <v>1175</v>
      </c>
      <c r="G28" s="1154">
        <f>SUM(G34:G36)</f>
        <v>1175</v>
      </c>
      <c r="H28" s="1154">
        <f>H27-F28+G28</f>
        <v>2110</v>
      </c>
      <c r="I28" s="1154">
        <f>E28+H28</f>
        <v>13861</v>
      </c>
      <c r="J28" s="1152">
        <f>SUM(J34:J36)</f>
        <v>454</v>
      </c>
      <c r="K28" s="1152">
        <f>SUM(K34:K36)</f>
        <v>932</v>
      </c>
      <c r="L28" s="1154">
        <f>L27-J28+K28</f>
        <v>5387.8</v>
      </c>
      <c r="M28" s="1154">
        <f>SUM(M34:M36)</f>
        <v>150</v>
      </c>
      <c r="N28" s="1152">
        <f>SUM(N34:N36)</f>
        <v>150</v>
      </c>
      <c r="O28" s="1152">
        <f>O27-M28+N28</f>
        <v>150</v>
      </c>
      <c r="P28" s="1154">
        <f>L28+O28</f>
        <v>5537.8</v>
      </c>
      <c r="Q28" s="1154">
        <f>I28+P28</f>
        <v>19398.8</v>
      </c>
    </row>
    <row r="29" spans="1:17" s="148" customFormat="1" ht="21" customHeight="1">
      <c r="A29" s="848">
        <v>2026</v>
      </c>
      <c r="B29" s="440" t="s">
        <v>239</v>
      </c>
      <c r="C29" s="1152">
        <f>SUM(C37:C39)</f>
        <v>996</v>
      </c>
      <c r="D29" s="1152">
        <f>SUM(D37:D39)</f>
        <v>926.8</v>
      </c>
      <c r="E29" s="623">
        <f>E28-C29+D29</f>
        <v>11681.8</v>
      </c>
      <c r="F29" s="1153">
        <f>SUM(F37:F39)</f>
        <v>1035</v>
      </c>
      <c r="G29" s="1154">
        <f>SUM(G37:G39)</f>
        <v>1035</v>
      </c>
      <c r="H29" s="1154">
        <f>H28-F29+G29</f>
        <v>2110</v>
      </c>
      <c r="I29" s="1154">
        <f>E29+H29</f>
        <v>13791.8</v>
      </c>
      <c r="J29" s="1152">
        <f>SUM(J37:J39)</f>
        <v>102</v>
      </c>
      <c r="K29" s="1152">
        <f>SUM(K37:K39)</f>
        <v>540.79999999999995</v>
      </c>
      <c r="L29" s="1154">
        <f>L28-J29+K29</f>
        <v>5826.6</v>
      </c>
      <c r="M29" s="1154">
        <f>SUM(M37:M39)</f>
        <v>150</v>
      </c>
      <c r="N29" s="1152">
        <f>SUM(N37:N39)</f>
        <v>150</v>
      </c>
      <c r="O29" s="1152">
        <f>O28-M29+N29</f>
        <v>150</v>
      </c>
      <c r="P29" s="1154">
        <f>L29+O29</f>
        <v>5976.6</v>
      </c>
      <c r="Q29" s="1154">
        <f>I29+P29</f>
        <v>19768.400000000001</v>
      </c>
    </row>
    <row r="30" spans="1:17" s="148" customFormat="1" ht="15" customHeight="1">
      <c r="A30" s="1072"/>
      <c r="B30" s="1073" t="s">
        <v>240</v>
      </c>
      <c r="C30" s="1074">
        <f>SUM(C40:C42)</f>
        <v>638</v>
      </c>
      <c r="D30" s="1074">
        <f>SUM(D40:D42)</f>
        <v>726</v>
      </c>
      <c r="E30" s="742">
        <f>E29-C30+D30</f>
        <v>11769.8</v>
      </c>
      <c r="F30" s="1075">
        <f>SUM(F40:F42)</f>
        <v>1105</v>
      </c>
      <c r="G30" s="1076">
        <f>SUM(G40:G42)</f>
        <v>1105</v>
      </c>
      <c r="H30" s="1076">
        <f>H29-F30+G30</f>
        <v>2110</v>
      </c>
      <c r="I30" s="1076">
        <f>E30+H30</f>
        <v>13879.8</v>
      </c>
      <c r="J30" s="1074">
        <f>SUM(J40:J42)</f>
        <v>150</v>
      </c>
      <c r="K30" s="1074">
        <f>SUM(K40:K42)</f>
        <v>240</v>
      </c>
      <c r="L30" s="1076">
        <f>L29-J30+K30</f>
        <v>5916.6</v>
      </c>
      <c r="M30" s="1076">
        <f>SUM(M40:M42)</f>
        <v>150</v>
      </c>
      <c r="N30" s="1074">
        <f>SUM(N40:N42)</f>
        <v>150</v>
      </c>
      <c r="O30" s="1074">
        <f>O29-M30+N30</f>
        <v>150</v>
      </c>
      <c r="P30" s="1076">
        <f>L30+O30</f>
        <v>6066.6</v>
      </c>
      <c r="Q30" s="1076">
        <f>I30+P30</f>
        <v>19946.400000000001</v>
      </c>
    </row>
    <row r="31" spans="1:17" s="148" customFormat="1" ht="21" customHeight="1">
      <c r="A31" s="848">
        <v>2025</v>
      </c>
      <c r="B31" s="440" t="s">
        <v>420</v>
      </c>
      <c r="C31" s="1152">
        <v>150</v>
      </c>
      <c r="D31" s="1152">
        <v>250</v>
      </c>
      <c r="E31" s="623">
        <v>11195</v>
      </c>
      <c r="F31" s="1153">
        <v>415</v>
      </c>
      <c r="G31" s="1152">
        <v>415</v>
      </c>
      <c r="H31" s="1154">
        <v>2110</v>
      </c>
      <c r="I31" s="1154">
        <v>13305</v>
      </c>
      <c r="J31" s="1152">
        <v>252</v>
      </c>
      <c r="K31" s="1152">
        <v>828.4</v>
      </c>
      <c r="L31" s="1154">
        <v>4573</v>
      </c>
      <c r="M31" s="1154">
        <v>43</v>
      </c>
      <c r="N31" s="1152">
        <v>50</v>
      </c>
      <c r="O31" s="1152">
        <v>136</v>
      </c>
      <c r="P31" s="1154">
        <v>4709</v>
      </c>
      <c r="Q31" s="1154">
        <v>18014</v>
      </c>
    </row>
    <row r="32" spans="1:17" s="148" customFormat="1" ht="15.75" customHeight="1">
      <c r="A32" s="848"/>
      <c r="B32" s="440" t="s">
        <v>421</v>
      </c>
      <c r="C32" s="1152">
        <v>188</v>
      </c>
      <c r="D32" s="1152">
        <v>188</v>
      </c>
      <c r="E32" s="623">
        <f t="shared" ref="E32:E40" si="0">E31-C32+D32</f>
        <v>11195</v>
      </c>
      <c r="F32" s="1153">
        <v>345</v>
      </c>
      <c r="G32" s="1152">
        <v>345</v>
      </c>
      <c r="H32" s="1154">
        <f t="shared" ref="H32:H40" si="1">H31-F32+G32</f>
        <v>2110</v>
      </c>
      <c r="I32" s="1154">
        <f t="shared" ref="I32:I40" si="2">E32+H32</f>
        <v>13305</v>
      </c>
      <c r="J32" s="1152">
        <v>0</v>
      </c>
      <c r="K32" s="1152">
        <v>200</v>
      </c>
      <c r="L32" s="1154">
        <f t="shared" ref="L32:L40" si="3">L31-J32+K32</f>
        <v>4773</v>
      </c>
      <c r="M32" s="1154">
        <v>43</v>
      </c>
      <c r="N32" s="1152">
        <v>50</v>
      </c>
      <c r="O32" s="1152">
        <f t="shared" ref="O32:O40" si="4">O31-M32+N32</f>
        <v>143</v>
      </c>
      <c r="P32" s="1154">
        <f t="shared" ref="P32:P40" si="5">L32+O32</f>
        <v>4916</v>
      </c>
      <c r="Q32" s="1154">
        <f t="shared" ref="Q32:Q40" si="6">I32+P32</f>
        <v>18221</v>
      </c>
    </row>
    <row r="33" spans="1:17" s="148" customFormat="1" ht="15.75" customHeight="1">
      <c r="A33" s="848"/>
      <c r="B33" s="440" t="s">
        <v>422</v>
      </c>
      <c r="C33" s="1152">
        <v>0</v>
      </c>
      <c r="D33" s="1152">
        <v>180</v>
      </c>
      <c r="E33" s="623">
        <f t="shared" si="0"/>
        <v>11375</v>
      </c>
      <c r="F33" s="1153">
        <v>345</v>
      </c>
      <c r="G33" s="1152">
        <v>345</v>
      </c>
      <c r="H33" s="1154">
        <f t="shared" si="1"/>
        <v>2110</v>
      </c>
      <c r="I33" s="1154">
        <f t="shared" si="2"/>
        <v>13485</v>
      </c>
      <c r="J33" s="1152">
        <v>26</v>
      </c>
      <c r="K33" s="1152">
        <v>162.80000000000001</v>
      </c>
      <c r="L33" s="1154">
        <f t="shared" si="3"/>
        <v>4909.8</v>
      </c>
      <c r="M33" s="1154">
        <v>43</v>
      </c>
      <c r="N33" s="1152">
        <v>50</v>
      </c>
      <c r="O33" s="1152">
        <f t="shared" si="4"/>
        <v>150</v>
      </c>
      <c r="P33" s="1154">
        <f t="shared" si="5"/>
        <v>5059.8</v>
      </c>
      <c r="Q33" s="1154">
        <f t="shared" si="6"/>
        <v>18544.8</v>
      </c>
    </row>
    <row r="34" spans="1:17" s="148" customFormat="1" ht="15.75" customHeight="1">
      <c r="A34" s="848"/>
      <c r="B34" s="440" t="s">
        <v>411</v>
      </c>
      <c r="C34" s="1152">
        <v>0</v>
      </c>
      <c r="D34" s="1152">
        <v>376</v>
      </c>
      <c r="E34" s="623">
        <f t="shared" si="0"/>
        <v>11751</v>
      </c>
      <c r="F34" s="1153">
        <v>380</v>
      </c>
      <c r="G34" s="1152">
        <v>380</v>
      </c>
      <c r="H34" s="1154">
        <f t="shared" si="1"/>
        <v>2110</v>
      </c>
      <c r="I34" s="1154">
        <f t="shared" si="2"/>
        <v>13861</v>
      </c>
      <c r="J34" s="1152">
        <v>428</v>
      </c>
      <c r="K34" s="1152">
        <v>664</v>
      </c>
      <c r="L34" s="1154">
        <f t="shared" si="3"/>
        <v>5145.8</v>
      </c>
      <c r="M34" s="1154">
        <v>50</v>
      </c>
      <c r="N34" s="1152">
        <v>50</v>
      </c>
      <c r="O34" s="1152">
        <f t="shared" si="4"/>
        <v>150</v>
      </c>
      <c r="P34" s="1154">
        <f t="shared" si="5"/>
        <v>5295.8</v>
      </c>
      <c r="Q34" s="1154">
        <f t="shared" si="6"/>
        <v>19156.8</v>
      </c>
    </row>
    <row r="35" spans="1:17" s="148" customFormat="1" ht="15.75" customHeight="1">
      <c r="A35" s="848"/>
      <c r="B35" s="440" t="s">
        <v>412</v>
      </c>
      <c r="C35" s="1152">
        <v>0</v>
      </c>
      <c r="D35" s="1152">
        <v>0</v>
      </c>
      <c r="E35" s="623">
        <f t="shared" si="0"/>
        <v>11751</v>
      </c>
      <c r="F35" s="1153">
        <v>380</v>
      </c>
      <c r="G35" s="1152">
        <v>380</v>
      </c>
      <c r="H35" s="1154">
        <f t="shared" si="1"/>
        <v>2110</v>
      </c>
      <c r="I35" s="1154">
        <f t="shared" si="2"/>
        <v>13861</v>
      </c>
      <c r="J35" s="1152">
        <v>0</v>
      </c>
      <c r="K35" s="1152">
        <v>0</v>
      </c>
      <c r="L35" s="1154">
        <f t="shared" si="3"/>
        <v>5145.8</v>
      </c>
      <c r="M35" s="1154">
        <v>50</v>
      </c>
      <c r="N35" s="1152">
        <v>50</v>
      </c>
      <c r="O35" s="1152">
        <f t="shared" si="4"/>
        <v>150</v>
      </c>
      <c r="P35" s="1154">
        <f t="shared" si="5"/>
        <v>5295.8</v>
      </c>
      <c r="Q35" s="1154">
        <f t="shared" si="6"/>
        <v>19156.8</v>
      </c>
    </row>
    <row r="36" spans="1:17" s="148" customFormat="1" ht="15.75" customHeight="1">
      <c r="A36" s="848"/>
      <c r="B36" s="440" t="s">
        <v>413</v>
      </c>
      <c r="C36" s="1152">
        <v>0</v>
      </c>
      <c r="D36" s="1152">
        <v>0</v>
      </c>
      <c r="E36" s="623">
        <f t="shared" si="0"/>
        <v>11751</v>
      </c>
      <c r="F36" s="1153">
        <v>415</v>
      </c>
      <c r="G36" s="1152">
        <v>415</v>
      </c>
      <c r="H36" s="1154">
        <f t="shared" si="1"/>
        <v>2110</v>
      </c>
      <c r="I36" s="1154">
        <f t="shared" si="2"/>
        <v>13861</v>
      </c>
      <c r="J36" s="1152">
        <v>26</v>
      </c>
      <c r="K36" s="1152">
        <v>268</v>
      </c>
      <c r="L36" s="1154">
        <f t="shared" si="3"/>
        <v>5387.8</v>
      </c>
      <c r="M36" s="1154">
        <v>50</v>
      </c>
      <c r="N36" s="1152">
        <v>50</v>
      </c>
      <c r="O36" s="1152">
        <f t="shared" si="4"/>
        <v>150</v>
      </c>
      <c r="P36" s="1154">
        <f t="shared" si="5"/>
        <v>5537.8</v>
      </c>
      <c r="Q36" s="1154">
        <f t="shared" si="6"/>
        <v>19398.8</v>
      </c>
    </row>
    <row r="37" spans="1:17" s="148" customFormat="1" ht="21" customHeight="1">
      <c r="A37" s="848">
        <v>2026</v>
      </c>
      <c r="B37" s="440" t="s">
        <v>414</v>
      </c>
      <c r="C37" s="1152">
        <f>100+188+(1125*0.376)</f>
        <v>711</v>
      </c>
      <c r="D37" s="1152">
        <f>150+188</f>
        <v>338</v>
      </c>
      <c r="E37" s="623">
        <f t="shared" si="0"/>
        <v>11378</v>
      </c>
      <c r="F37" s="1153">
        <v>345</v>
      </c>
      <c r="G37" s="1152">
        <v>345</v>
      </c>
      <c r="H37" s="1154">
        <f t="shared" si="1"/>
        <v>2110</v>
      </c>
      <c r="I37" s="1154">
        <f t="shared" si="2"/>
        <v>13488</v>
      </c>
      <c r="J37" s="1152">
        <f>26+26</f>
        <v>52</v>
      </c>
      <c r="K37" s="1152">
        <f>30+50+50</f>
        <v>130</v>
      </c>
      <c r="L37" s="1154">
        <f t="shared" si="3"/>
        <v>5465.8</v>
      </c>
      <c r="M37" s="1154">
        <v>50</v>
      </c>
      <c r="N37" s="1152">
        <v>50</v>
      </c>
      <c r="O37" s="1152">
        <f t="shared" si="4"/>
        <v>150</v>
      </c>
      <c r="P37" s="1154">
        <f t="shared" si="5"/>
        <v>5615.8</v>
      </c>
      <c r="Q37" s="1154">
        <f t="shared" si="6"/>
        <v>19103.8</v>
      </c>
    </row>
    <row r="38" spans="1:17" s="148" customFormat="1" ht="15.75" customHeight="1">
      <c r="A38" s="848"/>
      <c r="B38" s="440" t="s">
        <v>415</v>
      </c>
      <c r="C38" s="1152">
        <v>0</v>
      </c>
      <c r="D38" s="1152">
        <f>100+488.8</f>
        <v>588.79999999999995</v>
      </c>
      <c r="E38" s="623">
        <f t="shared" si="0"/>
        <v>11966.8</v>
      </c>
      <c r="F38" s="1153">
        <v>345</v>
      </c>
      <c r="G38" s="1152">
        <v>345</v>
      </c>
      <c r="H38" s="1154">
        <f t="shared" si="1"/>
        <v>2110</v>
      </c>
      <c r="I38" s="1154">
        <f t="shared" si="2"/>
        <v>14076.8</v>
      </c>
      <c r="J38" s="1152">
        <v>0</v>
      </c>
      <c r="K38" s="1152">
        <v>300.8</v>
      </c>
      <c r="L38" s="1154">
        <f t="shared" si="3"/>
        <v>5766.6</v>
      </c>
      <c r="M38" s="1154">
        <v>50</v>
      </c>
      <c r="N38" s="1152">
        <v>50</v>
      </c>
      <c r="O38" s="1152">
        <f t="shared" si="4"/>
        <v>150</v>
      </c>
      <c r="P38" s="1154">
        <f t="shared" si="5"/>
        <v>5916.6</v>
      </c>
      <c r="Q38" s="1154">
        <f t="shared" si="6"/>
        <v>19993.400000000001</v>
      </c>
    </row>
    <row r="39" spans="1:17" s="148" customFormat="1" ht="15.75" customHeight="1">
      <c r="A39" s="848"/>
      <c r="B39" s="440" t="s">
        <v>416</v>
      </c>
      <c r="C39" s="1152">
        <v>285</v>
      </c>
      <c r="D39" s="1152">
        <v>0</v>
      </c>
      <c r="E39" s="623">
        <f t="shared" si="0"/>
        <v>11681.8</v>
      </c>
      <c r="F39" s="1153">
        <v>345</v>
      </c>
      <c r="G39" s="1152">
        <v>345</v>
      </c>
      <c r="H39" s="1154">
        <f t="shared" si="1"/>
        <v>2110</v>
      </c>
      <c r="I39" s="1154">
        <f t="shared" si="2"/>
        <v>13791.8</v>
      </c>
      <c r="J39" s="1152">
        <v>50</v>
      </c>
      <c r="K39" s="1152">
        <f>60+50</f>
        <v>110</v>
      </c>
      <c r="L39" s="1154">
        <f t="shared" si="3"/>
        <v>5826.6</v>
      </c>
      <c r="M39" s="1154">
        <v>50</v>
      </c>
      <c r="N39" s="1152">
        <v>50</v>
      </c>
      <c r="O39" s="1152">
        <f t="shared" si="4"/>
        <v>150</v>
      </c>
      <c r="P39" s="1154">
        <f t="shared" si="5"/>
        <v>5976.6</v>
      </c>
      <c r="Q39" s="1154">
        <f t="shared" si="6"/>
        <v>19768.400000000001</v>
      </c>
    </row>
    <row r="40" spans="1:17" s="148" customFormat="1" ht="15.75" customHeight="1">
      <c r="A40" s="848"/>
      <c r="B40" s="440" t="s">
        <v>417</v>
      </c>
      <c r="C40" s="1152">
        <v>100</v>
      </c>
      <c r="D40" s="1152">
        <v>0</v>
      </c>
      <c r="E40" s="623">
        <f t="shared" si="0"/>
        <v>11581.8</v>
      </c>
      <c r="F40" s="1153">
        <v>380</v>
      </c>
      <c r="G40" s="1152">
        <v>380</v>
      </c>
      <c r="H40" s="1154">
        <f t="shared" si="1"/>
        <v>2110</v>
      </c>
      <c r="I40" s="1154">
        <f t="shared" si="2"/>
        <v>13691.8</v>
      </c>
      <c r="J40" s="1152">
        <f>50+50</f>
        <v>100</v>
      </c>
      <c r="K40" s="1152">
        <f>30+50+50</f>
        <v>130</v>
      </c>
      <c r="L40" s="1154">
        <f t="shared" si="3"/>
        <v>5856.6</v>
      </c>
      <c r="M40" s="1154">
        <v>50</v>
      </c>
      <c r="N40" s="1152">
        <v>50</v>
      </c>
      <c r="O40" s="1152">
        <f t="shared" si="4"/>
        <v>150</v>
      </c>
      <c r="P40" s="1154">
        <f t="shared" si="5"/>
        <v>6006.6</v>
      </c>
      <c r="Q40" s="1154">
        <f t="shared" si="6"/>
        <v>19698.400000000001</v>
      </c>
    </row>
    <row r="41" spans="1:17" s="148" customFormat="1" ht="15.75" customHeight="1">
      <c r="A41" s="848"/>
      <c r="B41" s="440" t="s">
        <v>418</v>
      </c>
      <c r="C41" s="1152">
        <v>388</v>
      </c>
      <c r="D41" s="1152">
        <v>200</v>
      </c>
      <c r="E41" s="623">
        <f t="shared" ref="E41" si="7">E40-C41+D41</f>
        <v>11393.8</v>
      </c>
      <c r="F41" s="1153">
        <v>380</v>
      </c>
      <c r="G41" s="1152">
        <v>380</v>
      </c>
      <c r="H41" s="1154">
        <f t="shared" ref="H41" si="8">H40-F41+G41</f>
        <v>2110</v>
      </c>
      <c r="I41" s="1154">
        <f t="shared" ref="I41" si="9">E41+H41</f>
        <v>13503.8</v>
      </c>
      <c r="J41" s="1152">
        <v>0</v>
      </c>
      <c r="K41" s="1152">
        <v>0</v>
      </c>
      <c r="L41" s="1154">
        <f t="shared" ref="L41" si="10">L40-J41+K41</f>
        <v>5856.6</v>
      </c>
      <c r="M41" s="1154">
        <v>50</v>
      </c>
      <c r="N41" s="1152">
        <v>50</v>
      </c>
      <c r="O41" s="1152">
        <f t="shared" ref="O41" si="11">O40-M41+N41</f>
        <v>150</v>
      </c>
      <c r="P41" s="1154">
        <f t="shared" ref="P41" si="12">L41+O41</f>
        <v>6006.6</v>
      </c>
      <c r="Q41" s="1154">
        <f t="shared" ref="Q41" si="13">I41+P41</f>
        <v>19510.400000000001</v>
      </c>
    </row>
    <row r="42" spans="1:17" s="148" customFormat="1" ht="15.75" customHeight="1">
      <c r="A42" s="848"/>
      <c r="B42" s="440" t="s">
        <v>419</v>
      </c>
      <c r="C42" s="1152">
        <v>150</v>
      </c>
      <c r="D42" s="1152">
        <v>526</v>
      </c>
      <c r="E42" s="623">
        <f t="shared" ref="E42" si="14">E41-C42+D42</f>
        <v>11769.8</v>
      </c>
      <c r="F42" s="1153">
        <v>345</v>
      </c>
      <c r="G42" s="1152">
        <v>345</v>
      </c>
      <c r="H42" s="1154">
        <f t="shared" ref="H42" si="15">H41-F42+G42</f>
        <v>2110</v>
      </c>
      <c r="I42" s="1154">
        <f t="shared" ref="I42" si="16">E42+H42</f>
        <v>13879.8</v>
      </c>
      <c r="J42" s="1152">
        <v>50</v>
      </c>
      <c r="K42" s="1152">
        <v>110</v>
      </c>
      <c r="L42" s="1154">
        <f t="shared" ref="L42" si="17">L41-J42+K42</f>
        <v>5916.6</v>
      </c>
      <c r="M42" s="1154">
        <v>50</v>
      </c>
      <c r="N42" s="1152">
        <v>50</v>
      </c>
      <c r="O42" s="1152">
        <f t="shared" ref="O42" si="18">O41-M42+N42</f>
        <v>150</v>
      </c>
      <c r="P42" s="1154">
        <f t="shared" ref="P42" si="19">L42+O42</f>
        <v>6066.6</v>
      </c>
      <c r="Q42" s="1154">
        <f t="shared" ref="Q42" si="20">I42+P42</f>
        <v>19946.400000000001</v>
      </c>
    </row>
    <row r="43" spans="1:17" s="148" customFormat="1" ht="15.75" customHeight="1">
      <c r="A43" s="848"/>
      <c r="B43" s="440" t="s">
        <v>420</v>
      </c>
      <c r="C43" s="1152">
        <v>0</v>
      </c>
      <c r="D43" s="1152">
        <v>200</v>
      </c>
      <c r="E43" s="623">
        <f t="shared" ref="E43" si="21">E42-C43+D43</f>
        <v>11969.8</v>
      </c>
      <c r="F43" s="1153">
        <v>415</v>
      </c>
      <c r="G43" s="1152">
        <v>415</v>
      </c>
      <c r="H43" s="1154">
        <f t="shared" ref="H43" si="22">H42-F43+G43</f>
        <v>2110</v>
      </c>
      <c r="I43" s="1154">
        <f t="shared" ref="I43" si="23">E43+H43</f>
        <v>14079.8</v>
      </c>
      <c r="J43" s="1152">
        <v>225</v>
      </c>
      <c r="K43" s="1152">
        <v>130</v>
      </c>
      <c r="L43" s="1154">
        <f t="shared" ref="L43" si="24">L42-J43+K43</f>
        <v>5821.6</v>
      </c>
      <c r="M43" s="1154">
        <v>50</v>
      </c>
      <c r="N43" s="1152">
        <v>50</v>
      </c>
      <c r="O43" s="1152">
        <f t="shared" ref="O43" si="25">O42-M43+N43</f>
        <v>150</v>
      </c>
      <c r="P43" s="1154">
        <f t="shared" ref="P43" si="26">L43+O43</f>
        <v>5971.6</v>
      </c>
      <c r="Q43" s="1154">
        <f t="shared" ref="Q43" si="27">I43+P43</f>
        <v>20051.400000000001</v>
      </c>
    </row>
    <row r="44" spans="1:17" s="381" customFormat="1" ht="21.3" customHeight="1">
      <c r="A44" s="253" t="s">
        <v>1671</v>
      </c>
      <c r="B44" s="1944"/>
      <c r="C44" s="380"/>
      <c r="D44" s="380"/>
      <c r="E44" s="380"/>
      <c r="F44" s="380"/>
      <c r="G44" s="380"/>
      <c r="H44" s="380"/>
      <c r="I44" s="380"/>
      <c r="J44" s="380"/>
      <c r="K44" s="380"/>
      <c r="L44" s="380"/>
      <c r="M44" s="380"/>
      <c r="N44" s="380"/>
      <c r="O44" s="380"/>
      <c r="P44" s="380"/>
      <c r="Q44" s="1945" t="s">
        <v>1672</v>
      </c>
    </row>
    <row r="45" spans="1:17" s="381" customFormat="1" ht="14.25" customHeight="1">
      <c r="A45" s="306" t="s">
        <v>741</v>
      </c>
      <c r="B45" s="180"/>
      <c r="Q45" s="1864" t="s">
        <v>742</v>
      </c>
    </row>
    <row r="46" spans="1:17" s="381" customFormat="1" ht="14.25" customHeight="1">
      <c r="A46" s="306" t="s">
        <v>1673</v>
      </c>
      <c r="Q46" s="1864" t="s">
        <v>1674</v>
      </c>
    </row>
    <row r="47" spans="1:17" s="381" customFormat="1" ht="13.8">
      <c r="A47" s="306" t="s">
        <v>1675</v>
      </c>
      <c r="Q47" s="1864" t="s">
        <v>1676</v>
      </c>
    </row>
    <row r="48" spans="1:17" s="381" customFormat="1" ht="13.8">
      <c r="A48" s="306" t="s">
        <v>743</v>
      </c>
      <c r="Q48" s="1946" t="s">
        <v>744</v>
      </c>
    </row>
    <row r="49" spans="1:17">
      <c r="A49" s="1402" t="s">
        <v>745</v>
      </c>
      <c r="Q49" s="1947" t="s">
        <v>746</v>
      </c>
    </row>
    <row r="50" spans="1:17" ht="14.4">
      <c r="A50" s="624" t="s">
        <v>747</v>
      </c>
      <c r="B50" s="1401"/>
      <c r="C50" s="1401"/>
      <c r="D50" s="625"/>
      <c r="E50" s="1401"/>
      <c r="F50" s="1401"/>
      <c r="G50" s="1401"/>
      <c r="H50" s="1401"/>
      <c r="I50" s="1401"/>
      <c r="J50" s="1401"/>
      <c r="K50" s="1401"/>
      <c r="L50" s="1401"/>
      <c r="M50" s="1401"/>
      <c r="N50" s="1401"/>
      <c r="O50" s="1401"/>
      <c r="P50" s="1401"/>
      <c r="Q50" s="1401"/>
    </row>
  </sheetData>
  <printOptions horizontalCentered="1" verticalCentered="1"/>
  <pageMargins left="0" right="0" top="0" bottom="0" header="0.3" footer="0.3"/>
  <pageSetup paperSize="9"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O49"/>
  <sheetViews>
    <sheetView topLeftCell="B1" zoomScale="80" zoomScaleNormal="80" workbookViewId="0">
      <pane ySplit="12" topLeftCell="A38" activePane="bottomLeft" state="frozen"/>
      <selection activeCell="B2" sqref="B2"/>
      <selection pane="bottomLeft" activeCell="P1" sqref="P1:S1048576"/>
    </sheetView>
  </sheetViews>
  <sheetFormatPr defaultColWidth="7.77734375" defaultRowHeight="15"/>
  <cols>
    <col min="1" max="2" width="9.21875" style="8" customWidth="1"/>
    <col min="3" max="3" width="11.77734375" style="8" customWidth="1"/>
    <col min="4" max="4" width="13" style="8" customWidth="1"/>
    <col min="5" max="5" width="16" style="8" customWidth="1"/>
    <col min="6" max="6" width="10.77734375" style="8" customWidth="1"/>
    <col min="7" max="7" width="13.21875" style="8" customWidth="1"/>
    <col min="8" max="8" width="13" style="8" customWidth="1"/>
    <col min="9" max="9" width="12.21875" style="8" customWidth="1"/>
    <col min="10" max="10" width="11.77734375" style="8" customWidth="1"/>
    <col min="11" max="11" width="12.77734375" style="8" customWidth="1"/>
    <col min="12" max="12" width="16" style="8" customWidth="1"/>
    <col min="13" max="13" width="11.21875" style="8" customWidth="1"/>
    <col min="14" max="15" width="11.77734375" style="8" customWidth="1"/>
    <col min="16" max="16384" width="7.77734375" style="8"/>
  </cols>
  <sheetData>
    <row r="1" spans="1:15" ht="18" customHeight="1">
      <c r="A1" s="16" t="s">
        <v>1772</v>
      </c>
      <c r="B1" s="10"/>
      <c r="C1" s="10"/>
      <c r="D1" s="10"/>
      <c r="E1" s="10"/>
      <c r="F1" s="10"/>
      <c r="G1" s="10"/>
      <c r="H1" s="10"/>
      <c r="I1" s="10"/>
      <c r="J1" s="10"/>
      <c r="K1" s="10"/>
      <c r="L1" s="10"/>
      <c r="M1" s="10"/>
      <c r="N1" s="10"/>
      <c r="O1" s="10"/>
    </row>
    <row r="2" spans="1:15" ht="18" customHeight="1">
      <c r="A2" s="874" t="s">
        <v>748</v>
      </c>
      <c r="B2" s="10"/>
      <c r="C2" s="10"/>
      <c r="D2" s="10"/>
      <c r="E2" s="10"/>
      <c r="F2" s="10"/>
      <c r="G2" s="10"/>
      <c r="H2" s="10"/>
      <c r="I2" s="10"/>
      <c r="J2" s="10"/>
      <c r="K2" s="10"/>
      <c r="L2" s="10"/>
      <c r="M2" s="10"/>
      <c r="N2" s="10"/>
      <c r="O2" s="10"/>
    </row>
    <row r="3" spans="1:15" ht="18" customHeight="1">
      <c r="A3" s="16" t="s">
        <v>749</v>
      </c>
      <c r="B3" s="10"/>
      <c r="C3" s="10"/>
      <c r="D3" s="10"/>
      <c r="E3" s="10"/>
      <c r="F3" s="10"/>
      <c r="G3" s="10"/>
      <c r="H3" s="10"/>
      <c r="I3" s="10"/>
      <c r="J3" s="10"/>
      <c r="K3" s="10"/>
      <c r="L3" s="10"/>
      <c r="M3" s="10"/>
      <c r="N3" s="10"/>
      <c r="O3" s="10"/>
    </row>
    <row r="4" spans="1:15" ht="18" customHeight="1">
      <c r="A4" s="1574" t="s">
        <v>750</v>
      </c>
      <c r="B4" s="10"/>
      <c r="C4" s="10"/>
      <c r="D4" s="10"/>
      <c r="E4" s="10"/>
      <c r="F4" s="10"/>
      <c r="G4" s="10"/>
      <c r="H4" s="10"/>
      <c r="I4" s="10"/>
      <c r="J4" s="10"/>
      <c r="K4" s="10"/>
      <c r="L4" s="10"/>
      <c r="M4" s="10"/>
      <c r="N4" s="10"/>
      <c r="O4" s="10"/>
    </row>
    <row r="5" spans="1:15" ht="18" customHeight="1">
      <c r="A5" s="16" t="s">
        <v>751</v>
      </c>
      <c r="B5" s="10"/>
      <c r="C5" s="10"/>
      <c r="D5" s="10"/>
      <c r="E5" s="10"/>
      <c r="F5" s="10"/>
      <c r="G5" s="10"/>
      <c r="H5" s="10"/>
      <c r="I5" s="10"/>
      <c r="J5" s="10"/>
      <c r="K5" s="10"/>
      <c r="L5" s="10"/>
      <c r="M5" s="10"/>
      <c r="N5" s="10"/>
      <c r="O5" s="10"/>
    </row>
    <row r="6" spans="1:15" s="1580" customFormat="1" ht="14.25" customHeight="1">
      <c r="A6" s="1575" t="s">
        <v>752</v>
      </c>
      <c r="B6" s="1576"/>
      <c r="C6" s="1577"/>
      <c r="D6" s="1577"/>
      <c r="E6" s="1577"/>
      <c r="F6" s="1577"/>
      <c r="G6" s="1577"/>
      <c r="H6" s="1577"/>
      <c r="I6" s="1577"/>
      <c r="J6" s="1577"/>
      <c r="K6" s="1578"/>
      <c r="L6" s="1578"/>
      <c r="M6" s="1578"/>
      <c r="N6" s="1578"/>
      <c r="O6" s="1579" t="s">
        <v>753</v>
      </c>
    </row>
    <row r="7" spans="1:15" s="1580" customFormat="1" ht="18" customHeight="1">
      <c r="A7" s="1230" t="s">
        <v>379</v>
      </c>
      <c r="B7" s="1231"/>
      <c r="C7" s="1581" t="s">
        <v>371</v>
      </c>
      <c r="D7" s="1583"/>
      <c r="E7" s="1577"/>
      <c r="F7" s="1577"/>
      <c r="G7" s="1584"/>
      <c r="H7" s="1585" t="s">
        <v>372</v>
      </c>
      <c r="I7" s="1929"/>
      <c r="J7" s="1582" t="s">
        <v>373</v>
      </c>
      <c r="K7" s="1930"/>
      <c r="L7" s="1578"/>
      <c r="M7" s="1578"/>
      <c r="N7" s="1584"/>
      <c r="O7" s="301" t="s">
        <v>374</v>
      </c>
    </row>
    <row r="8" spans="1:15" s="50" customFormat="1" ht="18" customHeight="1">
      <c r="A8" s="1590"/>
      <c r="B8" s="1591"/>
      <c r="C8" s="1592" t="s">
        <v>754</v>
      </c>
      <c r="D8" s="1593"/>
      <c r="E8" s="1593"/>
      <c r="F8" s="1594"/>
      <c r="G8" s="1595" t="s">
        <v>377</v>
      </c>
      <c r="H8" s="887"/>
      <c r="I8" s="1596"/>
      <c r="J8" s="572" t="s">
        <v>754</v>
      </c>
      <c r="K8" s="1593"/>
      <c r="L8" s="1593"/>
      <c r="M8" s="1594"/>
      <c r="N8" s="1595" t="s">
        <v>377</v>
      </c>
      <c r="O8" s="187"/>
    </row>
    <row r="9" spans="1:15" s="50" customFormat="1" ht="18" customHeight="1">
      <c r="A9" s="1590"/>
      <c r="B9" s="1591"/>
      <c r="C9" s="84"/>
      <c r="D9" s="1601" t="s">
        <v>499</v>
      </c>
      <c r="E9" s="1608"/>
      <c r="F9" s="84"/>
      <c r="G9" s="83"/>
      <c r="H9" s="108" t="s">
        <v>375</v>
      </c>
      <c r="I9" s="1596" t="s">
        <v>382</v>
      </c>
      <c r="J9" s="1931"/>
      <c r="K9" s="1601" t="s">
        <v>499</v>
      </c>
      <c r="L9" s="1601"/>
      <c r="M9" s="83"/>
      <c r="N9" s="83"/>
      <c r="O9" s="1602" t="s">
        <v>375</v>
      </c>
    </row>
    <row r="10" spans="1:15" s="50" customFormat="1" ht="18" customHeight="1">
      <c r="A10" s="1603" t="s">
        <v>387</v>
      </c>
      <c r="B10" s="1604"/>
      <c r="C10" s="1605" t="s">
        <v>431</v>
      </c>
      <c r="D10" s="1599" t="s">
        <v>755</v>
      </c>
      <c r="E10" s="1932" t="s">
        <v>390</v>
      </c>
      <c r="F10" s="1599" t="s">
        <v>756</v>
      </c>
      <c r="G10" s="1608" t="s">
        <v>382</v>
      </c>
      <c r="H10" s="1600"/>
      <c r="I10" s="173" t="s">
        <v>392</v>
      </c>
      <c r="J10" s="1607" t="s">
        <v>431</v>
      </c>
      <c r="K10" s="1599" t="s">
        <v>755</v>
      </c>
      <c r="L10" s="1601" t="s">
        <v>390</v>
      </c>
      <c r="M10" s="1601" t="s">
        <v>756</v>
      </c>
      <c r="N10" s="1608" t="s">
        <v>382</v>
      </c>
      <c r="O10" s="1602"/>
    </row>
    <row r="11" spans="1:15" s="39" customFormat="1" ht="18" customHeight="1">
      <c r="A11" s="1603"/>
      <c r="B11" s="1604"/>
      <c r="C11" s="1609" t="s">
        <v>757</v>
      </c>
      <c r="D11" s="1226" t="s">
        <v>758</v>
      </c>
      <c r="E11" s="1609" t="s">
        <v>466</v>
      </c>
      <c r="F11" s="1609" t="s">
        <v>399</v>
      </c>
      <c r="G11" s="1609" t="s">
        <v>392</v>
      </c>
      <c r="H11" s="97" t="s">
        <v>380</v>
      </c>
      <c r="I11" s="1933"/>
      <c r="J11" s="1609" t="s">
        <v>757</v>
      </c>
      <c r="K11" s="63" t="s">
        <v>758</v>
      </c>
      <c r="L11" s="63" t="s">
        <v>466</v>
      </c>
      <c r="M11" s="63" t="s">
        <v>399</v>
      </c>
      <c r="N11" s="63" t="s">
        <v>392</v>
      </c>
      <c r="O11" s="51" t="s">
        <v>380</v>
      </c>
    </row>
    <row r="12" spans="1:15" s="50" customFormat="1" ht="18" customHeight="1">
      <c r="A12" s="1611"/>
      <c r="B12" s="1612"/>
      <c r="C12" s="1614"/>
      <c r="D12" s="1614" t="s">
        <v>759</v>
      </c>
      <c r="E12" s="89" t="s">
        <v>760</v>
      </c>
      <c r="F12" s="1614"/>
      <c r="G12" s="1934"/>
      <c r="H12" s="1614"/>
      <c r="I12" s="1935"/>
      <c r="J12" s="1615"/>
      <c r="K12" s="1614" t="s">
        <v>759</v>
      </c>
      <c r="L12" s="89" t="s">
        <v>760</v>
      </c>
      <c r="M12" s="1934"/>
      <c r="N12" s="1934"/>
      <c r="O12" s="1826"/>
    </row>
    <row r="13" spans="1:15" s="306" customFormat="1" ht="20.25" customHeight="1">
      <c r="A13" s="405">
        <v>2016</v>
      </c>
      <c r="B13" s="497"/>
      <c r="C13" s="1617">
        <v>13322.619717184172</v>
      </c>
      <c r="D13" s="670">
        <v>25399.302219789704</v>
      </c>
      <c r="E13" s="666">
        <v>13391.129491687345</v>
      </c>
      <c r="F13" s="664">
        <v>3648.0004800348456</v>
      </c>
      <c r="G13" s="670">
        <v>55761.027364558686</v>
      </c>
      <c r="H13" s="664">
        <v>130289.51337180738</v>
      </c>
      <c r="I13" s="671">
        <v>186050.53414062137</v>
      </c>
      <c r="J13" s="664">
        <v>9791.9844748150681</v>
      </c>
      <c r="K13" s="643">
        <v>26376.895345730412</v>
      </c>
      <c r="L13" s="666">
        <v>5814.8920479319322</v>
      </c>
      <c r="M13" s="664">
        <v>12842.668923176989</v>
      </c>
      <c r="N13" s="675">
        <v>54826.493983143766</v>
      </c>
      <c r="O13" s="1936">
        <v>131223.96980251285</v>
      </c>
    </row>
    <row r="14" spans="1:15" s="408" customFormat="1" ht="14.85" customHeight="1">
      <c r="A14" s="356">
        <v>2017</v>
      </c>
      <c r="B14" s="551"/>
      <c r="C14" s="1617">
        <v>13224.880169996653</v>
      </c>
      <c r="D14" s="670">
        <v>26108.650419549496</v>
      </c>
      <c r="E14" s="666">
        <v>14769.97242190436</v>
      </c>
      <c r="F14" s="664">
        <v>3679.4466524546515</v>
      </c>
      <c r="G14" s="670">
        <v>57782.962808951124</v>
      </c>
      <c r="H14" s="664">
        <v>129660.93887149695</v>
      </c>
      <c r="I14" s="671">
        <v>187443.85848895868</v>
      </c>
      <c r="J14" s="664">
        <v>8373.7614167460142</v>
      </c>
      <c r="K14" s="643">
        <v>27783.284980878758</v>
      </c>
      <c r="L14" s="666">
        <v>6107.4272603876352</v>
      </c>
      <c r="M14" s="664">
        <v>13633.07870770893</v>
      </c>
      <c r="N14" s="675">
        <v>55897.584317848989</v>
      </c>
      <c r="O14" s="1936">
        <v>131546.30366312145</v>
      </c>
    </row>
    <row r="15" spans="1:15" s="321" customFormat="1" ht="14.25" customHeight="1">
      <c r="A15" s="747">
        <v>2018</v>
      </c>
      <c r="B15" s="748"/>
      <c r="C15" s="1148">
        <v>13700.065966641987</v>
      </c>
      <c r="D15" s="772">
        <v>29500.543871063212</v>
      </c>
      <c r="E15" s="1149">
        <v>15268.849943895733</v>
      </c>
      <c r="F15" s="724">
        <v>3979.0083192753309</v>
      </c>
      <c r="G15" s="772">
        <v>62448.439991715662</v>
      </c>
      <c r="H15" s="724">
        <v>130201.03531637968</v>
      </c>
      <c r="I15" s="1150">
        <v>192649.43830809538</v>
      </c>
      <c r="J15" s="724">
        <v>8922.0947499335871</v>
      </c>
      <c r="K15" s="1129">
        <v>28640.910506081611</v>
      </c>
      <c r="L15" s="1149">
        <v>5962.2524878812819</v>
      </c>
      <c r="M15" s="724">
        <v>14372.261661857876</v>
      </c>
      <c r="N15" s="735">
        <v>57897.561530754348</v>
      </c>
      <c r="O15" s="1151">
        <v>134751.8405038557</v>
      </c>
    </row>
    <row r="16" spans="1:15" s="321" customFormat="1" ht="14.25" customHeight="1">
      <c r="A16" s="747">
        <v>2019</v>
      </c>
      <c r="B16" s="748"/>
      <c r="C16" s="1148">
        <v>15457.608671876529</v>
      </c>
      <c r="D16" s="772">
        <v>30750.642866545204</v>
      </c>
      <c r="E16" s="1149">
        <v>17357.256737510259</v>
      </c>
      <c r="F16" s="724">
        <v>4949.9845587032196</v>
      </c>
      <c r="G16" s="772">
        <v>68515.450056265778</v>
      </c>
      <c r="H16" s="724">
        <v>136391.29871570531</v>
      </c>
      <c r="I16" s="1150">
        <v>204906.77877197106</v>
      </c>
      <c r="J16" s="724">
        <v>9232.5869365932631</v>
      </c>
      <c r="K16" s="1129">
        <v>31529.135210692151</v>
      </c>
      <c r="L16" s="1149">
        <v>6046.6652735764028</v>
      </c>
      <c r="M16" s="724">
        <v>15501.575138992888</v>
      </c>
      <c r="N16" s="735">
        <v>62310.018441341774</v>
      </c>
      <c r="O16" s="1151">
        <v>142596.79664643575</v>
      </c>
    </row>
    <row r="17" spans="1:15" s="321" customFormat="1" ht="14.25" customHeight="1">
      <c r="A17" s="747">
        <v>2020</v>
      </c>
      <c r="B17" s="748"/>
      <c r="C17" s="1148">
        <v>14825.111542872424</v>
      </c>
      <c r="D17" s="772">
        <v>33581.620905857257</v>
      </c>
      <c r="E17" s="1149">
        <v>18402.983215341588</v>
      </c>
      <c r="F17" s="724">
        <v>4702.130865142738</v>
      </c>
      <c r="G17" s="772">
        <v>71511.822925098095</v>
      </c>
      <c r="H17" s="724">
        <v>135841.65560143243</v>
      </c>
      <c r="I17" s="1150">
        <v>207353.52852653054</v>
      </c>
      <c r="J17" s="724">
        <v>9652.0810035674858</v>
      </c>
      <c r="K17" s="1129">
        <v>33673.111865645915</v>
      </c>
      <c r="L17" s="1149">
        <v>5098.2383874026818</v>
      </c>
      <c r="M17" s="724">
        <v>16453.743705156634</v>
      </c>
      <c r="N17" s="735">
        <v>64877.139635812084</v>
      </c>
      <c r="O17" s="1151">
        <v>142476.42536248692</v>
      </c>
    </row>
    <row r="18" spans="1:15" s="321" customFormat="1" ht="14.25" customHeight="1">
      <c r="A18" s="747">
        <v>2021</v>
      </c>
      <c r="B18" s="748"/>
      <c r="C18" s="1148">
        <v>17858.779558973598</v>
      </c>
      <c r="D18" s="772">
        <v>34209.695944195992</v>
      </c>
      <c r="E18" s="1149">
        <v>19696.254905242717</v>
      </c>
      <c r="F18" s="724">
        <v>4313.840915976305</v>
      </c>
      <c r="G18" s="772">
        <v>76078.554727566807</v>
      </c>
      <c r="H18" s="724">
        <v>141423.04350746062</v>
      </c>
      <c r="I18" s="1150">
        <v>217501.64823502745</v>
      </c>
      <c r="J18" s="724">
        <v>11893.637026597276</v>
      </c>
      <c r="K18" s="1129">
        <v>35389.64355627937</v>
      </c>
      <c r="L18" s="1149">
        <v>4808.0353055277465</v>
      </c>
      <c r="M18" s="724">
        <v>16269.471439292822</v>
      </c>
      <c r="N18" s="735">
        <v>68360.737579266366</v>
      </c>
      <c r="O18" s="1151">
        <v>149140.93805809924</v>
      </c>
    </row>
    <row r="19" spans="1:15" s="321" customFormat="1" ht="14.25" customHeight="1">
      <c r="A19" s="747">
        <v>2022</v>
      </c>
      <c r="B19" s="748"/>
      <c r="C19" s="1148">
        <v>21002.061763606922</v>
      </c>
      <c r="D19" s="772">
        <v>34836.049921396683</v>
      </c>
      <c r="E19" s="1149">
        <v>19432.111456099254</v>
      </c>
      <c r="F19" s="724">
        <v>6165.7913863230751</v>
      </c>
      <c r="G19" s="772">
        <v>81435.994527425923</v>
      </c>
      <c r="H19" s="724">
        <v>142658.59267128466</v>
      </c>
      <c r="I19" s="1150">
        <v>224094.63719870997</v>
      </c>
      <c r="J19" s="724">
        <v>11615.434922380509</v>
      </c>
      <c r="K19" s="1129">
        <v>37825.411726042817</v>
      </c>
      <c r="L19" s="1149">
        <v>4600.1381998248098</v>
      </c>
      <c r="M19" s="724">
        <v>18292.234715514944</v>
      </c>
      <c r="N19" s="735">
        <v>72333.119563763074</v>
      </c>
      <c r="O19" s="1151">
        <v>151761.51585320084</v>
      </c>
    </row>
    <row r="20" spans="1:15" s="321" customFormat="1" ht="14.25" customHeight="1">
      <c r="A20" s="747">
        <v>2023</v>
      </c>
      <c r="B20" s="748"/>
      <c r="C20" s="1148">
        <v>25708.920488742428</v>
      </c>
      <c r="D20" s="772">
        <v>36306.438223005869</v>
      </c>
      <c r="E20" s="1149">
        <v>20818.415610031887</v>
      </c>
      <c r="F20" s="724">
        <v>5992.6034799139316</v>
      </c>
      <c r="G20" s="772">
        <v>88826.302127659583</v>
      </c>
      <c r="H20" s="724">
        <v>149701.82765957445</v>
      </c>
      <c r="I20" s="1150">
        <v>238528.12978723401</v>
      </c>
      <c r="J20" s="724">
        <v>12380.091677678865</v>
      </c>
      <c r="K20" s="1129">
        <v>39516.968376497149</v>
      </c>
      <c r="L20" s="1149">
        <v>4708.3111936773275</v>
      </c>
      <c r="M20" s="724">
        <v>17222.373993364108</v>
      </c>
      <c r="N20" s="735">
        <v>73827.797872340423</v>
      </c>
      <c r="O20" s="1151">
        <v>164700.33191489361</v>
      </c>
    </row>
    <row r="21" spans="1:15" s="321" customFormat="1" ht="14.25" customHeight="1">
      <c r="A21" s="747">
        <v>2024</v>
      </c>
      <c r="B21" s="748"/>
      <c r="C21" s="1148">
        <v>26039.231394276245</v>
      </c>
      <c r="D21" s="772">
        <v>36160.126274693896</v>
      </c>
      <c r="E21" s="1149">
        <v>22065.542366984151</v>
      </c>
      <c r="F21" s="724">
        <v>5634.1166633557023</v>
      </c>
      <c r="G21" s="772">
        <v>89898.948936170214</v>
      </c>
      <c r="H21" s="724">
        <v>157928.67234042555</v>
      </c>
      <c r="I21" s="1150">
        <v>247827.62127659575</v>
      </c>
      <c r="J21" s="724">
        <v>11690.662380256965</v>
      </c>
      <c r="K21" s="1129">
        <v>38944.58166446878</v>
      </c>
      <c r="L21" s="1149">
        <v>5210.4576074336073</v>
      </c>
      <c r="M21" s="724">
        <v>17197.435249246348</v>
      </c>
      <c r="N21" s="735">
        <v>73043.204255319142</v>
      </c>
      <c r="O21" s="1151">
        <v>174784.4170212766</v>
      </c>
    </row>
    <row r="22" spans="1:15" s="321" customFormat="1" ht="14.25" customHeight="1">
      <c r="A22" s="906">
        <v>2025</v>
      </c>
      <c r="B22" s="997"/>
      <c r="C22" s="1067">
        <f t="shared" ref="C22:O22" si="0">C28</f>
        <v>27697.065848401991</v>
      </c>
      <c r="D22" s="1030">
        <f t="shared" si="0"/>
        <v>38319.063705568173</v>
      </c>
      <c r="E22" s="1068">
        <f t="shared" si="0"/>
        <v>26261.105649594414</v>
      </c>
      <c r="F22" s="725">
        <f t="shared" si="0"/>
        <v>6317.7843286898433</v>
      </c>
      <c r="G22" s="1030">
        <f t="shared" si="0"/>
        <v>98595.051063829786</v>
      </c>
      <c r="H22" s="725">
        <f t="shared" si="0"/>
        <v>155859.62553191488</v>
      </c>
      <c r="I22" s="1069">
        <f t="shared" si="0"/>
        <v>254454.67659574468</v>
      </c>
      <c r="J22" s="725">
        <f t="shared" si="0"/>
        <v>12532.87977809774</v>
      </c>
      <c r="K22" s="1040">
        <f t="shared" si="0"/>
        <v>40169.722827473095</v>
      </c>
      <c r="L22" s="1068">
        <f t="shared" si="0"/>
        <v>4816.8490365728194</v>
      </c>
      <c r="M22" s="725">
        <f t="shared" si="0"/>
        <v>18117.777997483048</v>
      </c>
      <c r="N22" s="1028">
        <f t="shared" si="0"/>
        <v>75637.159574468096</v>
      </c>
      <c r="O22" s="1070">
        <f t="shared" si="0"/>
        <v>178817.51702127658</v>
      </c>
    </row>
    <row r="23" spans="1:15" s="321" customFormat="1" ht="21" customHeight="1">
      <c r="A23" s="747">
        <v>2024</v>
      </c>
      <c r="B23" s="748" t="s">
        <v>237</v>
      </c>
      <c r="C23" s="1148">
        <v>27976.981387339976</v>
      </c>
      <c r="D23" s="772">
        <v>37351.602250639386</v>
      </c>
      <c r="E23" s="1149">
        <v>21946.97107317136</v>
      </c>
      <c r="F23" s="724">
        <v>6201.5936572183709</v>
      </c>
      <c r="G23" s="772">
        <v>93477.235957446814</v>
      </c>
      <c r="H23" s="724">
        <v>156250.88085106382</v>
      </c>
      <c r="I23" s="1150">
        <v>249728.14680851065</v>
      </c>
      <c r="J23" s="724">
        <v>11832.233133446745</v>
      </c>
      <c r="K23" s="1129">
        <v>40358.003460695058</v>
      </c>
      <c r="L23" s="1149">
        <v>5308.1028577197685</v>
      </c>
      <c r="M23" s="724">
        <v>17674.907044088013</v>
      </c>
      <c r="N23" s="735">
        <v>75173.238085106379</v>
      </c>
      <c r="O23" s="1151">
        <v>174554.87872340425</v>
      </c>
    </row>
    <row r="24" spans="1:15" s="321" customFormat="1" ht="15" customHeight="1">
      <c r="A24" s="747"/>
      <c r="B24" s="748" t="s">
        <v>238</v>
      </c>
      <c r="C24" s="1148">
        <v>26039.231394276245</v>
      </c>
      <c r="D24" s="772">
        <v>36160.126274693896</v>
      </c>
      <c r="E24" s="1149">
        <v>22065.542366984151</v>
      </c>
      <c r="F24" s="724">
        <v>5634.1166633557023</v>
      </c>
      <c r="G24" s="772">
        <v>89898.948936170214</v>
      </c>
      <c r="H24" s="724">
        <v>157928.67234042555</v>
      </c>
      <c r="I24" s="1150">
        <v>247827.62127659575</v>
      </c>
      <c r="J24" s="724">
        <v>11690.662380256965</v>
      </c>
      <c r="K24" s="1129">
        <v>38944.58166446878</v>
      </c>
      <c r="L24" s="1149">
        <v>5210.4576074336073</v>
      </c>
      <c r="M24" s="724">
        <v>17197.435249246348</v>
      </c>
      <c r="N24" s="735">
        <v>73043.204255319142</v>
      </c>
      <c r="O24" s="1151">
        <v>174784.4170212766</v>
      </c>
    </row>
    <row r="25" spans="1:15" s="321" customFormat="1" ht="21" customHeight="1">
      <c r="A25" s="747">
        <v>2025</v>
      </c>
      <c r="B25" s="748" t="s">
        <v>239</v>
      </c>
      <c r="C25" s="1148">
        <v>28544.259349633408</v>
      </c>
      <c r="D25" s="772">
        <v>37701.855598050708</v>
      </c>
      <c r="E25" s="1149">
        <v>22094.26361380814</v>
      </c>
      <c r="F25" s="724">
        <v>6005.012750032176</v>
      </c>
      <c r="G25" s="772">
        <v>94345.45319148936</v>
      </c>
      <c r="H25" s="724">
        <v>155772.73191489361</v>
      </c>
      <c r="I25" s="1150">
        <v>250118.185106383</v>
      </c>
      <c r="J25" s="724">
        <v>12758.715424131378</v>
      </c>
      <c r="K25" s="1129">
        <v>39207.127311221746</v>
      </c>
      <c r="L25" s="1149">
        <v>5378.026284896403</v>
      </c>
      <c r="M25" s="724">
        <v>17656.842290519435</v>
      </c>
      <c r="N25" s="735">
        <v>75000.617021276601</v>
      </c>
      <c r="O25" s="1151">
        <v>175117.56808510638</v>
      </c>
    </row>
    <row r="26" spans="1:15" s="321" customFormat="1" ht="15" customHeight="1">
      <c r="A26" s="747"/>
      <c r="B26" s="748" t="s">
        <v>240</v>
      </c>
      <c r="C26" s="1148">
        <v>28277.609653895124</v>
      </c>
      <c r="D26" s="772">
        <v>37683.680462045188</v>
      </c>
      <c r="E26" s="1149">
        <v>23873.955026587872</v>
      </c>
      <c r="F26" s="724">
        <v>6391.2546926431705</v>
      </c>
      <c r="G26" s="772">
        <v>96226.619148936166</v>
      </c>
      <c r="H26" s="724">
        <v>156121.42765957446</v>
      </c>
      <c r="I26" s="1150">
        <v>252348.04680851064</v>
      </c>
      <c r="J26" s="724">
        <v>13361.463581661084</v>
      </c>
      <c r="K26" s="1129">
        <v>39323.240867138069</v>
      </c>
      <c r="L26" s="1149">
        <v>5188.2663070294784</v>
      </c>
      <c r="M26" s="724">
        <v>17448.177756212892</v>
      </c>
      <c r="N26" s="735">
        <v>75321.219148936172</v>
      </c>
      <c r="O26" s="1151">
        <v>177026.82765957445</v>
      </c>
    </row>
    <row r="27" spans="1:15" s="321" customFormat="1" ht="15" customHeight="1">
      <c r="A27" s="747"/>
      <c r="B27" s="748" t="s">
        <v>237</v>
      </c>
      <c r="C27" s="1148">
        <v>26108.736375268898</v>
      </c>
      <c r="D27" s="772">
        <v>38128.437790530879</v>
      </c>
      <c r="E27" s="1149">
        <v>25624.244830618372</v>
      </c>
      <c r="F27" s="724">
        <v>6530.436129406382</v>
      </c>
      <c r="G27" s="772">
        <v>96391.734042553187</v>
      </c>
      <c r="H27" s="724">
        <v>160027.17872340424</v>
      </c>
      <c r="I27" s="1150">
        <v>256418.91276595744</v>
      </c>
      <c r="J27" s="724">
        <v>12480.14868268482</v>
      </c>
      <c r="K27" s="1129">
        <v>39123.511590405382</v>
      </c>
      <c r="L27" s="1149">
        <v>5303.5947634194963</v>
      </c>
      <c r="M27" s="724">
        <v>17868.737484623976</v>
      </c>
      <c r="N27" s="735">
        <v>74775.948936170214</v>
      </c>
      <c r="O27" s="1151">
        <v>181642.96382978722</v>
      </c>
    </row>
    <row r="28" spans="1:15" s="321" customFormat="1" ht="15" customHeight="1">
      <c r="A28" s="747"/>
      <c r="B28" s="748" t="s">
        <v>238</v>
      </c>
      <c r="C28" s="1148">
        <f t="shared" ref="C28:O28" si="1">C36</f>
        <v>27697.065848401991</v>
      </c>
      <c r="D28" s="772">
        <f t="shared" si="1"/>
        <v>38319.063705568173</v>
      </c>
      <c r="E28" s="1149">
        <f t="shared" si="1"/>
        <v>26261.105649594414</v>
      </c>
      <c r="F28" s="724">
        <f t="shared" si="1"/>
        <v>6317.7843286898433</v>
      </c>
      <c r="G28" s="772">
        <f t="shared" si="1"/>
        <v>98595.051063829786</v>
      </c>
      <c r="H28" s="724">
        <f t="shared" si="1"/>
        <v>155859.62553191488</v>
      </c>
      <c r="I28" s="1150">
        <f t="shared" si="1"/>
        <v>254454.67659574468</v>
      </c>
      <c r="J28" s="724">
        <f t="shared" si="1"/>
        <v>12532.87977809774</v>
      </c>
      <c r="K28" s="1129">
        <f t="shared" si="1"/>
        <v>40169.722827473095</v>
      </c>
      <c r="L28" s="1149">
        <f t="shared" si="1"/>
        <v>4816.8490365728194</v>
      </c>
      <c r="M28" s="724">
        <f t="shared" si="1"/>
        <v>18117.777997483048</v>
      </c>
      <c r="N28" s="735">
        <f t="shared" si="1"/>
        <v>75637.159574468096</v>
      </c>
      <c r="O28" s="1151">
        <f t="shared" si="1"/>
        <v>178817.51702127658</v>
      </c>
    </row>
    <row r="29" spans="1:15" s="321" customFormat="1" ht="21" customHeight="1">
      <c r="A29" s="747">
        <v>2026</v>
      </c>
      <c r="B29" s="748" t="s">
        <v>239</v>
      </c>
      <c r="C29" s="1148">
        <f t="shared" ref="C29:O29" si="2">C39</f>
        <v>30510.496995902646</v>
      </c>
      <c r="D29" s="772">
        <f t="shared" si="2"/>
        <v>39182.761000718441</v>
      </c>
      <c r="E29" s="1149">
        <f t="shared" si="2"/>
        <v>26999.45667894771</v>
      </c>
      <c r="F29" s="724">
        <f t="shared" si="2"/>
        <v>6783.1968683911418</v>
      </c>
      <c r="G29" s="772">
        <f t="shared" si="2"/>
        <v>103476.00638297873</v>
      </c>
      <c r="H29" s="724">
        <f t="shared" si="2"/>
        <v>153402.88085106382</v>
      </c>
      <c r="I29" s="1150">
        <f t="shared" si="2"/>
        <v>256878.88723404257</v>
      </c>
      <c r="J29" s="724">
        <f t="shared" si="2"/>
        <v>13582.796412759351</v>
      </c>
      <c r="K29" s="1129">
        <f t="shared" si="2"/>
        <v>41510.663306512142</v>
      </c>
      <c r="L29" s="1149">
        <f t="shared" si="2"/>
        <v>5325.862228977644</v>
      </c>
      <c r="M29" s="724">
        <f t="shared" si="2"/>
        <v>18065.078972424115</v>
      </c>
      <c r="N29" s="735">
        <f t="shared" si="2"/>
        <v>78484.460425531928</v>
      </c>
      <c r="O29" s="1151">
        <f t="shared" si="2"/>
        <v>178394.44680851063</v>
      </c>
    </row>
    <row r="30" spans="1:15" s="321" customFormat="1" ht="15" customHeight="1">
      <c r="A30" s="906"/>
      <c r="B30" s="997" t="s">
        <v>240</v>
      </c>
      <c r="C30" s="1067">
        <f t="shared" ref="C30:O30" si="3">C42</f>
        <v>28313.655898565528</v>
      </c>
      <c r="D30" s="1030">
        <f t="shared" si="3"/>
        <v>40036.774488343457</v>
      </c>
      <c r="E30" s="1068">
        <f t="shared" si="3"/>
        <v>27025.119422652639</v>
      </c>
      <c r="F30" s="725">
        <f t="shared" si="3"/>
        <v>7365.0999199517355</v>
      </c>
      <c r="G30" s="1030">
        <f t="shared" si="3"/>
        <v>102740.72127659575</v>
      </c>
      <c r="H30" s="725">
        <f t="shared" si="3"/>
        <v>147829.40212765959</v>
      </c>
      <c r="I30" s="1069">
        <f t="shared" si="3"/>
        <v>250570.12340425531</v>
      </c>
      <c r="J30" s="725">
        <f t="shared" si="3"/>
        <v>12559.030893442392</v>
      </c>
      <c r="K30" s="1040">
        <f t="shared" si="3"/>
        <v>44415.714663343868</v>
      </c>
      <c r="L30" s="1068">
        <f t="shared" si="3"/>
        <v>5181.0527636494471</v>
      </c>
      <c r="M30" s="725">
        <f t="shared" si="3"/>
        <v>19153.422300044505</v>
      </c>
      <c r="N30" s="1028">
        <f t="shared" si="3"/>
        <v>81309.240425531912</v>
      </c>
      <c r="O30" s="1070">
        <f t="shared" si="3"/>
        <v>169260.88297872341</v>
      </c>
    </row>
    <row r="31" spans="1:15" s="306" customFormat="1" ht="21" customHeight="1">
      <c r="A31" s="405">
        <v>2025</v>
      </c>
      <c r="B31" s="497" t="s">
        <v>420</v>
      </c>
      <c r="C31" s="640">
        <f>('14'!C31+'14'!D31+'14'!E31)/0.376+'28'!$C31</f>
        <v>28548.001822460807</v>
      </c>
      <c r="D31" s="640">
        <f>('14'!F31)/0.376+'28'!$D31+0.05</f>
        <v>38004.456045715495</v>
      </c>
      <c r="E31" s="666">
        <f>('14'!G31+'14'!H31)/0.376+'28'!$E31</f>
        <v>24589.376862066594</v>
      </c>
      <c r="F31" s="640">
        <f>('14'!I31)/0.376+'28'!$F31</f>
        <v>6089.0947775177701</v>
      </c>
      <c r="G31" s="670">
        <f>ROUND('14'!J31,1)/0.376+ROUND('28'!$G31,1)</f>
        <v>97230.955319148939</v>
      </c>
      <c r="H31" s="658">
        <f>ROUND('14'!K31,1)/0.376+ROUND('28'!$M31,1)</f>
        <v>149027.8425531915</v>
      </c>
      <c r="I31" s="671">
        <f>ROUND('14'!L31,1)/0.376+ROUND('28'!$N31,1)</f>
        <v>246258.79787234042</v>
      </c>
      <c r="J31" s="667">
        <f>('15'!C31+'15'!D31)/0.376+'29'!$C31+0.03</f>
        <v>13897.343884911583</v>
      </c>
      <c r="K31" s="659">
        <f>('15'!E31)/0.376+'29'!$D31+0.02</f>
        <v>38537.96180676957</v>
      </c>
      <c r="L31" s="666">
        <f>('15'!F31)/0.376+'29'!$E31</f>
        <v>5647.1503098273461</v>
      </c>
      <c r="M31" s="664">
        <f>('15'!G31+'15'!H31)/0.376+'29'!$F31</f>
        <v>17537.131389201269</v>
      </c>
      <c r="N31" s="675">
        <f>ROUND('15'!I31,1)/0.376+ROUND('29'!$G31,1)</f>
        <v>75619.612765957441</v>
      </c>
      <c r="O31" s="675">
        <f>ROUND('15'!J31,1)/0.376+ROUND('29'!$M31,1)</f>
        <v>170639.185106383</v>
      </c>
    </row>
    <row r="32" spans="1:15" s="306" customFormat="1" ht="16.5" customHeight="1">
      <c r="A32" s="405"/>
      <c r="B32" s="497" t="s">
        <v>421</v>
      </c>
      <c r="C32" s="640">
        <f>('14'!C32+'14'!D32+'14'!E32)/0.376+'28'!$C32</f>
        <v>26700.672527212068</v>
      </c>
      <c r="D32" s="640">
        <f>('14'!F32)/0.376+'28'!$D32</f>
        <v>38314.419532108688</v>
      </c>
      <c r="E32" s="666">
        <f>('14'!G32+'14'!H32)/0.376+'28'!$E32</f>
        <v>25339.730648541979</v>
      </c>
      <c r="F32" s="640">
        <f>('14'!I32)/0.376+'28'!$F32+0.03</f>
        <v>6315.3582387129127</v>
      </c>
      <c r="G32" s="670">
        <f>ROUND('14'!J32,1)/0.376+ROUND('28'!$G32,1)</f>
        <v>96670.223404255317</v>
      </c>
      <c r="H32" s="658">
        <f>ROUND('14'!K32,1)/0.376+ROUND('28'!$M32,1)</f>
        <v>150107.26808510639</v>
      </c>
      <c r="I32" s="671">
        <f>ROUND('14'!L32,1)/0.376+ROUND('28'!$N32,1)</f>
        <v>246777.49148936171</v>
      </c>
      <c r="J32" s="667">
        <f>('15'!C32+'15'!D32)/0.376+'29'!$C32+0.03</f>
        <v>13336.194909728301</v>
      </c>
      <c r="K32" s="659">
        <f>('15'!E32)/0.376+'29'!$D32</f>
        <v>38880.106577860133</v>
      </c>
      <c r="L32" s="666">
        <f>('15'!F32)/0.376+'29'!$E32</f>
        <v>5711.4795943250947</v>
      </c>
      <c r="M32" s="664">
        <f>('15'!G32+'15'!H32)/0.376+'29'!$F32</f>
        <v>17648.772082667543</v>
      </c>
      <c r="N32" s="675">
        <f>ROUND('15'!I32,1)/0.376+ROUND('29'!$G32,1)</f>
        <v>75576.625531914891</v>
      </c>
      <c r="O32" s="675">
        <f>ROUND('15'!J32,1)/0.376+ROUND('29'!$M32,1)</f>
        <v>171200.8659574468</v>
      </c>
    </row>
    <row r="33" spans="1:15" s="306" customFormat="1" ht="16.5" customHeight="1">
      <c r="A33" s="405"/>
      <c r="B33" s="497" t="s">
        <v>422</v>
      </c>
      <c r="C33" s="640">
        <f>('14'!C33+'14'!D33+'14'!E33)/0.376+'28'!$C33-0.03</f>
        <v>26108.736375268898</v>
      </c>
      <c r="D33" s="640">
        <f>('14'!F33)/0.376+'28'!$D33</f>
        <v>38128.437790530879</v>
      </c>
      <c r="E33" s="666">
        <f>('14'!G33+'14'!H33)/0.376+'28'!$E33-0.04</f>
        <v>25624.244830618372</v>
      </c>
      <c r="F33" s="640">
        <f>('14'!I33)/0.376+'28'!$F33-0.02</f>
        <v>6530.436129406382</v>
      </c>
      <c r="G33" s="670">
        <f>ROUND('14'!J33,1)/0.376+ROUND('28'!$G33,1)</f>
        <v>96391.734042553187</v>
      </c>
      <c r="H33" s="658">
        <f>ROUND('14'!K33,1)/0.376+ROUND('28'!$M33,1)</f>
        <v>160027.17872340424</v>
      </c>
      <c r="I33" s="671">
        <f>ROUND('14'!L33,1)/0.376+ROUND('28'!$N33,1)</f>
        <v>256418.91276595744</v>
      </c>
      <c r="J33" s="667">
        <f>('15'!C33+'15'!D33)/0.376+'29'!$C33+0.03-0.03</f>
        <v>12480.14868268482</v>
      </c>
      <c r="K33" s="659">
        <f>('15'!E33)/0.376+'29'!$D33</f>
        <v>39123.511590405382</v>
      </c>
      <c r="L33" s="666">
        <f>('15'!F33)/0.376+'29'!$E33</f>
        <v>5303.5947634194963</v>
      </c>
      <c r="M33" s="664">
        <f>('15'!G33+'15'!H33)/0.376+'29'!$F33</f>
        <v>17868.737484623976</v>
      </c>
      <c r="N33" s="675">
        <f>ROUND('15'!I33,1)/0.376+ROUND('29'!$G33,1)</f>
        <v>74775.948936170214</v>
      </c>
      <c r="O33" s="675">
        <f>ROUND('15'!J33,1)/0.376+ROUND('29'!$M33,1)</f>
        <v>181642.96382978722</v>
      </c>
    </row>
    <row r="34" spans="1:15" s="306" customFormat="1" ht="16.5" customHeight="1">
      <c r="A34" s="405"/>
      <c r="B34" s="497" t="s">
        <v>411</v>
      </c>
      <c r="C34" s="640">
        <f>('14'!C34+'14'!D34+'14'!E34)/0.376+'28'!$C34</f>
        <v>27412.575935699038</v>
      </c>
      <c r="D34" s="640">
        <f>('14'!F34)/0.376+'28'!$D34</f>
        <v>37906.038466453727</v>
      </c>
      <c r="E34" s="666">
        <f>('14'!G34+'14'!H34)/0.376+'28'!$E34+0.02</f>
        <v>25780.557472528373</v>
      </c>
      <c r="F34" s="640">
        <f>('14'!I34)/0.376+'28'!$F34</f>
        <v>5928.9684272929444</v>
      </c>
      <c r="G34" s="670">
        <f>ROUND('14'!J34,1)/0.376+ROUND('28'!$G34,1)</f>
        <v>97028.193617021272</v>
      </c>
      <c r="H34" s="658">
        <f>ROUND('14'!K34,1)/0.376+ROUND('28'!$M34,1)</f>
        <v>155517.14680851065</v>
      </c>
      <c r="I34" s="671">
        <f>ROUND('14'!L34,1)/0.376+ROUND('28'!$N34,1)</f>
        <v>252545.3404255319</v>
      </c>
      <c r="J34" s="667">
        <f>('15'!C34+'15'!D34)/0.376+'29'!$C34+0.03</f>
        <v>12674.611552863658</v>
      </c>
      <c r="K34" s="659">
        <f>('15'!E34)/0.376+'29'!$D34</f>
        <v>38923.890871799456</v>
      </c>
      <c r="L34" s="666">
        <f>('15'!F34)/0.376+'29'!$E34</f>
        <v>4801.5118827744855</v>
      </c>
      <c r="M34" s="664">
        <f>('15'!G34+'15'!H34)/0.376+'29'!$F34</f>
        <v>18052.57478251381</v>
      </c>
      <c r="N34" s="675">
        <f>ROUND('15'!I34,1)/0.376+ROUND('29'!$G34,1)</f>
        <v>74452.570212765961</v>
      </c>
      <c r="O34" s="675">
        <f>ROUND('15'!J34,1)/0.376+ROUND('29'!$M34,1)-0.03</f>
        <v>178092.74021276596</v>
      </c>
    </row>
    <row r="35" spans="1:15" s="306" customFormat="1" ht="16.5" customHeight="1">
      <c r="A35" s="405"/>
      <c r="B35" s="497" t="s">
        <v>412</v>
      </c>
      <c r="C35" s="640">
        <f>('14'!C35+'14'!D35+'14'!E35)/0.376+'28'!$C35</f>
        <v>27730.55708823997</v>
      </c>
      <c r="D35" s="640">
        <f>('14'!F35)/0.376+'28'!$D35</f>
        <v>37803.776624730293</v>
      </c>
      <c r="E35" s="666">
        <f>('14'!G35+'14'!H35)/0.376+'28'!$E35</f>
        <v>25943.074822035993</v>
      </c>
      <c r="F35" s="640">
        <f>('14'!I35)/0.376+'28'!$F35+0.03</f>
        <v>6104.962369586764</v>
      </c>
      <c r="G35" s="670">
        <f>ROUND('14'!J35,1)/0.376+ROUND('28'!$G35,1)</f>
        <v>97582.49574468084</v>
      </c>
      <c r="H35" s="658">
        <f>ROUND('14'!K35,1)/0.376+ROUND('28'!$M35,1)</f>
        <v>155989.30425531915</v>
      </c>
      <c r="I35" s="671">
        <f>ROUND('14'!L35,1)/0.376+ROUND('28'!$N35,1)</f>
        <v>253571.8</v>
      </c>
      <c r="J35" s="667">
        <f>('15'!C35+'15'!D35)/0.376+'29'!$C35+0.03</f>
        <v>12822.370648166887</v>
      </c>
      <c r="K35" s="659">
        <f>('15'!E35)/0.376+'29'!$D35-0.02</f>
        <v>39427.437146576223</v>
      </c>
      <c r="L35" s="666">
        <f>('15'!F35)/0.376+'29'!$E35</f>
        <v>4844.793024898936</v>
      </c>
      <c r="M35" s="664">
        <f>('15'!G35+'15'!H35)/0.376+'29'!$F35-0.02</f>
        <v>18346.540373445765</v>
      </c>
      <c r="N35" s="675">
        <f>ROUND('15'!I35,1)/0.376+ROUND('29'!$G35,1)</f>
        <v>75441.136170212761</v>
      </c>
      <c r="O35" s="675">
        <f>ROUND('15'!J35,1)/0.376+ROUND('29'!$M35,1)</f>
        <v>178130.66382978723</v>
      </c>
    </row>
    <row r="36" spans="1:15" s="306" customFormat="1" ht="16.5" customHeight="1">
      <c r="A36" s="405"/>
      <c r="B36" s="497" t="s">
        <v>413</v>
      </c>
      <c r="C36" s="640">
        <f>('14'!C36+'14'!D36+'14'!E36)/0.376+'28'!$C36+0.05</f>
        <v>27697.065848401991</v>
      </c>
      <c r="D36" s="640">
        <f>('14'!F36)/0.376+'28'!$D36+0.03</f>
        <v>38319.063705568173</v>
      </c>
      <c r="E36" s="666">
        <f>('14'!G36+'14'!H36)/0.376+'28'!$E36</f>
        <v>26261.105649594414</v>
      </c>
      <c r="F36" s="640">
        <f>('14'!I36)/0.376+'28'!$F36</f>
        <v>6317.7843286898433</v>
      </c>
      <c r="G36" s="670">
        <f>ROUND('14'!J36,1)/0.376+ROUND('28'!$G36,1)</f>
        <v>98595.051063829786</v>
      </c>
      <c r="H36" s="658">
        <f>ROUND('14'!K36,1)/0.376+ROUND('28'!$M36,1)</f>
        <v>155859.62553191488</v>
      </c>
      <c r="I36" s="671">
        <f>ROUND('14'!L36,1)/0.376+ROUND('28'!$N36,1)</f>
        <v>254454.67659574468</v>
      </c>
      <c r="J36" s="667">
        <f>('15'!C36+'15'!D36)/0.376+'29'!$C36+0.03</f>
        <v>12532.87977809774</v>
      </c>
      <c r="K36" s="659">
        <f>('15'!E36)/0.376+'29'!$D36</f>
        <v>40169.722827473095</v>
      </c>
      <c r="L36" s="666">
        <f>('15'!F36)/0.376+'29'!$E36</f>
        <v>4816.8490365728194</v>
      </c>
      <c r="M36" s="664">
        <f>('15'!G36+'15'!H36)/0.376+'29'!$F36</f>
        <v>18117.777997483048</v>
      </c>
      <c r="N36" s="675">
        <f>ROUND('15'!I36,1)/0.376+ROUND('29'!$G36,1)</f>
        <v>75637.159574468096</v>
      </c>
      <c r="O36" s="675">
        <f>ROUND('15'!J36,1)/0.376+ROUND('29'!$M36,1)</f>
        <v>178817.51702127658</v>
      </c>
    </row>
    <row r="37" spans="1:15" s="306" customFormat="1" ht="21" customHeight="1">
      <c r="A37" s="405">
        <v>2026</v>
      </c>
      <c r="B37" s="497" t="s">
        <v>414</v>
      </c>
      <c r="C37" s="640">
        <f>('14'!C37+'14'!D37+'14'!E37)/0.376+'28'!$C37-0.02</f>
        <v>28297.448868693999</v>
      </c>
      <c r="D37" s="640">
        <f>('14'!F37)/0.376+'28'!$D37</f>
        <v>38220.292845148491</v>
      </c>
      <c r="E37" s="1204">
        <f>('14'!G37+'14'!H37)/0.376+'28'!$E37</f>
        <v>26579.045665843787</v>
      </c>
      <c r="F37" s="640">
        <f>('14'!I37)/0.376+'28'!$F37</f>
        <v>6322.0947700412307</v>
      </c>
      <c r="G37" s="670">
        <f>ROUND('14'!J37,1)/0.376+ROUND('28'!$G37,1)</f>
        <v>99418.778723404263</v>
      </c>
      <c r="H37" s="658">
        <f>ROUND('14'!K37,1)/0.376+ROUND('28'!$M37,1)</f>
        <v>150860.41489361701</v>
      </c>
      <c r="I37" s="671">
        <f>ROUND('14'!L37,1)/0.376+ROUND('28'!$N37,1)</f>
        <v>250279.19361702129</v>
      </c>
      <c r="J37" s="667">
        <f>('15'!C37+'15'!D37)/0.376+'29'!$C37+0.03</f>
        <v>12944.949506638579</v>
      </c>
      <c r="K37" s="659">
        <f>('15'!E37)/0.376+'29'!$D37</f>
        <v>40415.244494550854</v>
      </c>
      <c r="L37" s="666">
        <f>('15'!F37)/0.376+'29'!$E37</f>
        <v>4777.9525282791246</v>
      </c>
      <c r="M37" s="664">
        <f>('15'!G37+'15'!H37)/0.376+'29'!$F37</f>
        <v>18314.867748036377</v>
      </c>
      <c r="N37" s="675">
        <f>ROUND('15'!I37,1)/0.376+ROUND('29'!$G37,1)</f>
        <v>76453.012765957435</v>
      </c>
      <c r="O37" s="675">
        <f>ROUND('15'!J37,1)/0.376+ROUND('29'!$M37,1)</f>
        <v>173826.18085106384</v>
      </c>
    </row>
    <row r="38" spans="1:15" s="306" customFormat="1" ht="16.5" customHeight="1">
      <c r="A38" s="405"/>
      <c r="B38" s="497" t="s">
        <v>415</v>
      </c>
      <c r="C38" s="640">
        <f>('14'!C38+'14'!D38+'14'!E38)/0.376+'28'!$C38+0.05</f>
        <v>27748.561829210565</v>
      </c>
      <c r="D38" s="640">
        <f>('14'!F38)/0.376+'28'!$D38</f>
        <v>38274.451525975295</v>
      </c>
      <c r="E38" s="1204">
        <f>('14'!G38+'14'!H38)/0.376+'28'!$E38</f>
        <v>27724.653697285947</v>
      </c>
      <c r="F38" s="640">
        <f>('14'!I38)/0.376+'28'!$F38+0.04</f>
        <v>6492.4622588672255</v>
      </c>
      <c r="G38" s="670">
        <f>ROUND('14'!J38,1)/0.376+ROUND('28'!$G38,1)</f>
        <v>100240.26382978723</v>
      </c>
      <c r="H38" s="658">
        <f>ROUND('14'!K38,1)/0.376+ROUND('28'!$M38,1)</f>
        <v>149743.28723404254</v>
      </c>
      <c r="I38" s="671">
        <f>ROUND('14'!L38,1)/0.376+ROUND('28'!$N38,1)</f>
        <v>249983.5510638298</v>
      </c>
      <c r="J38" s="667">
        <f>('15'!C38+'15'!D38)/0.376+'29'!$C38</f>
        <v>13256.736090362712</v>
      </c>
      <c r="K38" s="659">
        <f>('15'!E38)/0.376+'29'!$D38</f>
        <v>40959.735417881733</v>
      </c>
      <c r="L38" s="666">
        <f>('15'!F38)/0.376+'29'!$E38-0.01</f>
        <v>4853.2424527755193</v>
      </c>
      <c r="M38" s="664">
        <f>('15'!G38+'15'!H38)/0.376+'29'!$F38-0.02</f>
        <v>18404.091154501457</v>
      </c>
      <c r="N38" s="675">
        <f>ROUND('15'!I38,1)/0.376+ROUND('29'!$G38,1)+0.05</f>
        <v>77473.664893617024</v>
      </c>
      <c r="O38" s="675">
        <f>ROUND('15'!J38,1)/0.376+ROUND('29'!$M38,1)</f>
        <v>172509.93617021275</v>
      </c>
    </row>
    <row r="39" spans="1:15" s="306" customFormat="1" ht="16.5" customHeight="1">
      <c r="A39" s="405"/>
      <c r="B39" s="497" t="s">
        <v>416</v>
      </c>
      <c r="C39" s="640">
        <f>('14'!C39+'14'!D39+'14'!E39)/0.376+'28'!$C39</f>
        <v>30510.496995902646</v>
      </c>
      <c r="D39" s="640">
        <f>('14'!F39)/0.376+'28'!$D39+0.05</f>
        <v>39182.761000718441</v>
      </c>
      <c r="E39" s="1204">
        <f>('14'!G39+'14'!H39)/0.376+'28'!$E39+0.01</f>
        <v>26999.45667894771</v>
      </c>
      <c r="F39" s="640">
        <f>('14'!I39)/0.376+'28'!$F39</f>
        <v>6783.1968683911418</v>
      </c>
      <c r="G39" s="670">
        <f>ROUND('14'!J39,1)/0.376+ROUND('28'!$G39,1)</f>
        <v>103476.00638297873</v>
      </c>
      <c r="H39" s="658">
        <f>ROUND('14'!K39,1)/0.376+ROUND('28'!$M39,1)</f>
        <v>153402.88085106382</v>
      </c>
      <c r="I39" s="671">
        <f>ROUND('14'!L39,1)/0.376+ROUND('28'!$N39,1)</f>
        <v>256878.88723404257</v>
      </c>
      <c r="J39" s="667">
        <f>('15'!C39+'15'!D39)/0.376+'29'!$C39</f>
        <v>13582.796412759351</v>
      </c>
      <c r="K39" s="659">
        <f>('15'!E39)/0.376+'29'!$D39</f>
        <v>41510.663306512142</v>
      </c>
      <c r="L39" s="666">
        <f>('15'!F39)/0.376+'29'!$E39</f>
        <v>5325.862228977644</v>
      </c>
      <c r="M39" s="664">
        <f>('15'!G39+'15'!H39)/0.376+'29'!$F39-0.02</f>
        <v>18065.078972424115</v>
      </c>
      <c r="N39" s="675">
        <f>ROUND('15'!I39,1)/0.376+ROUND('29'!$G39,1)+0.02</f>
        <v>78484.460425531928</v>
      </c>
      <c r="O39" s="675">
        <f>ROUND('15'!J39,1)/0.376+ROUND('29'!$M39,1)</f>
        <v>178394.44680851063</v>
      </c>
    </row>
    <row r="40" spans="1:15" s="306" customFormat="1" ht="16.5" customHeight="1">
      <c r="A40" s="405"/>
      <c r="B40" s="497" t="s">
        <v>417</v>
      </c>
      <c r="C40" s="640">
        <f>('14'!C40+'14'!D40+'14'!E40)/0.376+'28'!$C40-0.02</f>
        <v>29519.758156292773</v>
      </c>
      <c r="D40" s="640">
        <f>('14'!F40)/0.376+'28'!$D40</f>
        <v>39898.159689312786</v>
      </c>
      <c r="E40" s="1204">
        <f>('14'!G40+'14'!H40)/0.376+'28'!$E40</f>
        <v>27080.727630667228</v>
      </c>
      <c r="F40" s="640">
        <f>('14'!I40)/0.376+'28'!$F40-0.06</f>
        <v>6262.5489092970283</v>
      </c>
      <c r="G40" s="670">
        <f>ROUND('14'!J40,1)/0.376+ROUND('28'!$G40,1)</f>
        <v>102761.21063829787</v>
      </c>
      <c r="H40" s="658">
        <f>ROUND('14'!K40,1)/0.376+ROUND('28'!$M40,1)</f>
        <v>151280.38510638298</v>
      </c>
      <c r="I40" s="671">
        <f>ROUND('14'!L40,1)/0.376+ROUND('28'!$N40,1)</f>
        <v>254041.59574468085</v>
      </c>
      <c r="J40" s="667">
        <f>('15'!C40+'15'!D40)/0.376+'29'!$C40</f>
        <v>13370.196844335234</v>
      </c>
      <c r="K40" s="659">
        <f>('15'!E40)/0.376+'29'!$D40</f>
        <v>44109.127620578998</v>
      </c>
      <c r="L40" s="666">
        <f>('15'!F40)/0.376+'29'!$E40</f>
        <v>5222.7676654467932</v>
      </c>
      <c r="M40" s="664">
        <f>('15'!G40+'15'!H40)/0.376+'29'!$F40</f>
        <v>17836.988455532883</v>
      </c>
      <c r="N40" s="675">
        <f>ROUND('15'!I40,1)/0.376+ROUND('29'!$G40,1)</f>
        <v>80539.089361702136</v>
      </c>
      <c r="O40" s="675">
        <f>ROUND('15'!J40,1)/0.376+ROUND('29'!$M40,1)</f>
        <v>173502.5063829787</v>
      </c>
    </row>
    <row r="41" spans="1:15" s="306" customFormat="1" ht="16.5" customHeight="1">
      <c r="A41" s="405"/>
      <c r="B41" s="497" t="s">
        <v>418</v>
      </c>
      <c r="C41" s="640">
        <f>('14'!C41+'14'!D41+'14'!E41)/0.376+'28'!$C41</f>
        <v>29372.495500657249</v>
      </c>
      <c r="D41" s="640">
        <f>('14'!F41)/0.376+'28'!$D41-0.03</f>
        <v>40028.243741937134</v>
      </c>
      <c r="E41" s="1204">
        <f>('14'!G41+'14'!H41)/0.376+'28'!$E41</f>
        <v>26765.574637770034</v>
      </c>
      <c r="F41" s="640">
        <f>('14'!I41)/0.376+'28'!$F41</f>
        <v>6589.7800757719406</v>
      </c>
      <c r="G41" s="670">
        <f>ROUND('14'!J41,1)/0.376+ROUND('28'!$G41,1)</f>
        <v>102756.14893617021</v>
      </c>
      <c r="H41" s="658">
        <f>ROUND('14'!K41,1)/0.376+ROUND('28'!$M41,1)</f>
        <v>149103.88510638298</v>
      </c>
      <c r="I41" s="671">
        <f>ROUND('14'!L41,1)/0.376+ROUND('28'!$N41,1)</f>
        <v>251860.03404255322</v>
      </c>
      <c r="J41" s="667">
        <f>('15'!C41+'15'!D41)/0.376+'29'!$C41</f>
        <v>13368.370835739377</v>
      </c>
      <c r="K41" s="659">
        <f>('15'!E41)/0.376+'29'!$D41</f>
        <v>43839.570698286894</v>
      </c>
      <c r="L41" s="666">
        <f>('15'!F41)/0.376+'29'!$E41</f>
        <v>5390.7621142172848</v>
      </c>
      <c r="M41" s="664">
        <f>('15'!G41+'15'!H41)/0.376+'29'!$F41</f>
        <v>18384.1233709226</v>
      </c>
      <c r="N41" s="675">
        <f>ROUND('15'!I41,1)/0.376+ROUND('29'!$G41,1)</f>
        <v>80982.872340425529</v>
      </c>
      <c r="O41" s="675">
        <f>ROUND('15'!J41,1)/0.376+ROUND('29'!$M41,1)-0.02</f>
        <v>170877.14170212767</v>
      </c>
    </row>
    <row r="42" spans="1:15" s="306" customFormat="1" ht="16.5" customHeight="1">
      <c r="A42" s="405"/>
      <c r="B42" s="497" t="s">
        <v>419</v>
      </c>
      <c r="C42" s="640">
        <f>('14'!C42+'14'!D42+'14'!E42)/0.376+'28'!$C42</f>
        <v>28313.655898565528</v>
      </c>
      <c r="D42" s="640">
        <f>('14'!F42)/0.376+'28'!$D42</f>
        <v>40036.774488343457</v>
      </c>
      <c r="E42" s="1204">
        <f>('14'!G42+'14'!H42)/0.376+'28'!$E42</f>
        <v>27025.119422652639</v>
      </c>
      <c r="F42" s="640">
        <f>('14'!I42)/0.376+'28'!$F42</f>
        <v>7365.0999199517355</v>
      </c>
      <c r="G42" s="670">
        <f>ROUND('14'!J42,1)/0.376+ROUND('28'!$G42,1)</f>
        <v>102740.72127659575</v>
      </c>
      <c r="H42" s="658">
        <f>ROUND('14'!K42,1)/0.376+ROUND('28'!$M42,1)</f>
        <v>147829.40212765959</v>
      </c>
      <c r="I42" s="671">
        <f>ROUND('14'!L42,1)/0.376+ROUND('28'!$N42,1)</f>
        <v>250570.12340425531</v>
      </c>
      <c r="J42" s="667">
        <f>('15'!C42+'15'!D42)/0.376+'29'!$C42</f>
        <v>12559.030893442392</v>
      </c>
      <c r="K42" s="659">
        <f>('15'!E42)/0.376+'29'!$D42</f>
        <v>44415.714663343868</v>
      </c>
      <c r="L42" s="666">
        <f>('15'!F42)/0.376+'29'!$E42</f>
        <v>5181.0527636494471</v>
      </c>
      <c r="M42" s="664">
        <f>('15'!G42+'15'!H42)/0.376+'29'!$F42</f>
        <v>19153.422300044505</v>
      </c>
      <c r="N42" s="675">
        <f>ROUND('15'!I42,1)/0.376+ROUND('29'!$G42,1)</f>
        <v>81309.240425531912</v>
      </c>
      <c r="O42" s="675">
        <f>ROUND('15'!J42,1)/0.376+ROUND('29'!$M42,1)</f>
        <v>169260.88297872341</v>
      </c>
    </row>
    <row r="43" spans="1:15" s="306" customFormat="1" ht="16.5" customHeight="1">
      <c r="A43" s="405"/>
      <c r="B43" s="497" t="s">
        <v>420</v>
      </c>
      <c r="C43" s="640">
        <f>('14'!C43+'14'!D43+'14'!E43)/0.376+'28'!$C43</f>
        <v>28387.602502830166</v>
      </c>
      <c r="D43" s="640">
        <f>('14'!F43)/0.376+'28'!$D43</f>
        <v>40538.547478731736</v>
      </c>
      <c r="E43" s="1204">
        <f>('14'!G43+'14'!H43)/0.376+'28'!$E43</f>
        <v>27179.373583639688</v>
      </c>
      <c r="F43" s="640">
        <f>('14'!I43)/0.376+'28'!$F43</f>
        <v>7344.4907528412459</v>
      </c>
      <c r="G43" s="670">
        <f>ROUND('14'!J43,1)/0.376+ROUND('28'!$G43,1)</f>
        <v>103449.98297872339</v>
      </c>
      <c r="H43" s="658">
        <f>ROUND('14'!K43,1)/0.376+ROUND('28'!$M43,1)</f>
        <v>145501.04042553192</v>
      </c>
      <c r="I43" s="671">
        <f>ROUND('14'!L43,1)/0.376+ROUND('28'!$N43,1)</f>
        <v>248951.02340425533</v>
      </c>
      <c r="J43" s="667">
        <f>('15'!C43+'15'!D43)/0.376+'29'!$C43</f>
        <v>13490.048799305096</v>
      </c>
      <c r="K43" s="659">
        <f>('15'!E43)/0.376+'29'!$D43-0.02</f>
        <v>43845.037586466591</v>
      </c>
      <c r="L43" s="666">
        <f>('15'!F43)/0.376+'29'!$E43-0.01</f>
        <v>5037.243820350659</v>
      </c>
      <c r="M43" s="664">
        <f>('15'!G43+'15'!H43)/0.376+'29'!$F43</f>
        <v>19541.348818657298</v>
      </c>
      <c r="N43" s="675">
        <f>ROUND('15'!I43,1)/0.376+ROUND('29'!$G43,1)</f>
        <v>81913.53617021277</v>
      </c>
      <c r="O43" s="675">
        <f>ROUND('15'!J43,1)/0.376+ROUND('29'!$M43,1)</f>
        <v>167037.48723404255</v>
      </c>
    </row>
    <row r="44" spans="1:15" s="2" customFormat="1" ht="20.25" customHeight="1">
      <c r="A44" s="215" t="s">
        <v>761</v>
      </c>
      <c r="B44" s="1619"/>
      <c r="C44" s="217"/>
      <c r="D44" s="217"/>
      <c r="E44" s="217"/>
      <c r="F44" s="217"/>
      <c r="G44" s="217"/>
      <c r="H44" s="217"/>
      <c r="I44" s="1620"/>
      <c r="J44" s="1620"/>
      <c r="K44" s="215"/>
      <c r="L44" s="215"/>
      <c r="M44" s="215"/>
      <c r="N44" s="215"/>
      <c r="O44" s="236" t="s">
        <v>762</v>
      </c>
    </row>
    <row r="45" spans="1:15" s="2" customFormat="1" ht="13.8" customHeight="1">
      <c r="A45" s="5" t="s">
        <v>763</v>
      </c>
      <c r="B45" s="1621"/>
      <c r="H45" s="5"/>
      <c r="I45" s="5"/>
      <c r="O45" s="237" t="s">
        <v>764</v>
      </c>
    </row>
    <row r="46" spans="1:15" ht="7.5" customHeight="1">
      <c r="L46" s="25"/>
      <c r="N46" s="25"/>
      <c r="O46" s="25"/>
    </row>
    <row r="47" spans="1:15" s="38" customFormat="1" ht="13.8">
      <c r="A47" s="317" t="s">
        <v>765</v>
      </c>
      <c r="B47" s="317"/>
      <c r="C47" s="317"/>
      <c r="D47" s="317"/>
      <c r="E47" s="317"/>
      <c r="F47" s="317"/>
      <c r="G47" s="317"/>
      <c r="H47" s="317"/>
      <c r="I47" s="317"/>
      <c r="J47" s="317"/>
      <c r="K47" s="317"/>
      <c r="L47" s="317"/>
      <c r="M47" s="317"/>
      <c r="N47" s="317"/>
      <c r="O47" s="317"/>
    </row>
    <row r="48" spans="1:15">
      <c r="A48" s="146"/>
      <c r="B48" s="10"/>
      <c r="C48" s="1937"/>
      <c r="D48" s="1937"/>
      <c r="E48" s="1937"/>
      <c r="F48" s="1937"/>
      <c r="G48" s="1937"/>
      <c r="H48" s="1937"/>
      <c r="I48" s="1937"/>
      <c r="J48" s="1937"/>
      <c r="K48" s="1937"/>
      <c r="L48" s="1937"/>
      <c r="M48" s="1937"/>
      <c r="N48" s="1937"/>
      <c r="O48" s="1937"/>
    </row>
    <row r="49" spans="3:15">
      <c r="C49" s="1937"/>
      <c r="D49" s="1937"/>
      <c r="E49" s="1937"/>
      <c r="F49" s="1937"/>
      <c r="G49" s="1937"/>
      <c r="H49" s="1937"/>
      <c r="I49" s="1937"/>
      <c r="J49" s="1937"/>
      <c r="K49" s="1937"/>
      <c r="L49" s="1937"/>
      <c r="M49" s="1937"/>
      <c r="N49" s="1937"/>
      <c r="O49" s="1937"/>
    </row>
  </sheetData>
  <mergeCells count="2">
    <mergeCell ref="A10:B12"/>
    <mergeCell ref="A7:B9"/>
  </mergeCells>
  <phoneticPr fontId="0" type="noConversion"/>
  <printOptions horizontalCentered="1" verticalCentered="1"/>
  <pageMargins left="0" right="0" top="0" bottom="0" header="0.511811023622047" footer="0.511811023622047"/>
  <pageSetup paperSize="9" scale="7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pageSetUpPr fitToPage="1"/>
  </sheetPr>
  <dimension ref="A1:O51"/>
  <sheetViews>
    <sheetView zoomScale="80" zoomScaleNormal="80" workbookViewId="0">
      <pane ySplit="12" topLeftCell="A37" activePane="bottomLeft" state="frozen"/>
      <selection activeCell="B2" sqref="B2"/>
      <selection pane="bottomLeft" activeCell="M42" sqref="M42"/>
    </sheetView>
  </sheetViews>
  <sheetFormatPr defaultColWidth="7.77734375" defaultRowHeight="15"/>
  <cols>
    <col min="1" max="2" width="9.21875" style="1413" customWidth="1"/>
    <col min="3" max="3" width="11.21875" style="13" customWidth="1"/>
    <col min="4" max="4" width="13.77734375" style="13" customWidth="1"/>
    <col min="5" max="5" width="12.77734375" style="13" customWidth="1"/>
    <col min="6" max="6" width="14.77734375" style="13" customWidth="1"/>
    <col min="7" max="8" width="14.21875" style="13" customWidth="1"/>
    <col min="9" max="9" width="12.77734375" style="13" customWidth="1"/>
    <col min="10" max="12" width="13.77734375" style="13" customWidth="1"/>
    <col min="13" max="13" width="17.77734375" style="13" customWidth="1"/>
    <col min="14" max="14" width="8.77734375" style="13" customWidth="1"/>
    <col min="15" max="16384" width="7.77734375" style="13"/>
  </cols>
  <sheetData>
    <row r="1" spans="1:15" ht="17.399999999999999">
      <c r="A1" s="16" t="s">
        <v>1771</v>
      </c>
      <c r="B1" s="12"/>
      <c r="C1" s="11"/>
      <c r="D1" s="11"/>
      <c r="E1" s="11"/>
      <c r="F1" s="11"/>
      <c r="G1" s="11"/>
      <c r="H1" s="11"/>
      <c r="I1" s="11"/>
      <c r="J1" s="11"/>
      <c r="K1" s="11"/>
      <c r="L1" s="11"/>
      <c r="M1" s="11"/>
    </row>
    <row r="2" spans="1:15" ht="17.399999999999999">
      <c r="A2" s="874" t="s">
        <v>766</v>
      </c>
      <c r="B2" s="12"/>
      <c r="C2" s="11"/>
      <c r="D2" s="11"/>
      <c r="E2" s="11"/>
      <c r="F2" s="11"/>
      <c r="G2" s="11"/>
      <c r="H2" s="11"/>
      <c r="I2" s="11"/>
      <c r="J2" s="11"/>
      <c r="K2" s="11"/>
      <c r="L2" s="11"/>
      <c r="M2" s="11"/>
    </row>
    <row r="3" spans="1:15" ht="17.399999999999999">
      <c r="A3" s="16" t="s">
        <v>767</v>
      </c>
      <c r="B3" s="12"/>
      <c r="C3" s="11"/>
      <c r="D3" s="11"/>
      <c r="E3" s="11"/>
      <c r="F3" s="11"/>
      <c r="G3" s="11"/>
      <c r="H3" s="11"/>
      <c r="I3" s="11"/>
      <c r="J3" s="11"/>
      <c r="K3" s="11"/>
      <c r="L3" s="11"/>
      <c r="M3" s="11"/>
    </row>
    <row r="4" spans="1:15" ht="17.399999999999999">
      <c r="A4" s="874" t="s">
        <v>372</v>
      </c>
      <c r="B4" s="12"/>
      <c r="C4" s="11"/>
      <c r="D4" s="11"/>
      <c r="E4" s="11"/>
      <c r="F4" s="11"/>
      <c r="G4" s="11"/>
      <c r="H4" s="11"/>
      <c r="I4" s="11"/>
      <c r="J4" s="11"/>
      <c r="K4" s="11"/>
      <c r="L4" s="11"/>
      <c r="M4" s="11"/>
    </row>
    <row r="5" spans="1:15" ht="18" customHeight="1">
      <c r="A5" s="16" t="s">
        <v>371</v>
      </c>
      <c r="B5" s="12"/>
      <c r="C5" s="11"/>
      <c r="D5" s="11"/>
      <c r="E5" s="11"/>
      <c r="F5" s="11"/>
      <c r="G5" s="11"/>
      <c r="H5" s="11"/>
      <c r="I5" s="11"/>
      <c r="J5" s="11"/>
      <c r="K5" s="11"/>
      <c r="L5" s="11"/>
      <c r="M5" s="11"/>
    </row>
    <row r="6" spans="1:15" ht="1.5" hidden="1" customHeight="1">
      <c r="A6" s="16"/>
      <c r="B6" s="12"/>
      <c r="C6" s="11"/>
      <c r="D6" s="11" t="s">
        <v>768</v>
      </c>
      <c r="E6" s="11"/>
      <c r="F6" s="11"/>
      <c r="G6" s="11"/>
      <c r="H6" s="11"/>
      <c r="I6" s="11"/>
      <c r="J6" s="11"/>
      <c r="K6" s="11"/>
      <c r="L6" s="11" t="s">
        <v>768</v>
      </c>
      <c r="M6" s="11"/>
    </row>
    <row r="7" spans="1:15">
      <c r="A7" s="8" t="s">
        <v>369</v>
      </c>
      <c r="B7" s="12"/>
      <c r="C7" s="14"/>
      <c r="D7" s="14"/>
      <c r="E7" s="14"/>
      <c r="F7" s="14"/>
      <c r="G7" s="14"/>
      <c r="H7" s="14"/>
      <c r="I7" s="14"/>
      <c r="J7" s="14"/>
      <c r="K7" s="14"/>
      <c r="L7" s="14"/>
      <c r="M7" s="21" t="s">
        <v>370</v>
      </c>
    </row>
    <row r="8" spans="1:15" s="39" customFormat="1" ht="18.600000000000001" customHeight="1">
      <c r="A8" s="53"/>
      <c r="B8" s="127"/>
      <c r="C8" s="300" t="s">
        <v>492</v>
      </c>
      <c r="D8" s="123"/>
      <c r="E8" s="123"/>
      <c r="F8" s="123"/>
      <c r="G8" s="123"/>
      <c r="H8" s="123"/>
      <c r="I8" s="133"/>
      <c r="J8" s="301" t="s">
        <v>490</v>
      </c>
      <c r="K8" s="124"/>
      <c r="L8" s="128"/>
      <c r="M8" s="72" t="s">
        <v>769</v>
      </c>
    </row>
    <row r="9" spans="1:15" s="39" customFormat="1" ht="15.6">
      <c r="A9" s="1915"/>
      <c r="B9" s="1900"/>
      <c r="C9" s="70"/>
      <c r="D9" s="79" t="s">
        <v>493</v>
      </c>
      <c r="E9" s="70"/>
      <c r="F9" s="79" t="s">
        <v>499</v>
      </c>
      <c r="G9" s="22" t="s">
        <v>390</v>
      </c>
      <c r="H9" s="115"/>
      <c r="I9" s="79"/>
      <c r="J9" s="70"/>
      <c r="K9" s="129" t="s">
        <v>372</v>
      </c>
      <c r="L9" s="233" t="s">
        <v>429</v>
      </c>
      <c r="M9" s="129" t="s">
        <v>770</v>
      </c>
    </row>
    <row r="10" spans="1:15" s="39" customFormat="1" ht="16.05" customHeight="1">
      <c r="A10" s="24" t="s">
        <v>379</v>
      </c>
      <c r="B10" s="74"/>
      <c r="C10" s="95" t="s">
        <v>771</v>
      </c>
      <c r="D10" s="79" t="s">
        <v>497</v>
      </c>
      <c r="E10" s="79" t="s">
        <v>431</v>
      </c>
      <c r="F10" s="271" t="s">
        <v>755</v>
      </c>
      <c r="G10" s="97" t="s">
        <v>772</v>
      </c>
      <c r="H10" s="74"/>
      <c r="I10" s="79" t="s">
        <v>756</v>
      </c>
      <c r="J10" s="129" t="s">
        <v>382</v>
      </c>
      <c r="K10" s="129" t="s">
        <v>375</v>
      </c>
      <c r="L10" s="233" t="s">
        <v>372</v>
      </c>
      <c r="M10" s="51" t="s">
        <v>773</v>
      </c>
    </row>
    <row r="11" spans="1:15" s="39" customFormat="1" ht="30.75" customHeight="1">
      <c r="A11" s="118" t="s">
        <v>387</v>
      </c>
      <c r="B11" s="60"/>
      <c r="C11" s="228" t="s">
        <v>774</v>
      </c>
      <c r="D11" s="1239" t="s">
        <v>366</v>
      </c>
      <c r="E11" s="107" t="s">
        <v>405</v>
      </c>
      <c r="F11" s="51" t="s">
        <v>775</v>
      </c>
      <c r="G11" s="227" t="s">
        <v>776</v>
      </c>
      <c r="H11" s="227" t="s">
        <v>777</v>
      </c>
      <c r="I11" s="226" t="s">
        <v>399</v>
      </c>
      <c r="J11" s="225" t="s">
        <v>392</v>
      </c>
      <c r="K11" s="51" t="s">
        <v>778</v>
      </c>
      <c r="L11" s="224" t="s">
        <v>779</v>
      </c>
      <c r="M11" s="51" t="s">
        <v>780</v>
      </c>
    </row>
    <row r="12" spans="1:15" s="39" customFormat="1" ht="15.6">
      <c r="A12" s="47"/>
      <c r="B12" s="66"/>
      <c r="C12" s="130"/>
      <c r="D12" s="1916"/>
      <c r="E12" s="52" t="s">
        <v>781</v>
      </c>
      <c r="F12" s="93" t="s">
        <v>782</v>
      </c>
      <c r="G12" s="52" t="s">
        <v>783</v>
      </c>
      <c r="H12" s="52" t="s">
        <v>784</v>
      </c>
      <c r="I12" s="52"/>
      <c r="J12" s="52"/>
      <c r="K12" s="131"/>
      <c r="L12" s="132"/>
      <c r="M12" s="93" t="s">
        <v>785</v>
      </c>
    </row>
    <row r="13" spans="1:15" s="306" customFormat="1" ht="20.25" customHeight="1">
      <c r="A13" s="405">
        <v>2016</v>
      </c>
      <c r="B13" s="406"/>
      <c r="C13" s="1917">
        <v>135.30073358308633</v>
      </c>
      <c r="D13" s="801">
        <v>1018.7022749116126</v>
      </c>
      <c r="E13" s="684">
        <v>2070.7252222487086</v>
      </c>
      <c r="F13" s="684">
        <v>8755.5592465315076</v>
      </c>
      <c r="G13" s="682">
        <v>293.39917654400006</v>
      </c>
      <c r="H13" s="1918">
        <v>4342.8140858987144</v>
      </c>
      <c r="I13" s="683">
        <v>732.53085481721962</v>
      </c>
      <c r="J13" s="684">
        <v>17349.011085939197</v>
      </c>
      <c r="K13" s="1919">
        <v>13864.540338904006</v>
      </c>
      <c r="L13" s="685">
        <v>31213.541424843206</v>
      </c>
      <c r="M13" s="1192">
        <v>4043.1942213319253</v>
      </c>
      <c r="N13" s="1071"/>
      <c r="O13" s="778"/>
    </row>
    <row r="14" spans="1:15" s="408" customFormat="1" ht="14.25" customHeight="1">
      <c r="A14" s="356">
        <v>2017</v>
      </c>
      <c r="B14" s="407"/>
      <c r="C14" s="1920">
        <v>135.87010868949105</v>
      </c>
      <c r="D14" s="1921">
        <v>1130.2101811241891</v>
      </c>
      <c r="E14" s="1922">
        <v>1860.4555624995869</v>
      </c>
      <c r="F14" s="1922">
        <v>8970.1976701133171</v>
      </c>
      <c r="G14" s="1923">
        <v>333.19405482585466</v>
      </c>
      <c r="H14" s="1924">
        <v>4737.1702734140645</v>
      </c>
      <c r="I14" s="1925">
        <v>857.84656973846245</v>
      </c>
      <c r="J14" s="1922">
        <v>18024.964402942245</v>
      </c>
      <c r="K14" s="1926">
        <v>13364.043650535194</v>
      </c>
      <c r="L14" s="1927">
        <v>31388.988053477431</v>
      </c>
      <c r="M14" s="1928">
        <v>5461.3227363955975</v>
      </c>
      <c r="N14" s="1071"/>
      <c r="O14" s="778"/>
    </row>
    <row r="15" spans="1:15" s="321" customFormat="1" ht="14.25" customHeight="1">
      <c r="A15" s="747">
        <v>2018</v>
      </c>
      <c r="B15" s="748"/>
      <c r="C15" s="1142">
        <v>153.61401866671198</v>
      </c>
      <c r="D15" s="645">
        <v>889.0274201716195</v>
      </c>
      <c r="E15" s="723">
        <v>2070.5527012026528</v>
      </c>
      <c r="F15" s="723">
        <v>9860.5224357719762</v>
      </c>
      <c r="G15" s="626">
        <v>261.09804778127256</v>
      </c>
      <c r="H15" s="1143">
        <v>4790.9151197145866</v>
      </c>
      <c r="I15" s="1144">
        <v>913.60152774705796</v>
      </c>
      <c r="J15" s="723">
        <v>18939.31694201149</v>
      </c>
      <c r="K15" s="1145">
        <v>13629.708080063867</v>
      </c>
      <c r="L15" s="1146">
        <v>32569.025022075359</v>
      </c>
      <c r="M15" s="1147">
        <v>6068.6923156719404</v>
      </c>
      <c r="N15" s="1066"/>
      <c r="O15" s="778"/>
    </row>
    <row r="16" spans="1:15" s="321" customFormat="1" ht="14.25" customHeight="1">
      <c r="A16" s="747">
        <v>2019</v>
      </c>
      <c r="B16" s="748"/>
      <c r="C16" s="1142">
        <v>152.01815108439322</v>
      </c>
      <c r="D16" s="645">
        <v>1443.5138628727032</v>
      </c>
      <c r="E16" s="723">
        <v>1956.5127468639735</v>
      </c>
      <c r="F16" s="723">
        <v>9966.7851993423283</v>
      </c>
      <c r="G16" s="626">
        <v>301.55684848336523</v>
      </c>
      <c r="H16" s="1143">
        <v>5235.0001561828694</v>
      </c>
      <c r="I16" s="1144">
        <v>891.202485273717</v>
      </c>
      <c r="J16" s="723">
        <v>19946.568477436442</v>
      </c>
      <c r="K16" s="1145">
        <v>15423.23278930428</v>
      </c>
      <c r="L16" s="1146">
        <v>35369.801266740717</v>
      </c>
      <c r="M16" s="1147">
        <v>6799.8420027608672</v>
      </c>
      <c r="N16" s="1066"/>
      <c r="O16" s="778"/>
    </row>
    <row r="17" spans="1:15" s="321" customFormat="1" ht="14.25" customHeight="1">
      <c r="A17" s="747">
        <v>2020</v>
      </c>
      <c r="B17" s="748"/>
      <c r="C17" s="1142">
        <v>152.14040643960661</v>
      </c>
      <c r="D17" s="645">
        <v>1343.9381437547299</v>
      </c>
      <c r="E17" s="723">
        <v>1815.8812734186554</v>
      </c>
      <c r="F17" s="723">
        <v>10644.319226108561</v>
      </c>
      <c r="G17" s="626">
        <v>369.604072205649</v>
      </c>
      <c r="H17" s="1143">
        <v>5641.1092276645286</v>
      </c>
      <c r="I17" s="1144">
        <v>972.75730277415607</v>
      </c>
      <c r="J17" s="723">
        <v>20939.749652365885</v>
      </c>
      <c r="K17" s="1145">
        <v>14507.584865149944</v>
      </c>
      <c r="L17" s="1146">
        <v>35447.334517515825</v>
      </c>
      <c r="M17" s="1147">
        <v>7078.9765895044402</v>
      </c>
      <c r="N17" s="1066"/>
      <c r="O17" s="778"/>
    </row>
    <row r="18" spans="1:15" s="321" customFormat="1" ht="14.25" customHeight="1">
      <c r="A18" s="747">
        <v>2021</v>
      </c>
      <c r="B18" s="748"/>
      <c r="C18" s="1142">
        <v>145.95841701867218</v>
      </c>
      <c r="D18" s="645">
        <v>1748.0306685540097</v>
      </c>
      <c r="E18" s="723">
        <v>1919.9081666985462</v>
      </c>
      <c r="F18" s="723">
        <v>11111.127374236223</v>
      </c>
      <c r="G18" s="626">
        <v>454.44417880146625</v>
      </c>
      <c r="H18" s="1143">
        <v>5824.9829172615428</v>
      </c>
      <c r="I18" s="1144">
        <v>921.75746726784905</v>
      </c>
      <c r="J18" s="723">
        <v>22126.199189433308</v>
      </c>
      <c r="K18" s="1145">
        <v>15247.818099927881</v>
      </c>
      <c r="L18" s="1146">
        <v>37374.017289361189</v>
      </c>
      <c r="M18" s="1147">
        <v>7469.5470989989062</v>
      </c>
      <c r="N18" s="1066"/>
      <c r="O18" s="778"/>
    </row>
    <row r="19" spans="1:15" s="321" customFormat="1" ht="14.25" customHeight="1">
      <c r="A19" s="747">
        <v>2022</v>
      </c>
      <c r="B19" s="748"/>
      <c r="C19" s="1142">
        <v>177.85355717154039</v>
      </c>
      <c r="D19" s="645">
        <v>3044.7492307360289</v>
      </c>
      <c r="E19" s="723">
        <v>1542.2672522382782</v>
      </c>
      <c r="F19" s="723">
        <v>11505.400231115644</v>
      </c>
      <c r="G19" s="626">
        <v>629.84344403702517</v>
      </c>
      <c r="H19" s="1143">
        <v>5789.0690879326748</v>
      </c>
      <c r="I19" s="1144">
        <v>1193.238695635368</v>
      </c>
      <c r="J19" s="723">
        <v>23882.421498866555</v>
      </c>
      <c r="K19" s="1145">
        <v>14365.004196472149</v>
      </c>
      <c r="L19" s="1146">
        <v>38247.425695338708</v>
      </c>
      <c r="M19" s="1147">
        <v>9227.6589447925835</v>
      </c>
      <c r="N19" s="1066"/>
      <c r="O19" s="778"/>
    </row>
    <row r="20" spans="1:15" s="321" customFormat="1" ht="14.25" customHeight="1">
      <c r="A20" s="747">
        <v>2023</v>
      </c>
      <c r="B20" s="748"/>
      <c r="C20" s="1142">
        <v>135.90690119702001</v>
      </c>
      <c r="D20" s="645">
        <v>4327.50315745848</v>
      </c>
      <c r="E20" s="723">
        <v>1808.49274727122</v>
      </c>
      <c r="F20" s="723">
        <v>11804.930969689533</v>
      </c>
      <c r="G20" s="626">
        <v>925.35881948390079</v>
      </c>
      <c r="H20" s="1143">
        <v>5538.6275134443949</v>
      </c>
      <c r="I20" s="1144">
        <v>1111.5111251601061</v>
      </c>
      <c r="J20" s="723">
        <v>25652.321233704653</v>
      </c>
      <c r="K20" s="1145">
        <v>14608.358006707931</v>
      </c>
      <c r="L20" s="1146">
        <v>40260.679240412581</v>
      </c>
      <c r="M20" s="1147">
        <v>8085.7206714014173</v>
      </c>
      <c r="N20" s="1066"/>
      <c r="O20" s="778"/>
    </row>
    <row r="21" spans="1:15" s="321" customFormat="1" ht="14.25" customHeight="1">
      <c r="A21" s="747">
        <v>2024</v>
      </c>
      <c r="B21" s="748"/>
      <c r="C21" s="1142">
        <v>136.80272008418029</v>
      </c>
      <c r="D21" s="645">
        <v>4630.361426748038</v>
      </c>
      <c r="E21" s="723">
        <v>2014.6235242127937</v>
      </c>
      <c r="F21" s="723">
        <v>11897.037488911043</v>
      </c>
      <c r="G21" s="626">
        <v>1160.0747486541443</v>
      </c>
      <c r="H21" s="1143">
        <v>5774.3295687969949</v>
      </c>
      <c r="I21" s="1144">
        <v>1249.8445850251187</v>
      </c>
      <c r="J21" s="723">
        <v>26863.024062432312</v>
      </c>
      <c r="K21" s="1145">
        <v>14846.494816834533</v>
      </c>
      <c r="L21" s="1146">
        <v>41709.518879266841</v>
      </c>
      <c r="M21" s="1147">
        <v>7311.1839031034806</v>
      </c>
      <c r="N21" s="1066"/>
      <c r="O21" s="778"/>
    </row>
    <row r="22" spans="1:15" s="321" customFormat="1" ht="14.25" customHeight="1">
      <c r="A22" s="906">
        <v>2025</v>
      </c>
      <c r="B22" s="997"/>
      <c r="C22" s="1060">
        <f t="shared" ref="C22:M22" si="0">C28</f>
        <v>174.48180280008069</v>
      </c>
      <c r="D22" s="1002">
        <f t="shared" si="0"/>
        <v>4255.0871019940005</v>
      </c>
      <c r="E22" s="1006">
        <f t="shared" si="0"/>
        <v>2625.5990142779924</v>
      </c>
      <c r="F22" s="1006">
        <f t="shared" si="0"/>
        <v>12321.563574700062</v>
      </c>
      <c r="G22" s="1027">
        <f t="shared" si="0"/>
        <v>1507.6448934812699</v>
      </c>
      <c r="H22" s="1061">
        <f t="shared" si="0"/>
        <v>7024.5219233836178</v>
      </c>
      <c r="I22" s="1062">
        <f t="shared" si="0"/>
        <v>1280.2813400050081</v>
      </c>
      <c r="J22" s="1006">
        <f t="shared" si="0"/>
        <v>29189.169650642034</v>
      </c>
      <c r="K22" s="1063">
        <f t="shared" si="0"/>
        <v>15811.918264778942</v>
      </c>
      <c r="L22" s="1064">
        <f t="shared" si="0"/>
        <v>45001.087915420976</v>
      </c>
      <c r="M22" s="1065">
        <f t="shared" si="0"/>
        <v>8719.1459357337772</v>
      </c>
      <c r="N22" s="1066"/>
      <c r="O22" s="778"/>
    </row>
    <row r="23" spans="1:15" s="321" customFormat="1" ht="21" customHeight="1">
      <c r="A23" s="747">
        <v>2024</v>
      </c>
      <c r="B23" s="748" t="s">
        <v>237</v>
      </c>
      <c r="C23" s="1142">
        <v>128.34604386187928</v>
      </c>
      <c r="D23" s="645">
        <v>5274.5170140540004</v>
      </c>
      <c r="E23" s="723">
        <v>1682.9628569176846</v>
      </c>
      <c r="F23" s="723">
        <v>12132.166024345523</v>
      </c>
      <c r="G23" s="626">
        <v>1059.0662853022038</v>
      </c>
      <c r="H23" s="1143">
        <v>5723.7379522009369</v>
      </c>
      <c r="I23" s="1144">
        <v>1254.5728944914358</v>
      </c>
      <c r="J23" s="723">
        <v>27255.389071173668</v>
      </c>
      <c r="K23" s="1145">
        <v>14276.599021203841</v>
      </c>
      <c r="L23" s="1146">
        <v>41531.988092377513</v>
      </c>
      <c r="M23" s="1147">
        <v>8283.7555795199969</v>
      </c>
      <c r="N23" s="1066"/>
      <c r="O23" s="314"/>
    </row>
    <row r="24" spans="1:15" s="321" customFormat="1" ht="15" customHeight="1">
      <c r="A24" s="747"/>
      <c r="B24" s="748" t="s">
        <v>238</v>
      </c>
      <c r="C24" s="1142">
        <v>136.80272008418029</v>
      </c>
      <c r="D24" s="645">
        <v>4630.361426748038</v>
      </c>
      <c r="E24" s="723">
        <v>2014.6235242127937</v>
      </c>
      <c r="F24" s="723">
        <v>11897.037488911043</v>
      </c>
      <c r="G24" s="626">
        <v>1160.0747486541443</v>
      </c>
      <c r="H24" s="1143">
        <v>5774.3295687969949</v>
      </c>
      <c r="I24" s="1144">
        <v>1249.8445850251187</v>
      </c>
      <c r="J24" s="723">
        <v>26863.024062432312</v>
      </c>
      <c r="K24" s="1145">
        <v>14846.494816834533</v>
      </c>
      <c r="L24" s="1146">
        <v>41709.518879266841</v>
      </c>
      <c r="M24" s="1147">
        <v>7311.1839031034806</v>
      </c>
      <c r="N24" s="1066"/>
      <c r="O24" s="314"/>
    </row>
    <row r="25" spans="1:15" s="321" customFormat="1" ht="21" customHeight="1">
      <c r="A25" s="747">
        <v>2025</v>
      </c>
      <c r="B25" s="748" t="s">
        <v>239</v>
      </c>
      <c r="C25" s="1142">
        <v>112.65437204347867</v>
      </c>
      <c r="D25" s="645">
        <v>5191.2290208330005</v>
      </c>
      <c r="E25" s="723">
        <v>2092.167428438559</v>
      </c>
      <c r="F25" s="723">
        <v>12209.403658198527</v>
      </c>
      <c r="G25" s="626">
        <v>1168.7777575600308</v>
      </c>
      <c r="H25" s="1143">
        <v>5789.4370053384337</v>
      </c>
      <c r="I25" s="1144">
        <v>1262.1581112206359</v>
      </c>
      <c r="J25" s="723">
        <v>27825.867353632671</v>
      </c>
      <c r="K25" s="1145">
        <v>14617.216609590561</v>
      </c>
      <c r="L25" s="1146">
        <v>42443.063963223241</v>
      </c>
      <c r="M25" s="1147">
        <v>9594.7637790396184</v>
      </c>
      <c r="N25" s="1066"/>
      <c r="O25" s="314"/>
    </row>
    <row r="26" spans="1:15" s="321" customFormat="1" ht="15" customHeight="1">
      <c r="A26" s="747"/>
      <c r="B26" s="748" t="s">
        <v>240</v>
      </c>
      <c r="C26" s="1142">
        <v>127.21298189242717</v>
      </c>
      <c r="D26" s="645">
        <v>4830.5878948819991</v>
      </c>
      <c r="E26" s="723">
        <v>2134.4590575742814</v>
      </c>
      <c r="F26" s="723">
        <v>12226.193005835752</v>
      </c>
      <c r="G26" s="626">
        <v>1010.7150584789999</v>
      </c>
      <c r="H26" s="1143">
        <v>6600.5946867416769</v>
      </c>
      <c r="I26" s="1144">
        <v>1286.2941977850521</v>
      </c>
      <c r="J26" s="723">
        <v>28216.08688319019</v>
      </c>
      <c r="K26" s="1145">
        <v>15336.864423943316</v>
      </c>
      <c r="L26" s="1146">
        <v>43552.951307133502</v>
      </c>
      <c r="M26" s="1147">
        <v>8792.8342930903691</v>
      </c>
      <c r="N26" s="1066"/>
      <c r="O26" s="314"/>
    </row>
    <row r="27" spans="1:15" s="321" customFormat="1" ht="15" customHeight="1">
      <c r="A27" s="747"/>
      <c r="B27" s="748" t="s">
        <v>237</v>
      </c>
      <c r="C27" s="1142">
        <v>220.8016936297899</v>
      </c>
      <c r="D27" s="645">
        <v>4303.3351148128859</v>
      </c>
      <c r="E27" s="723">
        <v>1890.0302047554383</v>
      </c>
      <c r="F27" s="723">
        <v>12070.874790278758</v>
      </c>
      <c r="G27" s="626">
        <v>1427.29604254797</v>
      </c>
      <c r="H27" s="1143">
        <v>7010.2290862109767</v>
      </c>
      <c r="I27" s="1144">
        <v>1178.6952588406634</v>
      </c>
      <c r="J27" s="723">
        <v>28101.242191076482</v>
      </c>
      <c r="K27" s="1145">
        <v>15959.487446916028</v>
      </c>
      <c r="L27" s="1146">
        <v>44060.749637992507</v>
      </c>
      <c r="M27" s="1147">
        <v>8453.385067510575</v>
      </c>
      <c r="N27" s="1066"/>
      <c r="O27" s="314"/>
    </row>
    <row r="28" spans="1:15" s="321" customFormat="1" ht="15" customHeight="1">
      <c r="A28" s="747"/>
      <c r="B28" s="748" t="s">
        <v>238</v>
      </c>
      <c r="C28" s="1142">
        <f t="shared" ref="C28:M28" si="1">C36</f>
        <v>174.48180280008069</v>
      </c>
      <c r="D28" s="645">
        <f t="shared" si="1"/>
        <v>4255.0871019940005</v>
      </c>
      <c r="E28" s="723">
        <f t="shared" si="1"/>
        <v>2625.5990142779924</v>
      </c>
      <c r="F28" s="723">
        <f t="shared" si="1"/>
        <v>12321.563574700062</v>
      </c>
      <c r="G28" s="626">
        <f t="shared" si="1"/>
        <v>1507.6448934812699</v>
      </c>
      <c r="H28" s="1143">
        <f t="shared" si="1"/>
        <v>7024.5219233836178</v>
      </c>
      <c r="I28" s="1144">
        <f t="shared" si="1"/>
        <v>1280.2813400050081</v>
      </c>
      <c r="J28" s="723">
        <f t="shared" si="1"/>
        <v>29189.169650642034</v>
      </c>
      <c r="K28" s="1145">
        <f t="shared" si="1"/>
        <v>15811.918264778942</v>
      </c>
      <c r="L28" s="1146">
        <f t="shared" si="1"/>
        <v>45001.087915420976</v>
      </c>
      <c r="M28" s="1147">
        <f t="shared" si="1"/>
        <v>8719.1459357337772</v>
      </c>
      <c r="N28" s="1066"/>
      <c r="O28" s="314"/>
    </row>
    <row r="29" spans="1:15" s="321" customFormat="1" ht="21" customHeight="1">
      <c r="A29" s="747">
        <v>2026</v>
      </c>
      <c r="B29" s="748" t="s">
        <v>239</v>
      </c>
      <c r="C29" s="1142">
        <f t="shared" ref="C29:M29" si="2">C39</f>
        <v>229.9947986622667</v>
      </c>
      <c r="D29" s="645">
        <f t="shared" si="2"/>
        <v>5220.2128229840864</v>
      </c>
      <c r="E29" s="723">
        <f t="shared" si="2"/>
        <v>2453.3552958339865</v>
      </c>
      <c r="F29" s="723">
        <f t="shared" si="2"/>
        <v>12432.730006494046</v>
      </c>
      <c r="G29" s="626">
        <f t="shared" si="2"/>
        <v>1667.9993236514301</v>
      </c>
      <c r="H29" s="1143">
        <f t="shared" si="2"/>
        <v>7108.8578399304879</v>
      </c>
      <c r="I29" s="1144">
        <f t="shared" si="2"/>
        <v>1388.8790506970279</v>
      </c>
      <c r="J29" s="723">
        <f t="shared" si="2"/>
        <v>30502.06913825333</v>
      </c>
      <c r="K29" s="1145">
        <f t="shared" si="2"/>
        <v>16335.199098380101</v>
      </c>
      <c r="L29" s="1146">
        <f t="shared" si="2"/>
        <v>46837.258236633432</v>
      </c>
      <c r="M29" s="1147">
        <f t="shared" si="2"/>
        <v>8923.5552430720836</v>
      </c>
      <c r="N29" s="1066"/>
      <c r="O29" s="314"/>
    </row>
    <row r="30" spans="1:15" s="321" customFormat="1" ht="15" customHeight="1">
      <c r="A30" s="906"/>
      <c r="B30" s="997" t="s">
        <v>240</v>
      </c>
      <c r="C30" s="1060">
        <f t="shared" ref="C30:M30" si="3">C42</f>
        <v>232.05649587926197</v>
      </c>
      <c r="D30" s="1002">
        <f t="shared" si="3"/>
        <v>4537.311037920219</v>
      </c>
      <c r="E30" s="1006">
        <f t="shared" si="3"/>
        <v>2551.5998790941562</v>
      </c>
      <c r="F30" s="1006">
        <f t="shared" si="3"/>
        <v>12665.094098940786</v>
      </c>
      <c r="G30" s="1027">
        <f t="shared" si="3"/>
        <v>1727.4057817336998</v>
      </c>
      <c r="H30" s="1061">
        <f t="shared" si="3"/>
        <v>7009.7806351618183</v>
      </c>
      <c r="I30" s="1062">
        <f t="shared" si="3"/>
        <v>1316.10688012226</v>
      </c>
      <c r="J30" s="1006">
        <f t="shared" si="3"/>
        <v>30039.374808852197</v>
      </c>
      <c r="K30" s="1063">
        <f t="shared" si="3"/>
        <v>16731.731056650558</v>
      </c>
      <c r="L30" s="1064">
        <f t="shared" si="3"/>
        <v>46771.105865502759</v>
      </c>
      <c r="M30" s="1065">
        <f t="shared" si="3"/>
        <v>9596.893498521822</v>
      </c>
      <c r="N30" s="1066"/>
      <c r="O30" s="314"/>
    </row>
    <row r="31" spans="1:15" s="306" customFormat="1" ht="21" customHeight="1">
      <c r="A31" s="405">
        <v>2025</v>
      </c>
      <c r="B31" s="406" t="s">
        <v>420</v>
      </c>
      <c r="C31" s="681">
        <v>184.00138336706829</v>
      </c>
      <c r="D31" s="801">
        <v>4805.9463011880198</v>
      </c>
      <c r="E31" s="684">
        <v>2073.8559988994671</v>
      </c>
      <c r="F31" s="684">
        <v>12170.574120990528</v>
      </c>
      <c r="G31" s="682">
        <v>1112.6346113239999</v>
      </c>
      <c r="H31" s="682">
        <v>6658.6727764465577</v>
      </c>
      <c r="I31" s="683">
        <v>1205.2857738176522</v>
      </c>
      <c r="J31" s="684">
        <v>28211.010966033293</v>
      </c>
      <c r="K31" s="684">
        <v>15588.617386193881</v>
      </c>
      <c r="L31" s="685">
        <v>43799.628352227177</v>
      </c>
      <c r="M31" s="1192">
        <v>8024.9120933151244</v>
      </c>
      <c r="N31" s="1206"/>
      <c r="O31" s="314"/>
    </row>
    <row r="32" spans="1:15" s="306" customFormat="1" ht="16.5" customHeight="1">
      <c r="A32" s="405"/>
      <c r="B32" s="406" t="s">
        <v>421</v>
      </c>
      <c r="C32" s="681">
        <v>172.37130876621356</v>
      </c>
      <c r="D32" s="801">
        <v>4436.520745932</v>
      </c>
      <c r="E32" s="684">
        <v>1867.2391458807715</v>
      </c>
      <c r="F32" s="684">
        <v>12102.288466598202</v>
      </c>
      <c r="G32" s="682">
        <v>1301.6709238819999</v>
      </c>
      <c r="H32" s="682">
        <v>6950.6064074922479</v>
      </c>
      <c r="I32" s="683">
        <v>1206.1747577996452</v>
      </c>
      <c r="J32" s="684">
        <v>28036.87175635108</v>
      </c>
      <c r="K32" s="684">
        <v>16210.065705840276</v>
      </c>
      <c r="L32" s="685">
        <v>44246.957462191356</v>
      </c>
      <c r="M32" s="1192">
        <v>8380.2199291224897</v>
      </c>
      <c r="N32" s="783"/>
      <c r="O32" s="314"/>
    </row>
    <row r="33" spans="1:15" s="306" customFormat="1" ht="16.5" customHeight="1">
      <c r="A33" s="405"/>
      <c r="B33" s="406" t="s">
        <v>422</v>
      </c>
      <c r="C33" s="681">
        <v>220.8016936297899</v>
      </c>
      <c r="D33" s="801">
        <v>4303.3351148128859</v>
      </c>
      <c r="E33" s="684">
        <v>1890.0302047554383</v>
      </c>
      <c r="F33" s="684">
        <v>12070.874790278758</v>
      </c>
      <c r="G33" s="682">
        <v>1427.29604254797</v>
      </c>
      <c r="H33" s="682">
        <v>7010.2290862109767</v>
      </c>
      <c r="I33" s="683">
        <v>1178.6952588406634</v>
      </c>
      <c r="J33" s="684">
        <v>28101.242191076482</v>
      </c>
      <c r="K33" s="684">
        <v>15959.487446916028</v>
      </c>
      <c r="L33" s="685">
        <v>44060.749637992507</v>
      </c>
      <c r="M33" s="1192">
        <v>8453.385067510575</v>
      </c>
      <c r="N33" s="783"/>
      <c r="O33" s="314"/>
    </row>
    <row r="34" spans="1:15" s="306" customFormat="1" ht="16.5" customHeight="1">
      <c r="A34" s="405"/>
      <c r="B34" s="406" t="s">
        <v>411</v>
      </c>
      <c r="C34" s="681">
        <v>176.86320916793096</v>
      </c>
      <c r="D34" s="801">
        <v>4202.0262099186048</v>
      </c>
      <c r="E34" s="684">
        <v>2411.5779054475406</v>
      </c>
      <c r="F34" s="684">
        <v>12185.737582546886</v>
      </c>
      <c r="G34" s="682">
        <v>1437.4596204567499</v>
      </c>
      <c r="H34" s="682">
        <v>6935.9245483255372</v>
      </c>
      <c r="I34" s="683">
        <v>1161.4778174809589</v>
      </c>
      <c r="J34" s="684">
        <v>28511.066893344214</v>
      </c>
      <c r="K34" s="684">
        <v>15677.273757909072</v>
      </c>
      <c r="L34" s="685">
        <v>44188.360651253279</v>
      </c>
      <c r="M34" s="1192">
        <v>8026.9380401363851</v>
      </c>
      <c r="N34" s="783"/>
      <c r="O34" s="314"/>
    </row>
    <row r="35" spans="1:15" s="306" customFormat="1" ht="16.5" customHeight="1">
      <c r="A35" s="405"/>
      <c r="B35" s="406" t="s">
        <v>412</v>
      </c>
      <c r="C35" s="681">
        <v>177.79739423573886</v>
      </c>
      <c r="D35" s="801">
        <v>4286.7070988077503</v>
      </c>
      <c r="E35" s="684">
        <v>2485.1001799367823</v>
      </c>
      <c r="F35" s="684">
        <v>12174.902209119286</v>
      </c>
      <c r="G35" s="682">
        <v>1483.3194864985901</v>
      </c>
      <c r="H35" s="682">
        <v>6987.6586189942382</v>
      </c>
      <c r="I35" s="683">
        <v>1216.0668386738919</v>
      </c>
      <c r="J35" s="684">
        <v>28811.561826266276</v>
      </c>
      <c r="K35" s="684">
        <v>15716.22946449363</v>
      </c>
      <c r="L35" s="685">
        <v>44527.761290759903</v>
      </c>
      <c r="M35" s="1192">
        <v>8505.6351144400141</v>
      </c>
      <c r="N35" s="783"/>
      <c r="O35" s="314"/>
    </row>
    <row r="36" spans="1:15" s="306" customFormat="1" ht="16.5" customHeight="1">
      <c r="A36" s="405"/>
      <c r="B36" s="406" t="s">
        <v>413</v>
      </c>
      <c r="C36" s="681">
        <v>174.48180280008069</v>
      </c>
      <c r="D36" s="801">
        <v>4255.0871019940005</v>
      </c>
      <c r="E36" s="684">
        <v>2625.5990142779924</v>
      </c>
      <c r="F36" s="684">
        <v>12321.563574700062</v>
      </c>
      <c r="G36" s="682">
        <v>1507.6448934812699</v>
      </c>
      <c r="H36" s="682">
        <v>7024.5219233836178</v>
      </c>
      <c r="I36" s="683">
        <v>1280.2813400050081</v>
      </c>
      <c r="J36" s="684">
        <v>29189.169650642034</v>
      </c>
      <c r="K36" s="684">
        <v>15811.918264778942</v>
      </c>
      <c r="L36" s="685">
        <v>45001.087915420976</v>
      </c>
      <c r="M36" s="1192">
        <v>8719.1459357337772</v>
      </c>
      <c r="N36" s="783"/>
      <c r="O36" s="314"/>
    </row>
    <row r="37" spans="1:15" s="306" customFormat="1" ht="21" customHeight="1">
      <c r="A37" s="405">
        <v>2026</v>
      </c>
      <c r="B37" s="406" t="s">
        <v>414</v>
      </c>
      <c r="C37" s="681">
        <v>148.71714707124693</v>
      </c>
      <c r="D37" s="801">
        <v>4488.7914130384543</v>
      </c>
      <c r="E37" s="684">
        <v>2514.8071468301623</v>
      </c>
      <c r="F37" s="684">
        <v>12200.143844624019</v>
      </c>
      <c r="G37" s="682">
        <v>1527.1656801772197</v>
      </c>
      <c r="H37" s="682">
        <v>7087.0924040029058</v>
      </c>
      <c r="I37" s="683">
        <v>1279.734850763256</v>
      </c>
      <c r="J37" s="684">
        <v>29246.442486507265</v>
      </c>
      <c r="K37" s="684">
        <v>16024.903032997125</v>
      </c>
      <c r="L37" s="685">
        <v>45271.335519504384</v>
      </c>
      <c r="M37" s="1192">
        <v>8050.1331276001674</v>
      </c>
      <c r="N37" s="783"/>
      <c r="O37" s="314"/>
    </row>
    <row r="38" spans="1:15" s="306" customFormat="1" ht="16.5" customHeight="1">
      <c r="A38" s="405"/>
      <c r="B38" s="406" t="s">
        <v>415</v>
      </c>
      <c r="C38" s="681">
        <v>152.51064858497352</v>
      </c>
      <c r="D38" s="801">
        <v>4487.6273648004199</v>
      </c>
      <c r="E38" s="684">
        <v>2204.7856375128422</v>
      </c>
      <c r="F38" s="684">
        <v>12209.39527980212</v>
      </c>
      <c r="G38" s="682">
        <v>1597.5668491311299</v>
      </c>
      <c r="H38" s="682">
        <v>7384.6881523129177</v>
      </c>
      <c r="I38" s="683">
        <v>1291.7707907782528</v>
      </c>
      <c r="J38" s="684">
        <v>29328.364722922655</v>
      </c>
      <c r="K38" s="684">
        <v>16682.057821675338</v>
      </c>
      <c r="L38" s="685">
        <v>46010.452544597996</v>
      </c>
      <c r="M38" s="1192">
        <v>11602.198629027729</v>
      </c>
      <c r="N38" s="783"/>
      <c r="O38" s="314"/>
    </row>
    <row r="39" spans="1:15" s="306" customFormat="1" ht="16.5" customHeight="1">
      <c r="A39" s="405"/>
      <c r="B39" s="406" t="s">
        <v>416</v>
      </c>
      <c r="C39" s="681">
        <v>229.9947986622667</v>
      </c>
      <c r="D39" s="801">
        <v>5220.2128229840864</v>
      </c>
      <c r="E39" s="684">
        <v>2453.3552958339865</v>
      </c>
      <c r="F39" s="684">
        <v>12432.730006494046</v>
      </c>
      <c r="G39" s="682">
        <v>1667.9993236514301</v>
      </c>
      <c r="H39" s="682">
        <v>7108.8578399304879</v>
      </c>
      <c r="I39" s="683">
        <v>1388.8790506970279</v>
      </c>
      <c r="J39" s="684">
        <v>30502.06913825333</v>
      </c>
      <c r="K39" s="684">
        <v>16335.199098380101</v>
      </c>
      <c r="L39" s="685">
        <v>46837.258236633432</v>
      </c>
      <c r="M39" s="1192">
        <v>8923.5552430720836</v>
      </c>
      <c r="N39" s="783"/>
      <c r="O39" s="314"/>
    </row>
    <row r="40" spans="1:15" s="306" customFormat="1" ht="16.5" customHeight="1">
      <c r="A40" s="405"/>
      <c r="B40" s="406" t="s">
        <v>417</v>
      </c>
      <c r="C40" s="681">
        <v>235.77267743399887</v>
      </c>
      <c r="D40" s="801">
        <v>4710.6683815523156</v>
      </c>
      <c r="E40" s="684">
        <v>2739.4076246582326</v>
      </c>
      <c r="F40" s="684">
        <v>12641.54818946557</v>
      </c>
      <c r="G40" s="682">
        <v>1681.7380439632202</v>
      </c>
      <c r="H40" s="682">
        <v>6994.7137478115219</v>
      </c>
      <c r="I40" s="683">
        <v>1215.6715786780546</v>
      </c>
      <c r="J40" s="684">
        <v>30219.540243562915</v>
      </c>
      <c r="K40" s="684">
        <v>16917.431469528528</v>
      </c>
      <c r="L40" s="685">
        <v>47136.941713091444</v>
      </c>
      <c r="M40" s="1192">
        <v>9045.3700204372126</v>
      </c>
      <c r="N40" s="783"/>
      <c r="O40" s="314"/>
    </row>
    <row r="41" spans="1:15" s="306" customFormat="1" ht="16.5" customHeight="1">
      <c r="A41" s="405"/>
      <c r="B41" s="406" t="s">
        <v>418</v>
      </c>
      <c r="C41" s="681">
        <v>346.25538439750238</v>
      </c>
      <c r="D41" s="801">
        <v>4539.5238678263795</v>
      </c>
      <c r="E41" s="684">
        <v>2617.01422431427</v>
      </c>
      <c r="F41" s="684">
        <v>12623.932835515896</v>
      </c>
      <c r="G41" s="682">
        <v>1691.4047424438299</v>
      </c>
      <c r="H41" s="682">
        <v>6951.9142896201238</v>
      </c>
      <c r="I41" s="683">
        <v>1368.8586436421508</v>
      </c>
      <c r="J41" s="684">
        <v>30138.903987760154</v>
      </c>
      <c r="K41" s="684">
        <v>16907.956996278888</v>
      </c>
      <c r="L41" s="685">
        <v>47046.860984039027</v>
      </c>
      <c r="M41" s="1192">
        <v>9516.9520362060248</v>
      </c>
      <c r="N41" s="783"/>
      <c r="O41" s="314"/>
    </row>
    <row r="42" spans="1:15" s="306" customFormat="1" ht="16.5" customHeight="1">
      <c r="A42" s="405"/>
      <c r="B42" s="406" t="s">
        <v>419</v>
      </c>
      <c r="C42" s="681">
        <v>232.05649587926197</v>
      </c>
      <c r="D42" s="801">
        <v>4537.311037920219</v>
      </c>
      <c r="E42" s="684">
        <v>2551.5998790941562</v>
      </c>
      <c r="F42" s="684">
        <v>12665.094098940786</v>
      </c>
      <c r="G42" s="682">
        <v>1727.4057817336998</v>
      </c>
      <c r="H42" s="682">
        <v>7009.7806351618183</v>
      </c>
      <c r="I42" s="683">
        <v>1316.10688012226</v>
      </c>
      <c r="J42" s="684">
        <v>30039.374808852197</v>
      </c>
      <c r="K42" s="684">
        <v>16731.731056650558</v>
      </c>
      <c r="L42" s="685">
        <v>46771.105865502759</v>
      </c>
      <c r="M42" s="1192">
        <v>9596.893498521822</v>
      </c>
      <c r="N42" s="783"/>
      <c r="O42" s="314"/>
    </row>
    <row r="43" spans="1:15" s="306" customFormat="1" ht="16.5" customHeight="1">
      <c r="A43" s="405"/>
      <c r="B43" s="406" t="s">
        <v>420</v>
      </c>
      <c r="C43" s="681">
        <v>192.77631963968315</v>
      </c>
      <c r="D43" s="801">
        <v>4381.679605315936</v>
      </c>
      <c r="E43" s="684">
        <v>2639.1236948785377</v>
      </c>
      <c r="F43" s="684">
        <v>12770.015288410359</v>
      </c>
      <c r="G43" s="682">
        <v>1729.9348197865299</v>
      </c>
      <c r="H43" s="682">
        <v>7086.9798542579656</v>
      </c>
      <c r="I43" s="683">
        <v>1291.2841456044655</v>
      </c>
      <c r="J43" s="684">
        <v>30091.813727893481</v>
      </c>
      <c r="K43" s="684">
        <v>17027.059923571134</v>
      </c>
      <c r="L43" s="685">
        <v>47118.873651464623</v>
      </c>
      <c r="M43" s="1192">
        <v>9169.5316893045583</v>
      </c>
      <c r="N43" s="783"/>
      <c r="O43" s="314"/>
    </row>
    <row r="44" spans="1:15" ht="20.25" customHeight="1">
      <c r="A44" s="215" t="s">
        <v>786</v>
      </c>
      <c r="B44" s="216"/>
      <c r="C44" s="583"/>
      <c r="D44" s="216"/>
      <c r="E44" s="216"/>
      <c r="F44" s="216"/>
      <c r="G44" s="216"/>
      <c r="H44" s="216"/>
      <c r="I44" s="216"/>
      <c r="J44" s="216"/>
      <c r="K44" s="216"/>
      <c r="L44" s="216"/>
      <c r="M44" s="236" t="s">
        <v>787</v>
      </c>
    </row>
    <row r="45" spans="1:15" ht="12.75" customHeight="1">
      <c r="A45" s="5" t="s">
        <v>788</v>
      </c>
      <c r="B45" s="15"/>
      <c r="C45" s="15"/>
      <c r="D45" s="15"/>
      <c r="E45" s="15"/>
      <c r="F45" s="15"/>
      <c r="G45" s="147"/>
      <c r="I45" s="1413"/>
      <c r="K45" s="15"/>
      <c r="L45" s="15"/>
      <c r="M45" s="237" t="s">
        <v>789</v>
      </c>
    </row>
    <row r="46" spans="1:15" ht="15.6">
      <c r="B46" s="250"/>
      <c r="C46" s="576"/>
      <c r="D46" s="577"/>
      <c r="E46" s="577"/>
      <c r="F46" s="577"/>
      <c r="G46" s="577"/>
      <c r="H46" s="577"/>
      <c r="I46" s="577"/>
      <c r="J46" s="578"/>
      <c r="K46" s="579"/>
      <c r="L46" s="577"/>
      <c r="M46" s="577"/>
    </row>
    <row r="47" spans="1:15">
      <c r="A47" s="318" t="s">
        <v>790</v>
      </c>
      <c r="B47" s="10"/>
      <c r="C47" s="11"/>
      <c r="D47" s="11"/>
      <c r="E47" s="11"/>
      <c r="F47" s="11"/>
      <c r="G47" s="11"/>
      <c r="H47" s="11"/>
      <c r="I47" s="11"/>
      <c r="J47" s="11"/>
      <c r="K47" s="11"/>
      <c r="L47" s="1414"/>
      <c r="M47" s="1414"/>
    </row>
    <row r="48" spans="1:15">
      <c r="A48" s="13"/>
      <c r="B48" s="19"/>
      <c r="L48" s="1735"/>
      <c r="M48" s="1413"/>
    </row>
    <row r="49" spans="1:13">
      <c r="A49" s="249"/>
    </row>
    <row r="50" spans="1:13">
      <c r="A50" s="146"/>
      <c r="C50" s="577"/>
      <c r="D50" s="577"/>
      <c r="E50" s="577"/>
      <c r="F50" s="577"/>
      <c r="G50" s="577"/>
      <c r="H50" s="577"/>
      <c r="I50" s="577"/>
      <c r="J50" s="577"/>
      <c r="K50" s="577"/>
      <c r="L50" s="577"/>
      <c r="M50" s="577"/>
    </row>
    <row r="51" spans="1:13">
      <c r="C51" s="577"/>
      <c r="D51" s="577"/>
      <c r="E51" s="577"/>
      <c r="F51" s="577"/>
      <c r="G51" s="577"/>
      <c r="H51" s="577"/>
      <c r="I51" s="577"/>
      <c r="J51" s="577"/>
      <c r="K51" s="577"/>
      <c r="L51" s="577"/>
      <c r="M51" s="577"/>
    </row>
  </sheetData>
  <mergeCells count="1">
    <mergeCell ref="D11:D12"/>
  </mergeCells>
  <phoneticPr fontId="0" type="noConversion"/>
  <printOptions horizontalCentered="1" verticalCentered="1"/>
  <pageMargins left="0" right="0" top="0" bottom="0" header="0.511811023622047" footer="0.511811023622047"/>
  <pageSetup paperSize="9" scale="7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A1:N53"/>
  <sheetViews>
    <sheetView zoomScale="80" zoomScaleNormal="80" workbookViewId="0">
      <pane ySplit="12" topLeftCell="A39" activePane="bottomLeft" state="frozen"/>
      <selection activeCell="B2" sqref="B2"/>
      <selection pane="bottomLeft" activeCell="H44" sqref="H44"/>
    </sheetView>
  </sheetViews>
  <sheetFormatPr defaultColWidth="8.77734375" defaultRowHeight="13.2"/>
  <cols>
    <col min="1" max="2" width="9.21875" style="1413" customWidth="1"/>
    <col min="3" max="3" width="16.77734375" style="1413" customWidth="1"/>
    <col min="4" max="4" width="14.77734375" style="1413" customWidth="1"/>
    <col min="5" max="5" width="15.77734375" style="1413" customWidth="1"/>
    <col min="6" max="6" width="17.77734375" style="1413" customWidth="1"/>
    <col min="7" max="8" width="15.21875" style="1413" customWidth="1"/>
    <col min="9" max="11" width="15.77734375" style="1413" customWidth="1"/>
    <col min="12" max="12" width="17.77734375" style="1413" customWidth="1"/>
    <col min="13" max="13" width="9.77734375" style="1735" customWidth="1"/>
    <col min="14" max="14" width="9.77734375" style="1413" customWidth="1"/>
    <col min="15" max="16384" width="8.77734375" style="1413"/>
  </cols>
  <sheetData>
    <row r="1" spans="1:14" s="25" customFormat="1" ht="18" customHeight="1">
      <c r="A1" s="16" t="s">
        <v>1770</v>
      </c>
      <c r="B1" s="1"/>
      <c r="C1" s="1"/>
      <c r="D1" s="1"/>
      <c r="E1" s="1"/>
      <c r="F1" s="1"/>
      <c r="G1" s="1"/>
      <c r="H1" s="1"/>
      <c r="I1" s="1"/>
      <c r="J1" s="1"/>
      <c r="K1" s="1"/>
      <c r="L1" s="1"/>
      <c r="M1" s="582"/>
    </row>
    <row r="2" spans="1:14" s="25" customFormat="1" ht="18" customHeight="1">
      <c r="A2" s="874" t="s">
        <v>766</v>
      </c>
      <c r="B2" s="1"/>
      <c r="C2" s="1"/>
      <c r="D2" s="1"/>
      <c r="E2" s="1"/>
      <c r="F2" s="1"/>
      <c r="G2" s="1"/>
      <c r="H2" s="1"/>
      <c r="I2" s="1"/>
      <c r="J2" s="1"/>
      <c r="K2" s="1"/>
      <c r="L2" s="1"/>
      <c r="M2" s="582"/>
    </row>
    <row r="3" spans="1:14" s="25" customFormat="1" ht="18" customHeight="1">
      <c r="A3" s="16" t="s">
        <v>767</v>
      </c>
      <c r="B3" s="1"/>
      <c r="C3" s="1"/>
      <c r="D3" s="1"/>
      <c r="E3" s="1"/>
      <c r="F3" s="1"/>
      <c r="G3" s="1"/>
      <c r="H3" s="1"/>
      <c r="I3" s="1"/>
      <c r="J3" s="1"/>
      <c r="K3" s="1"/>
      <c r="L3" s="1"/>
      <c r="M3" s="582"/>
    </row>
    <row r="4" spans="1:14" s="25" customFormat="1" ht="18.600000000000001" customHeight="1">
      <c r="A4" s="874" t="s">
        <v>374</v>
      </c>
      <c r="B4" s="7"/>
      <c r="C4" s="7"/>
      <c r="D4" s="7"/>
      <c r="E4" s="7"/>
      <c r="F4" s="7"/>
      <c r="G4" s="7"/>
      <c r="H4" s="7"/>
      <c r="I4" s="7"/>
      <c r="J4" s="7"/>
      <c r="K4" s="7"/>
      <c r="L4" s="7"/>
      <c r="M4" s="582"/>
    </row>
    <row r="5" spans="1:14" s="25" customFormat="1" ht="18.600000000000001" customHeight="1">
      <c r="A5" s="16" t="s">
        <v>373</v>
      </c>
      <c r="B5" s="1"/>
      <c r="C5" s="1"/>
      <c r="D5" s="1"/>
      <c r="E5" s="1"/>
      <c r="F5" s="1"/>
      <c r="G5" s="1"/>
      <c r="H5" s="1"/>
      <c r="I5" s="1"/>
      <c r="J5" s="1"/>
      <c r="K5" s="1"/>
      <c r="L5" s="1"/>
      <c r="M5" s="582"/>
    </row>
    <row r="6" spans="1:14" ht="0.6" customHeight="1">
      <c r="A6" s="16"/>
      <c r="B6" s="1"/>
      <c r="C6" s="1"/>
      <c r="D6" s="1" t="s">
        <v>768</v>
      </c>
      <c r="E6" s="1"/>
      <c r="F6" s="1"/>
      <c r="G6" s="1"/>
      <c r="H6" s="1"/>
      <c r="I6" s="1"/>
      <c r="J6" s="1"/>
      <c r="K6" s="1"/>
      <c r="L6" s="1" t="s">
        <v>768</v>
      </c>
    </row>
    <row r="7" spans="1:14" ht="12.75" customHeight="1">
      <c r="A7" s="8" t="s">
        <v>369</v>
      </c>
      <c r="B7" s="1"/>
      <c r="C7" s="2"/>
      <c r="D7" s="2"/>
      <c r="E7" s="2"/>
      <c r="F7" s="2"/>
      <c r="G7" s="2"/>
      <c r="H7" s="2"/>
      <c r="I7" s="2"/>
      <c r="J7" s="232"/>
      <c r="K7" s="20"/>
      <c r="L7" s="36" t="s">
        <v>370</v>
      </c>
    </row>
    <row r="8" spans="1:14" s="41" customFormat="1" ht="18.600000000000001" customHeight="1">
      <c r="A8" s="44"/>
      <c r="B8" s="45"/>
      <c r="C8" s="302" t="s">
        <v>791</v>
      </c>
      <c r="D8" s="40"/>
      <c r="E8" s="123"/>
      <c r="F8" s="123"/>
      <c r="G8" s="122"/>
      <c r="H8" s="123"/>
      <c r="I8" s="301" t="s">
        <v>792</v>
      </c>
      <c r="J8" s="1413"/>
      <c r="K8" s="1899"/>
      <c r="L8" s="73" t="s">
        <v>793</v>
      </c>
      <c r="M8" s="143"/>
    </row>
    <row r="9" spans="1:14" s="41" customFormat="1" ht="1.5" customHeight="1">
      <c r="A9" s="42"/>
      <c r="C9" s="184"/>
      <c r="D9" s="100"/>
      <c r="E9" s="184"/>
      <c r="G9" s="101"/>
      <c r="H9" s="185"/>
      <c r="I9" s="101"/>
      <c r="J9" s="1900"/>
      <c r="K9" s="1901"/>
      <c r="L9" s="1902"/>
      <c r="M9" s="143"/>
    </row>
    <row r="10" spans="1:14" s="39" customFormat="1" ht="17.55" customHeight="1">
      <c r="A10" s="24" t="s">
        <v>379</v>
      </c>
      <c r="B10" s="74"/>
      <c r="C10" s="95" t="s">
        <v>493</v>
      </c>
      <c r="D10" s="79"/>
      <c r="E10" s="79" t="s">
        <v>499</v>
      </c>
      <c r="F10" s="1413"/>
      <c r="G10" s="76"/>
      <c r="H10" s="78" t="s">
        <v>386</v>
      </c>
      <c r="I10" s="186"/>
      <c r="J10" s="105" t="s">
        <v>374</v>
      </c>
      <c r="K10" s="183" t="s">
        <v>794</v>
      </c>
      <c r="L10" s="73" t="s">
        <v>770</v>
      </c>
      <c r="M10" s="144"/>
    </row>
    <row r="11" spans="1:14" s="39" customFormat="1" ht="18" customHeight="1">
      <c r="A11" s="118" t="s">
        <v>387</v>
      </c>
      <c r="B11" s="60"/>
      <c r="C11" s="95" t="s">
        <v>497</v>
      </c>
      <c r="D11" s="79" t="s">
        <v>431</v>
      </c>
      <c r="E11" s="271" t="s">
        <v>795</v>
      </c>
      <c r="F11" s="78" t="s">
        <v>390</v>
      </c>
      <c r="G11" s="95" t="s">
        <v>756</v>
      </c>
      <c r="H11" s="95" t="s">
        <v>796</v>
      </c>
      <c r="I11" s="188" t="s">
        <v>382</v>
      </c>
      <c r="J11" s="187" t="s">
        <v>375</v>
      </c>
      <c r="K11" s="183" t="s">
        <v>374</v>
      </c>
      <c r="L11" s="51" t="s">
        <v>773</v>
      </c>
      <c r="M11" s="144"/>
    </row>
    <row r="12" spans="1:14" s="39" customFormat="1" ht="31.8" customHeight="1">
      <c r="A12" s="32"/>
      <c r="B12" s="66"/>
      <c r="C12" s="68" t="s">
        <v>366</v>
      </c>
      <c r="D12" s="209" t="s">
        <v>405</v>
      </c>
      <c r="E12" s="295" t="s">
        <v>797</v>
      </c>
      <c r="F12" s="229" t="s">
        <v>798</v>
      </c>
      <c r="G12" s="230" t="s">
        <v>399</v>
      </c>
      <c r="H12" s="231" t="s">
        <v>799</v>
      </c>
      <c r="I12" s="120" t="s">
        <v>392</v>
      </c>
      <c r="J12" s="68" t="s">
        <v>800</v>
      </c>
      <c r="K12" s="189" t="s">
        <v>801</v>
      </c>
      <c r="L12" s="190" t="s">
        <v>802</v>
      </c>
      <c r="M12" s="144"/>
    </row>
    <row r="13" spans="1:14" s="306" customFormat="1" ht="20.25" customHeight="1">
      <c r="A13" s="405">
        <v>2016</v>
      </c>
      <c r="B13" s="497"/>
      <c r="C13" s="1903">
        <v>244.19141922499998</v>
      </c>
      <c r="D13" s="784">
        <v>1379.965264227757</v>
      </c>
      <c r="E13" s="682">
        <v>9684.1768024505582</v>
      </c>
      <c r="F13" s="785">
        <v>2122.3400329330002</v>
      </c>
      <c r="G13" s="1904">
        <v>508.03213834688023</v>
      </c>
      <c r="H13" s="1905">
        <v>2821.9793468185771</v>
      </c>
      <c r="I13" s="788">
        <v>16760.705004001771</v>
      </c>
      <c r="J13" s="682">
        <v>14452.803721047296</v>
      </c>
      <c r="K13" s="789">
        <v>31213.508725049072</v>
      </c>
      <c r="L13" s="790">
        <v>4032.8557085119255</v>
      </c>
      <c r="M13" s="315"/>
      <c r="N13" s="965"/>
    </row>
    <row r="14" spans="1:14" s="408" customFormat="1" ht="14.85" customHeight="1">
      <c r="A14" s="356">
        <v>2017</v>
      </c>
      <c r="B14" s="551"/>
      <c r="C14" s="1906">
        <v>149.29214221300001</v>
      </c>
      <c r="D14" s="1907">
        <v>1109.7975951103731</v>
      </c>
      <c r="E14" s="1908">
        <v>10118.4618776599</v>
      </c>
      <c r="F14" s="1909">
        <v>2220.4920646659998</v>
      </c>
      <c r="G14" s="1910">
        <v>565.70256908627994</v>
      </c>
      <c r="H14" s="1911">
        <v>2939.7397306716152</v>
      </c>
      <c r="I14" s="1912">
        <v>17103.486713407165</v>
      </c>
      <c r="J14" s="1908">
        <v>14285.454760065642</v>
      </c>
      <c r="K14" s="1913">
        <v>31388.961473472802</v>
      </c>
      <c r="L14" s="1914">
        <v>5369.0489066365972</v>
      </c>
      <c r="M14" s="315"/>
      <c r="N14" s="965"/>
    </row>
    <row r="15" spans="1:14" s="321" customFormat="1" ht="14.25" customHeight="1">
      <c r="A15" s="747">
        <v>2018</v>
      </c>
      <c r="B15" s="748"/>
      <c r="C15" s="1135">
        <v>51.853601465000096</v>
      </c>
      <c r="D15" s="836">
        <v>1462.1701916448399</v>
      </c>
      <c r="E15" s="626">
        <v>10346.975676318638</v>
      </c>
      <c r="F15" s="1136">
        <v>2204.7496815409345</v>
      </c>
      <c r="G15" s="1137">
        <v>707.40440267365625</v>
      </c>
      <c r="H15" s="1138">
        <v>3059.1801379685185</v>
      </c>
      <c r="I15" s="1139">
        <v>17832.364570611586</v>
      </c>
      <c r="J15" s="626">
        <v>14736.649777062137</v>
      </c>
      <c r="K15" s="1140">
        <v>32568.984347673726</v>
      </c>
      <c r="L15" s="1141">
        <v>6022.3416935919404</v>
      </c>
      <c r="M15" s="315"/>
      <c r="N15" s="965"/>
    </row>
    <row r="16" spans="1:14" s="321" customFormat="1" ht="14.25" customHeight="1">
      <c r="A16" s="747">
        <v>2019</v>
      </c>
      <c r="B16" s="748"/>
      <c r="C16" s="1135">
        <v>182.071201108</v>
      </c>
      <c r="D16" s="836">
        <v>1197.8814652559513</v>
      </c>
      <c r="E16" s="626">
        <v>11551.438842662628</v>
      </c>
      <c r="F16" s="1136">
        <v>2126.8431378315859</v>
      </c>
      <c r="G16" s="1137">
        <v>692.59966619936165</v>
      </c>
      <c r="H16" s="1138">
        <v>3216.7822479616516</v>
      </c>
      <c r="I16" s="1139">
        <v>18967.637575019176</v>
      </c>
      <c r="J16" s="626">
        <v>16402.184863421702</v>
      </c>
      <c r="K16" s="1140">
        <v>35369.842438440879</v>
      </c>
      <c r="L16" s="1141">
        <v>6812.3444822128668</v>
      </c>
      <c r="M16" s="315"/>
      <c r="N16" s="965"/>
    </row>
    <row r="17" spans="1:14" s="321" customFormat="1" ht="14.25" customHeight="1">
      <c r="A17" s="747">
        <v>2020</v>
      </c>
      <c r="B17" s="748"/>
      <c r="C17" s="1135">
        <v>134.175574187</v>
      </c>
      <c r="D17" s="836">
        <v>1135.211416258172</v>
      </c>
      <c r="E17" s="626">
        <v>12275.333957990801</v>
      </c>
      <c r="F17" s="1136">
        <v>1829.3342207516425</v>
      </c>
      <c r="G17" s="1137">
        <v>1021.5094401898797</v>
      </c>
      <c r="H17" s="1138">
        <v>3215.0755486111993</v>
      </c>
      <c r="I17" s="1139">
        <v>19610.638157988695</v>
      </c>
      <c r="J17" s="626">
        <v>15836.696357492354</v>
      </c>
      <c r="K17" s="1140">
        <v>35447.334515481045</v>
      </c>
      <c r="L17" s="1141">
        <v>7090.0697655426193</v>
      </c>
      <c r="M17" s="315"/>
      <c r="N17" s="965"/>
    </row>
    <row r="18" spans="1:14" s="321" customFormat="1" ht="14.25" customHeight="1">
      <c r="A18" s="747">
        <v>2021</v>
      </c>
      <c r="B18" s="748"/>
      <c r="C18" s="1135">
        <v>129.40531700859</v>
      </c>
      <c r="D18" s="836">
        <v>1542.6027911171959</v>
      </c>
      <c r="E18" s="626">
        <v>12938.064113027462</v>
      </c>
      <c r="F18" s="1136">
        <v>1704.4448306054587</v>
      </c>
      <c r="G18" s="1137">
        <v>738.12659085207338</v>
      </c>
      <c r="H18" s="1138">
        <v>3579.6198281146708</v>
      </c>
      <c r="I18" s="1139">
        <v>20632.222205315451</v>
      </c>
      <c r="J18" s="626">
        <v>16741.780054273448</v>
      </c>
      <c r="K18" s="1140">
        <v>37374.002259588902</v>
      </c>
      <c r="L18" s="1141">
        <v>7487.6836866876311</v>
      </c>
      <c r="M18" s="315"/>
      <c r="N18" s="965"/>
    </row>
    <row r="19" spans="1:14" s="321" customFormat="1" ht="14.25" customHeight="1">
      <c r="A19" s="747">
        <v>2022</v>
      </c>
      <c r="B19" s="748"/>
      <c r="C19" s="1135">
        <v>89.310544895000007</v>
      </c>
      <c r="D19" s="836">
        <v>1758.4412589326703</v>
      </c>
      <c r="E19" s="626">
        <v>13512.008702625642</v>
      </c>
      <c r="F19" s="1136">
        <v>1652.706004200224</v>
      </c>
      <c r="G19" s="1137">
        <v>835.72642044588952</v>
      </c>
      <c r="H19" s="1138">
        <v>3434.7555623694452</v>
      </c>
      <c r="I19" s="1139">
        <v>21282.948493468873</v>
      </c>
      <c r="J19" s="626">
        <v>16964.477748442736</v>
      </c>
      <c r="K19" s="1140">
        <v>38247.426241911613</v>
      </c>
      <c r="L19" s="1141">
        <v>9235.3750090615467</v>
      </c>
      <c r="M19" s="315"/>
      <c r="N19" s="965"/>
    </row>
    <row r="20" spans="1:14" s="321" customFormat="1" ht="14.25" customHeight="1">
      <c r="A20" s="747">
        <v>2023</v>
      </c>
      <c r="B20" s="748"/>
      <c r="C20" s="1135">
        <v>138.14404708399999</v>
      </c>
      <c r="D20" s="836">
        <v>1903.4678650070223</v>
      </c>
      <c r="E20" s="626">
        <v>14192.476435533848</v>
      </c>
      <c r="F20" s="1136">
        <v>1752.2838369488788</v>
      </c>
      <c r="G20" s="1137">
        <v>1071.9268797930233</v>
      </c>
      <c r="H20" s="1138">
        <v>3492.5553861172175</v>
      </c>
      <c r="I20" s="1139">
        <v>22550.854450483985</v>
      </c>
      <c r="J20" s="626">
        <v>17709.761864411757</v>
      </c>
      <c r="K20" s="1140">
        <v>40260.67631489574</v>
      </c>
      <c r="L20" s="1141">
        <v>8098.2481488338981</v>
      </c>
      <c r="M20" s="315"/>
      <c r="N20" s="965"/>
    </row>
    <row r="21" spans="1:14" s="321" customFormat="1" ht="14.25" customHeight="1">
      <c r="A21" s="747">
        <v>2024</v>
      </c>
      <c r="B21" s="748"/>
      <c r="C21" s="1135">
        <v>98.888157705999987</v>
      </c>
      <c r="D21" s="836">
        <v>1702.5926545585321</v>
      </c>
      <c r="E21" s="626">
        <v>14249.887719419561</v>
      </c>
      <c r="F21" s="1136">
        <v>1913.6801198752273</v>
      </c>
      <c r="G21" s="1137">
        <v>869.67753145086726</v>
      </c>
      <c r="H21" s="1138">
        <v>3804.5401068321003</v>
      </c>
      <c r="I21" s="1139">
        <v>22639.286289842286</v>
      </c>
      <c r="J21" s="626">
        <v>19070.236476899641</v>
      </c>
      <c r="K21" s="1140">
        <v>41709.512766741929</v>
      </c>
      <c r="L21" s="1141">
        <v>7334.6113541364784</v>
      </c>
      <c r="M21" s="315"/>
      <c r="N21" s="965"/>
    </row>
    <row r="22" spans="1:14" s="321" customFormat="1" ht="14.25" customHeight="1">
      <c r="A22" s="906">
        <v>2025</v>
      </c>
      <c r="B22" s="997"/>
      <c r="C22" s="1053">
        <f t="shared" ref="C22:L22" si="0">C28</f>
        <v>31.497141595000002</v>
      </c>
      <c r="D22" s="970">
        <f t="shared" si="0"/>
        <v>1840.12674957935</v>
      </c>
      <c r="E22" s="1027">
        <f t="shared" si="0"/>
        <v>14687.115407804087</v>
      </c>
      <c r="F22" s="1054">
        <f t="shared" si="0"/>
        <v>1753.39589493774</v>
      </c>
      <c r="G22" s="1055">
        <f t="shared" si="0"/>
        <v>872.39925045061511</v>
      </c>
      <c r="H22" s="1056">
        <f t="shared" si="0"/>
        <v>4133.1520550966634</v>
      </c>
      <c r="I22" s="1057">
        <f t="shared" si="0"/>
        <v>23317.68649946346</v>
      </c>
      <c r="J22" s="1027">
        <f t="shared" si="0"/>
        <v>21683.439706634254</v>
      </c>
      <c r="K22" s="1058">
        <f t="shared" si="0"/>
        <v>45001.146206097721</v>
      </c>
      <c r="L22" s="1059">
        <f t="shared" si="0"/>
        <v>8732.688622378837</v>
      </c>
      <c r="M22" s="315"/>
      <c r="N22" s="965"/>
    </row>
    <row r="23" spans="1:14" s="321" customFormat="1" ht="21" customHeight="1">
      <c r="A23" s="747">
        <v>2024</v>
      </c>
      <c r="B23" s="748" t="s">
        <v>237</v>
      </c>
      <c r="C23" s="1135">
        <v>72.141514293</v>
      </c>
      <c r="D23" s="836">
        <v>1787.0665777861395</v>
      </c>
      <c r="E23" s="626">
        <v>14625.196080574435</v>
      </c>
      <c r="F23" s="1136">
        <v>1954.2955666774083</v>
      </c>
      <c r="G23" s="1137">
        <v>1017.177223606166</v>
      </c>
      <c r="H23" s="1138">
        <v>3710.2120116812121</v>
      </c>
      <c r="I23" s="1139">
        <v>23166.088974618364</v>
      </c>
      <c r="J23" s="626">
        <v>18365.857669689172</v>
      </c>
      <c r="K23" s="1140">
        <v>41531.956644307531</v>
      </c>
      <c r="L23" s="1141">
        <v>8266.249593786757</v>
      </c>
      <c r="M23" s="1176"/>
      <c r="N23" s="965"/>
    </row>
    <row r="24" spans="1:14" s="321" customFormat="1" ht="15" customHeight="1">
      <c r="A24" s="747"/>
      <c r="B24" s="748" t="s">
        <v>238</v>
      </c>
      <c r="C24" s="1135">
        <v>98.888157705999987</v>
      </c>
      <c r="D24" s="836">
        <v>1702.5926545585321</v>
      </c>
      <c r="E24" s="626">
        <v>14249.887719419561</v>
      </c>
      <c r="F24" s="1136">
        <v>1913.6801198752273</v>
      </c>
      <c r="G24" s="1137">
        <v>869.67753145086726</v>
      </c>
      <c r="H24" s="1138">
        <v>3804.5401068321003</v>
      </c>
      <c r="I24" s="1139">
        <v>22639.286289842286</v>
      </c>
      <c r="J24" s="626">
        <v>19070.236476899641</v>
      </c>
      <c r="K24" s="1140">
        <v>41709.512766741929</v>
      </c>
      <c r="L24" s="1141">
        <v>7334.6113541364784</v>
      </c>
      <c r="M24" s="1176"/>
      <c r="N24" s="965"/>
    </row>
    <row r="25" spans="1:14" s="321" customFormat="1" ht="21" customHeight="1">
      <c r="A25" s="747">
        <v>2025</v>
      </c>
      <c r="B25" s="748" t="s">
        <v>239</v>
      </c>
      <c r="C25" s="1135">
        <v>44.439944253</v>
      </c>
      <c r="D25" s="836">
        <v>1927.7644449165841</v>
      </c>
      <c r="E25" s="626">
        <v>14319.838762491878</v>
      </c>
      <c r="F25" s="1136">
        <v>1962.1184425765305</v>
      </c>
      <c r="G25" s="1137">
        <v>1214.1963875844197</v>
      </c>
      <c r="H25" s="1138">
        <v>3784.9384567387297</v>
      </c>
      <c r="I25" s="1139">
        <v>23253.196438561146</v>
      </c>
      <c r="J25" s="626">
        <v>19189.879467911684</v>
      </c>
      <c r="K25" s="1140">
        <v>42443.125906472822</v>
      </c>
      <c r="L25" s="1141">
        <v>9589.3393788394533</v>
      </c>
      <c r="M25" s="1176"/>
      <c r="N25" s="965"/>
    </row>
    <row r="26" spans="1:14" s="321" customFormat="1" ht="15" customHeight="1">
      <c r="A26" s="747"/>
      <c r="B26" s="748" t="s">
        <v>240</v>
      </c>
      <c r="C26" s="1135">
        <v>50.053778004999998</v>
      </c>
      <c r="D26" s="836">
        <v>2006.1891384929681</v>
      </c>
      <c r="E26" s="626">
        <v>14293.316918318213</v>
      </c>
      <c r="F26" s="1136">
        <v>1913.7970924083991</v>
      </c>
      <c r="G26" s="1137">
        <v>892.58117101572009</v>
      </c>
      <c r="H26" s="1138">
        <v>3876.0315069659082</v>
      </c>
      <c r="I26" s="1139">
        <v>23031.969605206206</v>
      </c>
      <c r="J26" s="626">
        <v>20521.005799603656</v>
      </c>
      <c r="K26" s="1140">
        <v>43552.975404809869</v>
      </c>
      <c r="L26" s="1141">
        <v>8786.3639462993451</v>
      </c>
      <c r="M26" s="1176"/>
      <c r="N26" s="965"/>
    </row>
    <row r="27" spans="1:14" s="321" customFormat="1" ht="15" customHeight="1">
      <c r="A27" s="747"/>
      <c r="B27" s="748" t="s">
        <v>237</v>
      </c>
      <c r="C27" s="1135">
        <v>24.578514128999998</v>
      </c>
      <c r="D27" s="836">
        <v>1869.5094127031794</v>
      </c>
      <c r="E27" s="626">
        <v>14261.635423088221</v>
      </c>
      <c r="F27" s="1136">
        <v>1942.9270921878237</v>
      </c>
      <c r="G27" s="1137">
        <v>865.97338026685122</v>
      </c>
      <c r="H27" s="1138">
        <v>4020.8759990375065</v>
      </c>
      <c r="I27" s="1139">
        <v>22985.519821412578</v>
      </c>
      <c r="J27" s="626">
        <v>21075.22897491201</v>
      </c>
      <c r="K27" s="1140">
        <v>44060.748796324588</v>
      </c>
      <c r="L27" s="1141">
        <v>8458.4059642204211</v>
      </c>
      <c r="M27" s="1176"/>
      <c r="N27" s="965"/>
    </row>
    <row r="28" spans="1:14" s="321" customFormat="1" ht="15" customHeight="1">
      <c r="A28" s="747"/>
      <c r="B28" s="748" t="s">
        <v>238</v>
      </c>
      <c r="C28" s="1135">
        <f t="shared" ref="C28:L28" si="1">C36</f>
        <v>31.497141595000002</v>
      </c>
      <c r="D28" s="836">
        <f t="shared" si="1"/>
        <v>1840.12674957935</v>
      </c>
      <c r="E28" s="626">
        <f t="shared" si="1"/>
        <v>14687.115407804087</v>
      </c>
      <c r="F28" s="1136">
        <f t="shared" si="1"/>
        <v>1753.39589493774</v>
      </c>
      <c r="G28" s="1137">
        <f t="shared" si="1"/>
        <v>872.39925045061511</v>
      </c>
      <c r="H28" s="1138">
        <f t="shared" si="1"/>
        <v>4133.1520550966634</v>
      </c>
      <c r="I28" s="1139">
        <f t="shared" si="1"/>
        <v>23317.68649946346</v>
      </c>
      <c r="J28" s="626">
        <f t="shared" si="1"/>
        <v>21683.439706634254</v>
      </c>
      <c r="K28" s="1140">
        <f t="shared" si="1"/>
        <v>45001.146206097721</v>
      </c>
      <c r="L28" s="1141">
        <f t="shared" si="1"/>
        <v>8732.688622378837</v>
      </c>
      <c r="M28" s="1176"/>
      <c r="N28" s="965"/>
    </row>
    <row r="29" spans="1:14" s="321" customFormat="1" ht="21" customHeight="1">
      <c r="A29" s="747">
        <v>2026</v>
      </c>
      <c r="B29" s="748" t="s">
        <v>239</v>
      </c>
      <c r="C29" s="1135">
        <f t="shared" ref="C29:L29" si="2">C39</f>
        <v>47.662931798999999</v>
      </c>
      <c r="D29" s="836">
        <f t="shared" si="2"/>
        <v>1845.4681021244407</v>
      </c>
      <c r="E29" s="626">
        <f t="shared" si="2"/>
        <v>15230.148523914964</v>
      </c>
      <c r="F29" s="1136">
        <f t="shared" si="2"/>
        <v>1939.1082820153119</v>
      </c>
      <c r="G29" s="1137">
        <f t="shared" si="2"/>
        <v>1029.090048656411</v>
      </c>
      <c r="H29" s="1138">
        <f t="shared" si="2"/>
        <v>3905.7140499827656</v>
      </c>
      <c r="I29" s="1139">
        <f t="shared" si="2"/>
        <v>23997.191938492899</v>
      </c>
      <c r="J29" s="626">
        <f t="shared" si="2"/>
        <v>22840.137720907245</v>
      </c>
      <c r="K29" s="1140">
        <f t="shared" si="2"/>
        <v>46837.329659400144</v>
      </c>
      <c r="L29" s="1141">
        <f t="shared" si="2"/>
        <v>8923.175604346523</v>
      </c>
      <c r="M29" s="1176"/>
      <c r="N29" s="965"/>
    </row>
    <row r="30" spans="1:14" s="321" customFormat="1" ht="15" customHeight="1">
      <c r="A30" s="906"/>
      <c r="B30" s="997" t="s">
        <v>240</v>
      </c>
      <c r="C30" s="1053">
        <f t="shared" ref="C30:L30" si="3">C42</f>
        <v>33.516856756999999</v>
      </c>
      <c r="D30" s="970">
        <f t="shared" si="3"/>
        <v>1792.1775174143679</v>
      </c>
      <c r="E30" s="1027">
        <f t="shared" si="3"/>
        <v>16101.379472792009</v>
      </c>
      <c r="F30" s="1054">
        <f t="shared" si="3"/>
        <v>1888.1688362924026</v>
      </c>
      <c r="G30" s="1055">
        <f t="shared" si="3"/>
        <v>951.93287413011967</v>
      </c>
      <c r="H30" s="1056">
        <f t="shared" si="3"/>
        <v>4104.2323876755909</v>
      </c>
      <c r="I30" s="1057">
        <f t="shared" si="3"/>
        <v>24871.407945061488</v>
      </c>
      <c r="J30" s="1027">
        <f t="shared" si="3"/>
        <v>21899.665074082892</v>
      </c>
      <c r="K30" s="1058">
        <f t="shared" si="3"/>
        <v>46771.07301914438</v>
      </c>
      <c r="L30" s="1059">
        <f t="shared" si="3"/>
        <v>9601.6054146026818</v>
      </c>
      <c r="M30" s="1176"/>
      <c r="N30" s="965"/>
    </row>
    <row r="31" spans="1:14" s="306" customFormat="1" ht="21" customHeight="1">
      <c r="A31" s="405">
        <v>2025</v>
      </c>
      <c r="B31" s="497" t="s">
        <v>420</v>
      </c>
      <c r="C31" s="657">
        <v>24.840464957000002</v>
      </c>
      <c r="D31" s="784">
        <v>2014.3045779029353</v>
      </c>
      <c r="E31" s="682">
        <v>14045.990020125673</v>
      </c>
      <c r="F31" s="785">
        <v>2083.4008636013136</v>
      </c>
      <c r="G31" s="786">
        <v>860.18185233325721</v>
      </c>
      <c r="H31" s="787">
        <v>3928.9647397344334</v>
      </c>
      <c r="I31" s="788">
        <v>22957.682518654612</v>
      </c>
      <c r="J31" s="788">
        <v>20841.943666804782</v>
      </c>
      <c r="K31" s="789">
        <v>43799.6361854594</v>
      </c>
      <c r="L31" s="790">
        <v>8028.1163575250321</v>
      </c>
      <c r="M31" s="315"/>
      <c r="N31" s="965"/>
    </row>
    <row r="32" spans="1:14" s="306" customFormat="1" ht="17.25" customHeight="1">
      <c r="A32" s="405"/>
      <c r="B32" s="497" t="s">
        <v>421</v>
      </c>
      <c r="C32" s="657">
        <v>45.591416236000001</v>
      </c>
      <c r="D32" s="784">
        <v>1904.2991494033145</v>
      </c>
      <c r="E32" s="682">
        <v>14170.012558917124</v>
      </c>
      <c r="F32" s="785">
        <v>2086.5001881853796</v>
      </c>
      <c r="G32" s="786">
        <v>796.29861341652918</v>
      </c>
      <c r="H32" s="787">
        <v>3981.3630548837186</v>
      </c>
      <c r="I32" s="788">
        <v>22984.064981042069</v>
      </c>
      <c r="J32" s="788">
        <v>21262.937433559287</v>
      </c>
      <c r="K32" s="789">
        <v>44247.042414601354</v>
      </c>
      <c r="L32" s="790">
        <v>8376.2600566648871</v>
      </c>
      <c r="M32" s="315"/>
      <c r="N32" s="965"/>
    </row>
    <row r="33" spans="1:14" s="306" customFormat="1" ht="17.25" customHeight="1">
      <c r="A33" s="405"/>
      <c r="B33" s="497" t="s">
        <v>422</v>
      </c>
      <c r="C33" s="657">
        <v>24.578514128999998</v>
      </c>
      <c r="D33" s="784">
        <v>1869.5094127031794</v>
      </c>
      <c r="E33" s="682">
        <v>14261.635423088221</v>
      </c>
      <c r="F33" s="785">
        <v>1942.9270921878237</v>
      </c>
      <c r="G33" s="786">
        <v>865.97338026685122</v>
      </c>
      <c r="H33" s="787">
        <v>4020.8759990375065</v>
      </c>
      <c r="I33" s="788">
        <v>22985.519821412578</v>
      </c>
      <c r="J33" s="788">
        <v>21075.22897491201</v>
      </c>
      <c r="K33" s="789">
        <v>44060.748796324588</v>
      </c>
      <c r="L33" s="790">
        <v>8458.4059642204211</v>
      </c>
      <c r="M33" s="315"/>
      <c r="N33" s="965"/>
    </row>
    <row r="34" spans="1:14" s="306" customFormat="1" ht="17.25" customHeight="1">
      <c r="A34" s="405"/>
      <c r="B34" s="497" t="s">
        <v>411</v>
      </c>
      <c r="C34" s="657">
        <v>27.611715496000002</v>
      </c>
      <c r="D34" s="784">
        <v>1802.9902193616663</v>
      </c>
      <c r="E34" s="682">
        <v>14180.169231940823</v>
      </c>
      <c r="F34" s="785">
        <v>1747.2471775418758</v>
      </c>
      <c r="G34" s="786">
        <v>825.49998262699103</v>
      </c>
      <c r="H34" s="787">
        <v>4102.8956957555492</v>
      </c>
      <c r="I34" s="788">
        <v>22686.434022722904</v>
      </c>
      <c r="J34" s="788">
        <v>21501.998173392392</v>
      </c>
      <c r="K34" s="789">
        <v>44188.432196115289</v>
      </c>
      <c r="L34" s="790">
        <v>8054.6312522040544</v>
      </c>
      <c r="M34" s="315"/>
      <c r="N34" s="965"/>
    </row>
    <row r="35" spans="1:14" s="306" customFormat="1" ht="17.25" customHeight="1">
      <c r="A35" s="405"/>
      <c r="B35" s="497" t="s">
        <v>412</v>
      </c>
      <c r="C35" s="657">
        <v>32.312395745000003</v>
      </c>
      <c r="D35" s="784">
        <v>1941.0633884903518</v>
      </c>
      <c r="E35" s="682">
        <v>14361.300247188386</v>
      </c>
      <c r="F35" s="785">
        <v>1759.2977246566793</v>
      </c>
      <c r="G35" s="786">
        <v>876.09980181127003</v>
      </c>
      <c r="H35" s="787">
        <v>4120.6388759528272</v>
      </c>
      <c r="I35" s="788">
        <v>23090.692433844517</v>
      </c>
      <c r="J35" s="788">
        <v>21437.143699120588</v>
      </c>
      <c r="K35" s="789">
        <v>44527.836132965102</v>
      </c>
      <c r="L35" s="790">
        <v>8521.15978512943</v>
      </c>
      <c r="M35" s="315"/>
      <c r="N35" s="965"/>
    </row>
    <row r="36" spans="1:14" s="306" customFormat="1" ht="17.25" customHeight="1">
      <c r="A36" s="405"/>
      <c r="B36" s="497" t="s">
        <v>413</v>
      </c>
      <c r="C36" s="657">
        <v>31.497141595000002</v>
      </c>
      <c r="D36" s="784">
        <v>1840.12674957935</v>
      </c>
      <c r="E36" s="682">
        <v>14687.115407804087</v>
      </c>
      <c r="F36" s="785">
        <v>1753.39589493774</v>
      </c>
      <c r="G36" s="786">
        <v>872.39925045061511</v>
      </c>
      <c r="H36" s="787">
        <v>4133.1520550966634</v>
      </c>
      <c r="I36" s="788">
        <v>23317.68649946346</v>
      </c>
      <c r="J36" s="788">
        <v>21683.439706634254</v>
      </c>
      <c r="K36" s="789">
        <v>45001.146206097721</v>
      </c>
      <c r="L36" s="790">
        <v>8732.688622378837</v>
      </c>
      <c r="M36" s="315"/>
      <c r="N36" s="965"/>
    </row>
    <row r="37" spans="1:14" s="306" customFormat="1" ht="21" customHeight="1">
      <c r="A37" s="405">
        <v>2026</v>
      </c>
      <c r="B37" s="497" t="s">
        <v>414</v>
      </c>
      <c r="C37" s="657">
        <v>36.541392500000001</v>
      </c>
      <c r="D37" s="784">
        <v>2020.3429171648909</v>
      </c>
      <c r="E37" s="682">
        <v>14797.15971835559</v>
      </c>
      <c r="F37" s="785">
        <v>1736.0222175310312</v>
      </c>
      <c r="G37" s="786">
        <v>813.1534949294911</v>
      </c>
      <c r="H37" s="787">
        <v>4151.3815497611467</v>
      </c>
      <c r="I37" s="788">
        <v>23554.581290242146</v>
      </c>
      <c r="J37" s="788">
        <v>21716.744861516854</v>
      </c>
      <c r="K37" s="789">
        <v>45271.326151759</v>
      </c>
      <c r="L37" s="790">
        <v>8050.4561913807011</v>
      </c>
      <c r="M37" s="315"/>
      <c r="N37" s="965"/>
    </row>
    <row r="38" spans="1:14" s="306" customFormat="1" ht="17.25" customHeight="1">
      <c r="A38" s="405"/>
      <c r="B38" s="497" t="s">
        <v>415</v>
      </c>
      <c r="C38" s="657">
        <v>44.394683996999994</v>
      </c>
      <c r="D38" s="784">
        <v>1896.8929023552787</v>
      </c>
      <c r="E38" s="682">
        <v>15007.876249101697</v>
      </c>
      <c r="F38" s="785">
        <v>1747.8475730627945</v>
      </c>
      <c r="G38" s="786">
        <v>875.2115827952216</v>
      </c>
      <c r="H38" s="787">
        <v>4170.1447472333821</v>
      </c>
      <c r="I38" s="788">
        <v>23742.337738545375</v>
      </c>
      <c r="J38" s="788">
        <v>22268.194742652988</v>
      </c>
      <c r="K38" s="789">
        <v>46010.542481198368</v>
      </c>
      <c r="L38" s="790">
        <v>11597.809396239831</v>
      </c>
      <c r="M38" s="315"/>
      <c r="N38" s="965"/>
    </row>
    <row r="39" spans="1:14" s="306" customFormat="1" ht="17.25" customHeight="1">
      <c r="A39" s="405"/>
      <c r="B39" s="497" t="s">
        <v>416</v>
      </c>
      <c r="C39" s="657">
        <v>47.662931798999999</v>
      </c>
      <c r="D39" s="784">
        <v>1845.4681021244407</v>
      </c>
      <c r="E39" s="682">
        <v>15230.148523914964</v>
      </c>
      <c r="F39" s="785">
        <v>1939.1082820153119</v>
      </c>
      <c r="G39" s="786">
        <v>1029.090048656411</v>
      </c>
      <c r="H39" s="787">
        <v>3905.7140499827656</v>
      </c>
      <c r="I39" s="788">
        <v>23997.191938492899</v>
      </c>
      <c r="J39" s="788">
        <v>22840.137720907245</v>
      </c>
      <c r="K39" s="789">
        <v>46837.329659400144</v>
      </c>
      <c r="L39" s="790">
        <v>8923.175604346523</v>
      </c>
      <c r="M39" s="315"/>
      <c r="N39" s="965"/>
    </row>
    <row r="40" spans="1:14" s="306" customFormat="1" ht="17.25" customHeight="1">
      <c r="A40" s="405"/>
      <c r="B40" s="497" t="s">
        <v>417</v>
      </c>
      <c r="C40" s="657">
        <v>27.161844842999997</v>
      </c>
      <c r="D40" s="784">
        <v>1826.6527291304926</v>
      </c>
      <c r="E40" s="682">
        <v>16007.548621625578</v>
      </c>
      <c r="F40" s="785">
        <v>1901.4497095111765</v>
      </c>
      <c r="G40" s="786">
        <v>812.11331424431228</v>
      </c>
      <c r="H40" s="787">
        <v>4073.3745457953041</v>
      </c>
      <c r="I40" s="788">
        <v>24648.300765149866</v>
      </c>
      <c r="J40" s="788">
        <v>22488.64558065496</v>
      </c>
      <c r="K40" s="789">
        <v>47136.946345804819</v>
      </c>
      <c r="L40" s="790">
        <v>9024.1486665267403</v>
      </c>
      <c r="M40" s="315"/>
      <c r="N40" s="965"/>
    </row>
    <row r="41" spans="1:14" s="306" customFormat="1" ht="17.25" customHeight="1">
      <c r="A41" s="405"/>
      <c r="B41" s="497" t="s">
        <v>418</v>
      </c>
      <c r="C41" s="657">
        <v>37.314741529000003</v>
      </c>
      <c r="D41" s="784">
        <v>1835.2521630149399</v>
      </c>
      <c r="E41" s="682">
        <v>15957.44061840189</v>
      </c>
      <c r="F41" s="785">
        <v>1966.6102024977886</v>
      </c>
      <c r="G41" s="786">
        <v>934.0744685934925</v>
      </c>
      <c r="H41" s="787">
        <v>4112.697828964926</v>
      </c>
      <c r="I41" s="788">
        <v>24843.390023002041</v>
      </c>
      <c r="J41" s="788">
        <v>22203.462498612153</v>
      </c>
      <c r="K41" s="789">
        <v>47046.852521614201</v>
      </c>
      <c r="L41" s="790">
        <v>9515.5079829719598</v>
      </c>
      <c r="M41" s="315"/>
      <c r="N41" s="965"/>
    </row>
    <row r="42" spans="1:14" s="306" customFormat="1" ht="17.25" customHeight="1">
      <c r="A42" s="405"/>
      <c r="B42" s="497" t="s">
        <v>419</v>
      </c>
      <c r="C42" s="657">
        <v>33.516856756999999</v>
      </c>
      <c r="D42" s="784">
        <v>1792.1775174143679</v>
      </c>
      <c r="E42" s="682">
        <v>16101.379472792009</v>
      </c>
      <c r="F42" s="785">
        <v>1888.1688362924026</v>
      </c>
      <c r="G42" s="786">
        <v>951.93287413011967</v>
      </c>
      <c r="H42" s="787">
        <v>4104.2323876755909</v>
      </c>
      <c r="I42" s="788">
        <v>24871.407945061488</v>
      </c>
      <c r="J42" s="788">
        <v>21899.665074082892</v>
      </c>
      <c r="K42" s="789">
        <v>46771.07301914438</v>
      </c>
      <c r="L42" s="790">
        <v>9601.6054146026818</v>
      </c>
      <c r="M42" s="315"/>
      <c r="N42" s="965"/>
    </row>
    <row r="43" spans="1:14" s="306" customFormat="1" ht="17.25" customHeight="1">
      <c r="A43" s="405"/>
      <c r="B43" s="497" t="s">
        <v>420</v>
      </c>
      <c r="C43" s="657">
        <v>30.770034323000001</v>
      </c>
      <c r="D43" s="784">
        <v>2067.5785937865512</v>
      </c>
      <c r="E43" s="682">
        <v>15916.415700805042</v>
      </c>
      <c r="F43" s="785">
        <v>1834.3414664640025</v>
      </c>
      <c r="G43" s="786">
        <v>886.9340955467768</v>
      </c>
      <c r="H43" s="787">
        <v>4140.7294934928113</v>
      </c>
      <c r="I43" s="788">
        <v>24876.739384418182</v>
      </c>
      <c r="J43" s="788">
        <v>22242.215528326382</v>
      </c>
      <c r="K43" s="789">
        <v>47118.93491274456</v>
      </c>
      <c r="L43" s="790">
        <v>9190.6795442464045</v>
      </c>
      <c r="M43" s="315"/>
      <c r="N43" s="965"/>
    </row>
    <row r="44" spans="1:14" s="2" customFormat="1" ht="20.25" customHeight="1">
      <c r="A44" s="215" t="s">
        <v>803</v>
      </c>
      <c r="B44" s="217"/>
      <c r="C44" s="584"/>
      <c r="D44" s="217"/>
      <c r="E44" s="217"/>
      <c r="F44" s="217"/>
      <c r="G44" s="223"/>
      <c r="H44" s="217"/>
      <c r="I44" s="215"/>
      <c r="J44" s="218"/>
      <c r="K44" s="215"/>
      <c r="L44" s="236" t="s">
        <v>804</v>
      </c>
      <c r="M44" s="145"/>
    </row>
    <row r="45" spans="1:14" s="2" customFormat="1" ht="13.8" customHeight="1">
      <c r="A45" s="5" t="s">
        <v>805</v>
      </c>
      <c r="G45" s="147"/>
      <c r="I45" s="1413"/>
      <c r="J45" s="7"/>
      <c r="K45" s="1413"/>
      <c r="L45" s="237" t="s">
        <v>806</v>
      </c>
      <c r="M45" s="145"/>
    </row>
    <row r="46" spans="1:14" s="2" customFormat="1" ht="13.8" customHeight="1">
      <c r="A46" s="5"/>
      <c r="I46" s="6"/>
      <c r="J46" s="6"/>
      <c r="K46" s="1413"/>
      <c r="L46" s="1729"/>
      <c r="M46" s="145"/>
    </row>
    <row r="47" spans="1:14">
      <c r="B47" s="7"/>
      <c r="C47" s="636"/>
      <c r="D47" s="636"/>
      <c r="E47" s="636"/>
      <c r="F47" s="636"/>
      <c r="G47" s="636"/>
      <c r="H47" s="636"/>
      <c r="I47" s="636"/>
      <c r="J47" s="636"/>
      <c r="K47" s="636"/>
      <c r="L47" s="636"/>
    </row>
    <row r="48" spans="1:14">
      <c r="B48" s="1414"/>
      <c r="C48" s="1881"/>
      <c r="D48" s="1881"/>
      <c r="E48" s="1881"/>
      <c r="F48" s="1881"/>
      <c r="G48" s="1881"/>
      <c r="H48" s="1881"/>
      <c r="I48" s="1881"/>
      <c r="J48" s="1881"/>
      <c r="K48" s="1881"/>
      <c r="L48" s="1881"/>
    </row>
    <row r="49" spans="1:13" ht="13.8">
      <c r="A49" s="318" t="s">
        <v>807</v>
      </c>
      <c r="B49" s="318"/>
      <c r="C49" s="318"/>
      <c r="D49" s="318"/>
      <c r="E49" s="318"/>
      <c r="F49" s="318"/>
      <c r="G49" s="318"/>
      <c r="H49" s="318"/>
      <c r="I49" s="318"/>
      <c r="J49" s="318"/>
      <c r="K49" s="318"/>
      <c r="L49" s="318"/>
      <c r="M49" s="1413"/>
    </row>
    <row r="50" spans="1:13">
      <c r="K50" s="1735"/>
    </row>
    <row r="52" spans="1:13">
      <c r="A52" s="249"/>
      <c r="M52" s="1413"/>
    </row>
    <row r="53" spans="1:13">
      <c r="A53" s="146"/>
      <c r="M53" s="1413"/>
    </row>
  </sheetData>
  <phoneticPr fontId="0" type="noConversion"/>
  <printOptions horizontalCentered="1" verticalCentered="1"/>
  <pageMargins left="0" right="0" top="0" bottom="0" header="0.511811023622047" footer="0.511811023622047"/>
  <pageSetup paperSize="9" scale="7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pageSetUpPr fitToPage="1"/>
  </sheetPr>
  <dimension ref="A1:M54"/>
  <sheetViews>
    <sheetView topLeftCell="A6" zoomScale="90" zoomScaleNormal="90" workbookViewId="0">
      <pane ySplit="7" topLeftCell="A37" activePane="bottomLeft" state="frozen"/>
      <selection activeCell="B2" sqref="B2"/>
      <selection pane="bottomLeft" activeCell="J43" sqref="J43"/>
    </sheetView>
  </sheetViews>
  <sheetFormatPr defaultColWidth="9.21875" defaultRowHeight="13.2"/>
  <cols>
    <col min="1" max="2" width="9.77734375" style="1402" customWidth="1"/>
    <col min="3" max="10" width="13.77734375" style="1402" customWidth="1"/>
    <col min="11" max="11" width="9.77734375" style="1402" customWidth="1"/>
    <col min="12" max="16384" width="9.21875" style="1402"/>
  </cols>
  <sheetData>
    <row r="1" spans="1:12" hidden="1"/>
    <row r="2" spans="1:12" hidden="1"/>
    <row r="3" spans="1:12" hidden="1"/>
    <row r="4" spans="1:12" hidden="1"/>
    <row r="5" spans="1:12" hidden="1"/>
    <row r="6" spans="1:12" s="381" customFormat="1" ht="18" customHeight="1">
      <c r="A6" s="165" t="s">
        <v>1769</v>
      </c>
      <c r="B6" s="1710"/>
      <c r="C6" s="382"/>
      <c r="D6" s="382"/>
      <c r="E6" s="382"/>
      <c r="F6" s="382"/>
      <c r="G6" s="382"/>
      <c r="H6" s="382"/>
      <c r="I6" s="382"/>
      <c r="J6" s="382"/>
    </row>
    <row r="7" spans="1:12" s="381" customFormat="1" ht="18" customHeight="1">
      <c r="A7" s="1889" t="s">
        <v>808</v>
      </c>
      <c r="B7" s="1710"/>
      <c r="C7" s="382"/>
      <c r="D7" s="382"/>
      <c r="E7" s="382"/>
      <c r="F7" s="382"/>
      <c r="G7" s="382"/>
      <c r="H7" s="382"/>
      <c r="I7" s="382"/>
      <c r="J7" s="382"/>
    </row>
    <row r="8" spans="1:12" s="381" customFormat="1" ht="18" customHeight="1">
      <c r="A8" s="165" t="s">
        <v>809</v>
      </c>
      <c r="B8" s="1710"/>
      <c r="C8" s="382"/>
      <c r="D8" s="382"/>
      <c r="E8" s="382"/>
      <c r="F8" s="382"/>
      <c r="G8" s="382"/>
      <c r="H8" s="382"/>
      <c r="I8" s="382"/>
      <c r="J8" s="382"/>
    </row>
    <row r="9" spans="1:12" s="149" customFormat="1" ht="12.75" customHeight="1">
      <c r="A9" s="149" t="s">
        <v>369</v>
      </c>
      <c r="B9" s="322"/>
      <c r="C9" s="323"/>
      <c r="D9" s="323"/>
      <c r="E9" s="323"/>
      <c r="F9" s="323"/>
      <c r="G9" s="323"/>
      <c r="H9" s="323"/>
      <c r="I9" s="323"/>
      <c r="J9" s="324" t="s">
        <v>370</v>
      </c>
    </row>
    <row r="10" spans="1:12" s="161" customFormat="1" ht="18" customHeight="1">
      <c r="A10" s="325"/>
      <c r="B10" s="326"/>
      <c r="C10" s="327" t="s">
        <v>810</v>
      </c>
      <c r="D10" s="328"/>
      <c r="E10" s="329"/>
      <c r="F10" s="330" t="s">
        <v>372</v>
      </c>
      <c r="G10" s="327" t="s">
        <v>373</v>
      </c>
      <c r="H10" s="328"/>
      <c r="I10" s="331" t="s">
        <v>374</v>
      </c>
      <c r="J10" s="332" t="s">
        <v>496</v>
      </c>
    </row>
    <row r="11" spans="1:12" s="164" customFormat="1" ht="18" customHeight="1">
      <c r="A11" s="333" t="s">
        <v>379</v>
      </c>
      <c r="B11" s="334"/>
      <c r="C11" s="335" t="s">
        <v>431</v>
      </c>
      <c r="D11" s="336" t="s">
        <v>811</v>
      </c>
      <c r="E11" s="337" t="s">
        <v>382</v>
      </c>
      <c r="F11" s="338" t="s">
        <v>812</v>
      </c>
      <c r="G11" s="335" t="s">
        <v>431</v>
      </c>
      <c r="H11" s="336" t="s">
        <v>811</v>
      </c>
      <c r="I11" s="337" t="s">
        <v>382</v>
      </c>
      <c r="J11" s="339" t="s">
        <v>375</v>
      </c>
    </row>
    <row r="12" spans="1:12" s="161" customFormat="1" ht="30.3" customHeight="1">
      <c r="A12" s="340" t="s">
        <v>387</v>
      </c>
      <c r="B12" s="341"/>
      <c r="C12" s="342" t="s">
        <v>813</v>
      </c>
      <c r="D12" s="343" t="s">
        <v>759</v>
      </c>
      <c r="E12" s="343" t="s">
        <v>392</v>
      </c>
      <c r="F12" s="343" t="s">
        <v>814</v>
      </c>
      <c r="G12" s="342" t="s">
        <v>405</v>
      </c>
      <c r="H12" s="344" t="s">
        <v>759</v>
      </c>
      <c r="I12" s="342" t="s">
        <v>392</v>
      </c>
      <c r="J12" s="343" t="s">
        <v>815</v>
      </c>
      <c r="K12" s="345"/>
      <c r="L12" s="1890"/>
    </row>
    <row r="13" spans="1:12" s="149" customFormat="1" ht="20.25" customHeight="1">
      <c r="A13" s="521">
        <v>2016</v>
      </c>
      <c r="B13" s="523"/>
      <c r="C13" s="1891">
        <v>4748.6593469816726</v>
      </c>
      <c r="D13" s="1891">
        <v>9115.8419323927264</v>
      </c>
      <c r="E13" s="1892">
        <v>13864.540338904006</v>
      </c>
      <c r="F13" s="1893">
        <v>3738.7431950292416</v>
      </c>
      <c r="G13" s="1892">
        <v>8007.6571794938845</v>
      </c>
      <c r="H13" s="1892">
        <v>6445.0565690034855</v>
      </c>
      <c r="I13" s="1892">
        <v>14452.803721047296</v>
      </c>
      <c r="J13" s="1892">
        <v>-588.26338214329007</v>
      </c>
      <c r="K13" s="792"/>
      <c r="L13" s="792"/>
    </row>
    <row r="14" spans="1:12" s="1895" customFormat="1" ht="14.25" customHeight="1">
      <c r="A14" s="521">
        <v>2017</v>
      </c>
      <c r="B14" s="1894"/>
      <c r="C14" s="1892">
        <v>4556.9541569592639</v>
      </c>
      <c r="D14" s="1892">
        <v>8807.0021507301371</v>
      </c>
      <c r="E14" s="1892">
        <v>13364.043650535194</v>
      </c>
      <c r="F14" s="1892">
        <v>3797.5894805756334</v>
      </c>
      <c r="G14" s="1892">
        <v>7910.5285125719365</v>
      </c>
      <c r="H14" s="1892">
        <v>6374.9716246168573</v>
      </c>
      <c r="I14" s="1892">
        <v>14285.454760065642</v>
      </c>
      <c r="J14" s="1892">
        <v>-921.46110953044877</v>
      </c>
      <c r="K14" s="792"/>
      <c r="L14" s="792"/>
    </row>
    <row r="15" spans="1:12" s="381" customFormat="1" ht="14.25" customHeight="1">
      <c r="A15" s="851">
        <v>2018</v>
      </c>
      <c r="B15" s="852"/>
      <c r="C15" s="585">
        <v>4516.152256252074</v>
      </c>
      <c r="D15" s="585">
        <v>9113.4808562280159</v>
      </c>
      <c r="E15" s="585">
        <v>13629.708080063867</v>
      </c>
      <c r="F15" s="791">
        <v>4534.7771958793392</v>
      </c>
      <c r="G15" s="585">
        <v>7614.9494185482581</v>
      </c>
      <c r="H15" s="585">
        <v>7121.6718261759343</v>
      </c>
      <c r="I15" s="585">
        <v>14736.649777062137</v>
      </c>
      <c r="J15" s="585">
        <v>-1106.9416969982703</v>
      </c>
      <c r="K15" s="792"/>
      <c r="L15" s="792"/>
    </row>
    <row r="16" spans="1:12" s="381" customFormat="1" ht="14.25" customHeight="1">
      <c r="A16" s="851">
        <v>2019</v>
      </c>
      <c r="B16" s="852"/>
      <c r="C16" s="585">
        <v>5655.9007707818655</v>
      </c>
      <c r="D16" s="585">
        <v>9767.3400373121185</v>
      </c>
      <c r="E16" s="585">
        <v>15423.23278930428</v>
      </c>
      <c r="F16" s="791">
        <v>5506.9397616715269</v>
      </c>
      <c r="G16" s="585">
        <v>10248.71120463184</v>
      </c>
      <c r="H16" s="585">
        <v>6153.5370869886747</v>
      </c>
      <c r="I16" s="585">
        <v>16402.184863421702</v>
      </c>
      <c r="J16" s="585">
        <v>-978.95207411742194</v>
      </c>
      <c r="K16" s="792"/>
      <c r="L16" s="792"/>
    </row>
    <row r="17" spans="1:13" s="381" customFormat="1" ht="14.25" customHeight="1">
      <c r="A17" s="851">
        <v>2020</v>
      </c>
      <c r="B17" s="852"/>
      <c r="C17" s="585">
        <v>4774.7670016747634</v>
      </c>
      <c r="D17" s="585">
        <v>9732.7503727473886</v>
      </c>
      <c r="E17" s="585">
        <v>14507.584865149944</v>
      </c>
      <c r="F17" s="791">
        <v>5937.4941547068511</v>
      </c>
      <c r="G17" s="585">
        <v>10990.077961541368</v>
      </c>
      <c r="H17" s="585">
        <v>4846.5554140165823</v>
      </c>
      <c r="I17" s="585">
        <v>15836.696357492354</v>
      </c>
      <c r="J17" s="585">
        <v>-1329.1114923424102</v>
      </c>
      <c r="K17" s="792"/>
      <c r="L17" s="792"/>
    </row>
    <row r="18" spans="1:13" s="381" customFormat="1" ht="14.25" customHeight="1">
      <c r="A18" s="851">
        <v>2021</v>
      </c>
      <c r="B18" s="852"/>
      <c r="C18" s="585">
        <v>6002.2558435718265</v>
      </c>
      <c r="D18" s="585">
        <v>9245.4582250419789</v>
      </c>
      <c r="E18" s="585">
        <v>15247.818099927881</v>
      </c>
      <c r="F18" s="791">
        <v>5234.7905687626371</v>
      </c>
      <c r="G18" s="585">
        <v>10279.59821625412</v>
      </c>
      <c r="H18" s="585">
        <v>6462.1919848571524</v>
      </c>
      <c r="I18" s="585">
        <v>16741.780054273448</v>
      </c>
      <c r="J18" s="585">
        <v>-1493.9619543455665</v>
      </c>
      <c r="K18" s="792"/>
      <c r="L18" s="792"/>
    </row>
    <row r="19" spans="1:13" s="381" customFormat="1" ht="14.25" customHeight="1">
      <c r="A19" s="851">
        <v>2022</v>
      </c>
      <c r="B19" s="852"/>
      <c r="C19" s="585">
        <v>5667.8664506677687</v>
      </c>
      <c r="D19" s="585">
        <v>8697.110049465151</v>
      </c>
      <c r="E19" s="585">
        <v>14365.004196472149</v>
      </c>
      <c r="F19" s="791">
        <v>4865.4868061383531</v>
      </c>
      <c r="G19" s="585">
        <v>10164.021547249347</v>
      </c>
      <c r="H19" s="585">
        <v>6800.5364929587704</v>
      </c>
      <c r="I19" s="585">
        <v>16964.477748442736</v>
      </c>
      <c r="J19" s="585">
        <v>-2599.5235519705866</v>
      </c>
      <c r="K19" s="792"/>
      <c r="L19" s="792"/>
    </row>
    <row r="20" spans="1:13" s="381" customFormat="1" ht="14.25" customHeight="1">
      <c r="A20" s="851">
        <v>2023</v>
      </c>
      <c r="B20" s="852"/>
      <c r="C20" s="585">
        <v>5436.4479158943268</v>
      </c>
      <c r="D20" s="585">
        <v>9171.9803181576281</v>
      </c>
      <c r="E20" s="585">
        <v>14608.358006707931</v>
      </c>
      <c r="F20" s="791">
        <v>5446.4011180709149</v>
      </c>
      <c r="G20" s="585">
        <v>10590.764545120383</v>
      </c>
      <c r="H20" s="585">
        <v>7118.9568467031904</v>
      </c>
      <c r="I20" s="585">
        <v>17709.761864411757</v>
      </c>
      <c r="J20" s="585">
        <v>-3101.3999999999996</v>
      </c>
      <c r="K20" s="792"/>
      <c r="L20" s="792"/>
    </row>
    <row r="21" spans="1:13" s="381" customFormat="1" ht="14.25" customHeight="1">
      <c r="A21" s="851">
        <v>2024</v>
      </c>
      <c r="B21" s="852"/>
      <c r="C21" s="585">
        <v>5487.9260734431728</v>
      </c>
      <c r="D21" s="585">
        <v>9358.6194223316816</v>
      </c>
      <c r="E21" s="585">
        <v>14846.494816834533</v>
      </c>
      <c r="F21" s="791">
        <v>6003.6107097827135</v>
      </c>
      <c r="G21" s="585">
        <v>13960.032754026735</v>
      </c>
      <c r="H21" s="585">
        <v>5110.1741471447785</v>
      </c>
      <c r="I21" s="585">
        <v>19070.236476899641</v>
      </c>
      <c r="J21" s="585">
        <v>-4223.7000000000007</v>
      </c>
      <c r="K21" s="792"/>
      <c r="L21" s="792"/>
    </row>
    <row r="22" spans="1:13" s="381" customFormat="1" ht="14.25" customHeight="1">
      <c r="A22" s="981">
        <v>2025</v>
      </c>
      <c r="B22" s="1050"/>
      <c r="C22" s="1051">
        <f t="shared" ref="C22:J22" si="0">C28</f>
        <v>4954.4010995929657</v>
      </c>
      <c r="D22" s="1051">
        <f t="shared" si="0"/>
        <v>10857.536353737654</v>
      </c>
      <c r="E22" s="1051">
        <f t="shared" si="0"/>
        <v>15811.918264778942</v>
      </c>
      <c r="F22" s="1052">
        <f t="shared" si="0"/>
        <v>6346.5209432264301</v>
      </c>
      <c r="G22" s="1051">
        <f t="shared" si="0"/>
        <v>15585.987518268223</v>
      </c>
      <c r="H22" s="1051">
        <f t="shared" si="0"/>
        <v>6097.4283041901072</v>
      </c>
      <c r="I22" s="1051">
        <f t="shared" si="0"/>
        <v>21683.439706634254</v>
      </c>
      <c r="J22" s="1051">
        <f t="shared" si="0"/>
        <v>-5871.5000000000018</v>
      </c>
      <c r="K22" s="792"/>
      <c r="L22" s="792"/>
    </row>
    <row r="23" spans="1:13" s="381" customFormat="1" ht="21" customHeight="1">
      <c r="A23" s="851">
        <v>2024</v>
      </c>
      <c r="B23" s="852" t="s">
        <v>237</v>
      </c>
      <c r="C23" s="585">
        <v>4929.6166134010018</v>
      </c>
      <c r="D23" s="585">
        <v>9346.9932099672515</v>
      </c>
      <c r="E23" s="585">
        <v>14276.599021203841</v>
      </c>
      <c r="F23" s="791">
        <v>5977.4471861358652</v>
      </c>
      <c r="G23" s="585">
        <v>13159.85339399734</v>
      </c>
      <c r="H23" s="585">
        <v>5205.9890115296475</v>
      </c>
      <c r="I23" s="585">
        <v>18365.857669689172</v>
      </c>
      <c r="J23" s="585">
        <v>-4089.3000000000011</v>
      </c>
      <c r="K23" s="1177"/>
      <c r="L23" s="792"/>
    </row>
    <row r="24" spans="1:13" s="381" customFormat="1" ht="15" customHeight="1">
      <c r="A24" s="851"/>
      <c r="B24" s="852" t="s">
        <v>238</v>
      </c>
      <c r="C24" s="585">
        <v>5487.9260734431728</v>
      </c>
      <c r="D24" s="585">
        <v>9358.6194223316816</v>
      </c>
      <c r="E24" s="585">
        <v>14846.494816834533</v>
      </c>
      <c r="F24" s="791">
        <v>6003.6107097827135</v>
      </c>
      <c r="G24" s="585">
        <v>13960.032754026735</v>
      </c>
      <c r="H24" s="585">
        <v>5110.1741471447785</v>
      </c>
      <c r="I24" s="585">
        <v>19070.236476899641</v>
      </c>
      <c r="J24" s="585">
        <v>-4223.7000000000007</v>
      </c>
      <c r="K24" s="1177"/>
      <c r="L24" s="792"/>
    </row>
    <row r="25" spans="1:13" s="381" customFormat="1" ht="21" customHeight="1">
      <c r="A25" s="851">
        <v>2025</v>
      </c>
      <c r="B25" s="852" t="s">
        <v>239</v>
      </c>
      <c r="C25" s="585">
        <v>4504.1092771355325</v>
      </c>
      <c r="D25" s="585">
        <v>10113.116760051493</v>
      </c>
      <c r="E25" s="585">
        <v>14617.216609590561</v>
      </c>
      <c r="F25" s="791">
        <v>6439.1072428376774</v>
      </c>
      <c r="G25" s="585">
        <v>13708.213774160835</v>
      </c>
      <c r="H25" s="585">
        <v>5481.7294262044743</v>
      </c>
      <c r="I25" s="585">
        <v>19189.879467911684</v>
      </c>
      <c r="J25" s="585">
        <v>-4572.7000000000007</v>
      </c>
      <c r="K25" s="1177"/>
      <c r="L25" s="792"/>
    </row>
    <row r="26" spans="1:13" s="381" customFormat="1" ht="15" customHeight="1">
      <c r="A26" s="851"/>
      <c r="B26" s="852" t="s">
        <v>240</v>
      </c>
      <c r="C26" s="585">
        <v>4830.499452097114</v>
      </c>
      <c r="D26" s="585">
        <v>10506.413783679953</v>
      </c>
      <c r="E26" s="585">
        <v>15336.864423943316</v>
      </c>
      <c r="F26" s="791">
        <v>6784.5517516065538</v>
      </c>
      <c r="G26" s="585">
        <v>16051.668485226455</v>
      </c>
      <c r="H26" s="585">
        <v>4469.3246386527098</v>
      </c>
      <c r="I26" s="585">
        <v>20521.005799603656</v>
      </c>
      <c r="J26" s="585">
        <v>-5184.1000000000004</v>
      </c>
      <c r="K26" s="1177"/>
      <c r="L26" s="792"/>
    </row>
    <row r="27" spans="1:13" s="381" customFormat="1" ht="15" customHeight="1">
      <c r="A27" s="851"/>
      <c r="B27" s="852" t="s">
        <v>237</v>
      </c>
      <c r="C27" s="585">
        <v>5267.0104131727585</v>
      </c>
      <c r="D27" s="585">
        <v>10692.475938242085</v>
      </c>
      <c r="E27" s="585">
        <v>15959.487446916028</v>
      </c>
      <c r="F27" s="791">
        <v>6965.508282138092</v>
      </c>
      <c r="G27" s="585">
        <v>15916.841140336403</v>
      </c>
      <c r="H27" s="585">
        <v>5158.4331686617406</v>
      </c>
      <c r="I27" s="585">
        <v>21075.22897491201</v>
      </c>
      <c r="J27" s="585">
        <v>-5115.7000000000007</v>
      </c>
      <c r="K27" s="1177"/>
      <c r="L27" s="792"/>
    </row>
    <row r="28" spans="1:13" s="381" customFormat="1" ht="15" customHeight="1">
      <c r="A28" s="851"/>
      <c r="B28" s="852" t="s">
        <v>238</v>
      </c>
      <c r="C28" s="585">
        <f t="shared" ref="C28:J28" si="1">C36</f>
        <v>4954.4010995929657</v>
      </c>
      <c r="D28" s="585">
        <f t="shared" si="1"/>
        <v>10857.536353737654</v>
      </c>
      <c r="E28" s="585">
        <f t="shared" si="1"/>
        <v>15811.918264778942</v>
      </c>
      <c r="F28" s="791">
        <f t="shared" si="1"/>
        <v>6346.5209432264301</v>
      </c>
      <c r="G28" s="585">
        <f t="shared" si="1"/>
        <v>15585.987518268223</v>
      </c>
      <c r="H28" s="585">
        <f t="shared" si="1"/>
        <v>6097.4283041901072</v>
      </c>
      <c r="I28" s="585">
        <f t="shared" si="1"/>
        <v>21683.439706634254</v>
      </c>
      <c r="J28" s="585">
        <f t="shared" si="1"/>
        <v>-5871.5000000000018</v>
      </c>
      <c r="K28" s="1177"/>
      <c r="L28" s="792"/>
    </row>
    <row r="29" spans="1:13" s="381" customFormat="1" ht="21" customHeight="1">
      <c r="A29" s="851">
        <v>2026</v>
      </c>
      <c r="B29" s="852" t="s">
        <v>239</v>
      </c>
      <c r="C29" s="585">
        <f t="shared" ref="C29:J29" si="2">C39</f>
        <v>4946.1408916177134</v>
      </c>
      <c r="D29" s="585">
        <f t="shared" si="2"/>
        <v>11389.126742691549</v>
      </c>
      <c r="E29" s="585">
        <f t="shared" si="2"/>
        <v>16335.199098380101</v>
      </c>
      <c r="F29" s="791">
        <f t="shared" si="2"/>
        <v>6600.9931348665696</v>
      </c>
      <c r="G29" s="585">
        <f t="shared" si="2"/>
        <v>16568.307082343334</v>
      </c>
      <c r="H29" s="585">
        <f t="shared" si="2"/>
        <v>6271.8157318829544</v>
      </c>
      <c r="I29" s="585">
        <f t="shared" si="2"/>
        <v>22840.137720907245</v>
      </c>
      <c r="J29" s="585">
        <f t="shared" si="2"/>
        <v>-6504.8999999999978</v>
      </c>
      <c r="K29" s="1177"/>
      <c r="L29" s="792"/>
    </row>
    <row r="30" spans="1:13" s="381" customFormat="1" ht="15" customHeight="1">
      <c r="A30" s="981"/>
      <c r="B30" s="1050" t="s">
        <v>240</v>
      </c>
      <c r="C30" s="1051">
        <f t="shared" ref="C30:J30" si="3">C42</f>
        <v>5321.2968925939786</v>
      </c>
      <c r="D30" s="1051">
        <f t="shared" si="3"/>
        <v>11410.40398804022</v>
      </c>
      <c r="E30" s="1051">
        <f t="shared" si="3"/>
        <v>16731.731056650558</v>
      </c>
      <c r="F30" s="1052">
        <f t="shared" si="3"/>
        <v>6496.2458537894936</v>
      </c>
      <c r="G30" s="1051">
        <f t="shared" si="3"/>
        <v>15660.461962813557</v>
      </c>
      <c r="H30" s="1051">
        <f t="shared" si="3"/>
        <v>6239.1680885493188</v>
      </c>
      <c r="I30" s="1051">
        <f t="shared" si="3"/>
        <v>21899.665074082892</v>
      </c>
      <c r="J30" s="1051">
        <f t="shared" si="3"/>
        <v>-5168</v>
      </c>
      <c r="K30" s="1177"/>
      <c r="L30" s="792"/>
    </row>
    <row r="31" spans="1:13" s="381" customFormat="1" ht="21" customHeight="1">
      <c r="A31" s="851">
        <v>2025</v>
      </c>
      <c r="B31" s="852" t="s">
        <v>420</v>
      </c>
      <c r="C31" s="585">
        <v>5000.6346386774649</v>
      </c>
      <c r="D31" s="585">
        <v>10587.995823277408</v>
      </c>
      <c r="E31" s="585">
        <v>15588.617386193881</v>
      </c>
      <c r="F31" s="791">
        <v>6784.5836816694919</v>
      </c>
      <c r="G31" s="585">
        <v>15903.730598464761</v>
      </c>
      <c r="H31" s="585">
        <v>4938.2109670891659</v>
      </c>
      <c r="I31" s="585">
        <v>20841.943666804782</v>
      </c>
      <c r="J31" s="585">
        <f t="shared" ref="J31" si="4">ROUND(E31,1)-ROUND(I31,1)</f>
        <v>-5253.3000000000011</v>
      </c>
      <c r="K31" s="792"/>
      <c r="L31" s="792"/>
      <c r="M31" s="1088"/>
    </row>
    <row r="32" spans="1:13" s="381" customFormat="1" ht="15" customHeight="1">
      <c r="A32" s="851"/>
      <c r="B32" s="852" t="s">
        <v>421</v>
      </c>
      <c r="C32" s="585">
        <v>5440.9352203382277</v>
      </c>
      <c r="D32" s="585">
        <v>10769.183902448549</v>
      </c>
      <c r="E32" s="585">
        <v>16210.065705840276</v>
      </c>
      <c r="F32" s="791">
        <v>6862.7351399999243</v>
      </c>
      <c r="G32" s="585">
        <v>16148.855871202679</v>
      </c>
      <c r="H32" s="585">
        <v>5113.9868290960731</v>
      </c>
      <c r="I32" s="585">
        <v>21262.937433559287</v>
      </c>
      <c r="J32" s="585">
        <f t="shared" ref="J32" si="5">ROUND(E32,1)-ROUND(I32,1)</f>
        <v>-5052.8000000000011</v>
      </c>
      <c r="K32" s="792"/>
      <c r="L32" s="792"/>
      <c r="M32" s="1088"/>
    </row>
    <row r="33" spans="1:13" s="381" customFormat="1" ht="15" customHeight="1">
      <c r="A33" s="851"/>
      <c r="B33" s="852" t="s">
        <v>422</v>
      </c>
      <c r="C33" s="585">
        <v>5267.0104131727585</v>
      </c>
      <c r="D33" s="585">
        <v>10692.475938242085</v>
      </c>
      <c r="E33" s="585">
        <v>15959.487446916028</v>
      </c>
      <c r="F33" s="791">
        <v>6965.508282138092</v>
      </c>
      <c r="G33" s="585">
        <v>15916.841140336403</v>
      </c>
      <c r="H33" s="585">
        <v>5158.4331686617406</v>
      </c>
      <c r="I33" s="585">
        <v>21075.22897491201</v>
      </c>
      <c r="J33" s="585">
        <f t="shared" ref="J33" si="6">ROUND(E33,1)-ROUND(I33,1)</f>
        <v>-5115.7000000000007</v>
      </c>
      <c r="K33" s="792"/>
      <c r="L33" s="792"/>
      <c r="M33" s="1088"/>
    </row>
    <row r="34" spans="1:13" s="381" customFormat="1" ht="15" customHeight="1">
      <c r="A34" s="851"/>
      <c r="B34" s="852" t="s">
        <v>411</v>
      </c>
      <c r="C34" s="585">
        <v>4919.0056045653473</v>
      </c>
      <c r="D34" s="585">
        <v>10758.255003074741</v>
      </c>
      <c r="E34" s="585">
        <v>15677.273757909072</v>
      </c>
      <c r="F34" s="791">
        <v>6343.3166108797741</v>
      </c>
      <c r="G34" s="585">
        <v>15668.264510499394</v>
      </c>
      <c r="H34" s="585">
        <v>5833.7371570795576</v>
      </c>
      <c r="I34" s="585">
        <v>21501.998173392392</v>
      </c>
      <c r="J34" s="585">
        <f t="shared" ref="J34" si="7">ROUND(E34,1)-ROUND(I34,1)</f>
        <v>-5824.7000000000007</v>
      </c>
      <c r="K34" s="792"/>
      <c r="L34" s="792"/>
      <c r="M34" s="1088"/>
    </row>
    <row r="35" spans="1:13" s="381" customFormat="1" ht="15" customHeight="1">
      <c r="A35" s="851"/>
      <c r="B35" s="852" t="s">
        <v>412</v>
      </c>
      <c r="C35" s="585">
        <v>4977.5102978897867</v>
      </c>
      <c r="D35" s="585">
        <v>10738.678245878946</v>
      </c>
      <c r="E35" s="585">
        <v>15716.22946449363</v>
      </c>
      <c r="F35" s="791">
        <v>6345.2080726496151</v>
      </c>
      <c r="G35" s="585">
        <v>15455.04157318057</v>
      </c>
      <c r="H35" s="585">
        <v>5982.136908110926</v>
      </c>
      <c r="I35" s="585">
        <v>21437.143699120588</v>
      </c>
      <c r="J35" s="585">
        <f t="shared" ref="J35" si="8">ROUND(E35,1)-ROUND(I35,1)</f>
        <v>-5720.8999999999978</v>
      </c>
      <c r="K35" s="792"/>
      <c r="L35" s="792"/>
      <c r="M35" s="1088"/>
    </row>
    <row r="36" spans="1:13" s="381" customFormat="1" ht="15" customHeight="1">
      <c r="A36" s="851"/>
      <c r="B36" s="852" t="s">
        <v>413</v>
      </c>
      <c r="C36" s="585">
        <v>4954.4010995929657</v>
      </c>
      <c r="D36" s="585">
        <v>10857.536353737654</v>
      </c>
      <c r="E36" s="585">
        <v>15811.918264778942</v>
      </c>
      <c r="F36" s="791">
        <v>6346.5209432264301</v>
      </c>
      <c r="G36" s="585">
        <v>15585.987518268223</v>
      </c>
      <c r="H36" s="585">
        <v>6097.4283041901072</v>
      </c>
      <c r="I36" s="585">
        <v>21683.439706634254</v>
      </c>
      <c r="J36" s="585">
        <f t="shared" ref="J36" si="9">ROUND(E36,1)-ROUND(I36,1)</f>
        <v>-5871.5000000000018</v>
      </c>
      <c r="K36" s="792"/>
      <c r="L36" s="792"/>
      <c r="M36" s="1088"/>
    </row>
    <row r="37" spans="1:13" s="381" customFormat="1" ht="21" customHeight="1">
      <c r="A37" s="851">
        <v>2026</v>
      </c>
      <c r="B37" s="852" t="s">
        <v>414</v>
      </c>
      <c r="C37" s="585">
        <v>5036.2191263555706</v>
      </c>
      <c r="D37" s="585">
        <v>10988.701748680181</v>
      </c>
      <c r="E37" s="585">
        <v>16024.903032997125</v>
      </c>
      <c r="F37" s="791">
        <v>6441.1011905568275</v>
      </c>
      <c r="G37" s="585">
        <v>15091.849702173784</v>
      </c>
      <c r="H37" s="585">
        <v>6624.8746898634809</v>
      </c>
      <c r="I37" s="585">
        <v>21716.744861516854</v>
      </c>
      <c r="J37" s="585">
        <f t="shared" ref="J37" si="10">ROUND(E37,1)-ROUND(I37,1)</f>
        <v>-5691.8000000000011</v>
      </c>
      <c r="K37" s="792"/>
      <c r="L37" s="792"/>
      <c r="M37" s="1088"/>
    </row>
    <row r="38" spans="1:13" s="381" customFormat="1" ht="15" customHeight="1">
      <c r="A38" s="851"/>
      <c r="B38" s="852" t="s">
        <v>415</v>
      </c>
      <c r="C38" s="585">
        <v>5230.4327357467409</v>
      </c>
      <c r="D38" s="585">
        <v>11451.723314148607</v>
      </c>
      <c r="E38" s="585">
        <v>16682.057821675338</v>
      </c>
      <c r="F38" s="791">
        <v>6896.4597419590709</v>
      </c>
      <c r="G38" s="585">
        <v>15853.07675967648</v>
      </c>
      <c r="H38" s="585">
        <v>6415.1445370557913</v>
      </c>
      <c r="I38" s="585">
        <v>22268.194742652988</v>
      </c>
      <c r="J38" s="585">
        <f t="shared" ref="J38" si="11">ROUND(E38,1)-ROUND(I38,1)</f>
        <v>-5586.1000000000022</v>
      </c>
      <c r="K38" s="792"/>
      <c r="L38" s="792"/>
      <c r="M38" s="1088"/>
    </row>
    <row r="39" spans="1:13" s="381" customFormat="1" ht="15" customHeight="1">
      <c r="A39" s="851"/>
      <c r="B39" s="852" t="s">
        <v>416</v>
      </c>
      <c r="C39" s="585">
        <v>4946.1408916177134</v>
      </c>
      <c r="D39" s="585">
        <v>11389.126742691549</v>
      </c>
      <c r="E39" s="585">
        <v>16335.199098380101</v>
      </c>
      <c r="F39" s="791">
        <v>6600.9931348665696</v>
      </c>
      <c r="G39" s="585">
        <v>16568.307082343334</v>
      </c>
      <c r="H39" s="585">
        <v>6271.8157318829544</v>
      </c>
      <c r="I39" s="585">
        <v>22840.137720907245</v>
      </c>
      <c r="J39" s="585">
        <f t="shared" ref="J39" si="12">ROUND(E39,1)-ROUND(I39,1)</f>
        <v>-6504.8999999999978</v>
      </c>
      <c r="K39" s="792"/>
      <c r="L39" s="792"/>
      <c r="M39" s="1088"/>
    </row>
    <row r="40" spans="1:13" s="381" customFormat="1" ht="15" customHeight="1">
      <c r="A40" s="851"/>
      <c r="B40" s="852" t="s">
        <v>417</v>
      </c>
      <c r="C40" s="585">
        <v>5402.2591060651976</v>
      </c>
      <c r="D40" s="585">
        <v>11515.109020497945</v>
      </c>
      <c r="E40" s="585">
        <v>16917.431469528528</v>
      </c>
      <c r="F40" s="791">
        <v>6605.4512342417474</v>
      </c>
      <c r="G40" s="585">
        <v>16409.645388138964</v>
      </c>
      <c r="H40" s="585">
        <v>6079.0435580869935</v>
      </c>
      <c r="I40" s="585">
        <v>22488.64558065496</v>
      </c>
      <c r="J40" s="585">
        <f t="shared" ref="J40" si="13">ROUND(E40,1)-ROUND(I40,1)</f>
        <v>-5571.1999999999971</v>
      </c>
      <c r="K40" s="792"/>
      <c r="L40" s="792"/>
      <c r="M40" s="1088"/>
    </row>
    <row r="41" spans="1:13" s="381" customFormat="1" ht="15" customHeight="1">
      <c r="A41" s="851"/>
      <c r="B41" s="852" t="s">
        <v>418</v>
      </c>
      <c r="C41" s="585">
        <v>5371.3810213927391</v>
      </c>
      <c r="D41" s="585">
        <v>11536.558942671236</v>
      </c>
      <c r="E41" s="585">
        <v>16907.956996278888</v>
      </c>
      <c r="F41" s="791">
        <v>6422.1007748333541</v>
      </c>
      <c r="G41" s="585">
        <v>15991.516316583371</v>
      </c>
      <c r="H41" s="585">
        <v>6211.9893948547651</v>
      </c>
      <c r="I41" s="585">
        <v>22203.462498612153</v>
      </c>
      <c r="J41" s="585">
        <f t="shared" ref="J41" si="14">ROUND(E41,1)-ROUND(I41,1)</f>
        <v>-5295.5</v>
      </c>
      <c r="K41" s="792"/>
      <c r="L41" s="792"/>
      <c r="M41" s="1088"/>
    </row>
    <row r="42" spans="1:13" s="381" customFormat="1" ht="15" customHeight="1">
      <c r="A42" s="851"/>
      <c r="B42" s="852" t="s">
        <v>419</v>
      </c>
      <c r="C42" s="585">
        <v>5321.2968925939786</v>
      </c>
      <c r="D42" s="585">
        <v>11410.40398804022</v>
      </c>
      <c r="E42" s="585">
        <v>16731.731056650558</v>
      </c>
      <c r="F42" s="791">
        <v>6496.2458537894936</v>
      </c>
      <c r="G42" s="585">
        <v>15660.461962813557</v>
      </c>
      <c r="H42" s="585">
        <v>6239.1680885493188</v>
      </c>
      <c r="I42" s="585">
        <v>21899.665074082892</v>
      </c>
      <c r="J42" s="585">
        <f t="shared" ref="J42" si="15">ROUND(E42,1)-ROUND(I42,1)</f>
        <v>-5168</v>
      </c>
      <c r="K42" s="792"/>
      <c r="L42" s="792"/>
      <c r="M42" s="1088"/>
    </row>
    <row r="43" spans="1:13" s="381" customFormat="1" ht="15" customHeight="1">
      <c r="A43" s="851"/>
      <c r="B43" s="852" t="s">
        <v>420</v>
      </c>
      <c r="C43" s="585">
        <v>5520.5589198496655</v>
      </c>
      <c r="D43" s="585">
        <v>11506.491006707594</v>
      </c>
      <c r="E43" s="585">
        <v>17027.059923571134</v>
      </c>
      <c r="F43" s="791">
        <v>6521.629121848443</v>
      </c>
      <c r="G43" s="585">
        <v>16116.737535474775</v>
      </c>
      <c r="H43" s="585">
        <v>6125.4861234652817</v>
      </c>
      <c r="I43" s="585">
        <v>22242.215528326382</v>
      </c>
      <c r="J43" s="585">
        <f t="shared" ref="J43" si="16">ROUND(E43,1)-ROUND(I43,1)</f>
        <v>-5215.1000000000022</v>
      </c>
      <c r="K43" s="792"/>
      <c r="L43" s="792"/>
      <c r="M43" s="1088"/>
    </row>
    <row r="44" spans="1:13" s="323" customFormat="1" ht="21.3" customHeight="1">
      <c r="A44" s="279"/>
      <c r="B44" s="346"/>
      <c r="C44" s="346"/>
      <c r="D44" s="346"/>
      <c r="E44" s="346"/>
      <c r="F44" s="346"/>
      <c r="G44" s="346"/>
      <c r="H44" s="346"/>
      <c r="I44" s="347"/>
      <c r="J44" s="1896"/>
    </row>
    <row r="45" spans="1:13" ht="13.8">
      <c r="A45" s="355"/>
      <c r="B45" s="321"/>
      <c r="C45" s="321"/>
      <c r="D45" s="321"/>
      <c r="E45" s="321"/>
      <c r="F45" s="321"/>
      <c r="G45" s="321"/>
      <c r="J45" s="1897"/>
    </row>
    <row r="46" spans="1:13">
      <c r="G46" s="1898"/>
    </row>
    <row r="47" spans="1:13">
      <c r="A47" s="349" t="s">
        <v>816</v>
      </c>
      <c r="B47" s="1401"/>
      <c r="C47" s="1401"/>
      <c r="D47" s="1401"/>
      <c r="E47" s="1401"/>
      <c r="F47" s="1401"/>
      <c r="G47" s="1401"/>
      <c r="H47" s="1401"/>
      <c r="I47" s="1401"/>
      <c r="J47" s="1401"/>
    </row>
    <row r="48" spans="1:13">
      <c r="C48" s="1822"/>
      <c r="D48" s="1822"/>
      <c r="E48" s="1822"/>
      <c r="F48" s="1822"/>
      <c r="G48" s="1822"/>
      <c r="H48" s="1822"/>
      <c r="I48" s="1822"/>
      <c r="J48" s="1822"/>
    </row>
    <row r="49" spans="1:10">
      <c r="C49" s="1822"/>
      <c r="D49" s="1822"/>
      <c r="E49" s="1822"/>
      <c r="F49" s="1822"/>
      <c r="G49" s="1822"/>
      <c r="H49" s="1822"/>
      <c r="I49" s="1822"/>
      <c r="J49" s="1822"/>
    </row>
    <row r="51" spans="1:10">
      <c r="C51" s="1401"/>
    </row>
    <row r="53" spans="1:10">
      <c r="A53" s="350"/>
    </row>
    <row r="54" spans="1:10">
      <c r="C54" s="351"/>
    </row>
  </sheetData>
  <phoneticPr fontId="0" type="noConversion"/>
  <printOptions horizontalCentered="1" verticalCentered="1"/>
  <pageMargins left="0" right="0" top="0" bottom="0" header="0.511811023622047" footer="0.511811023622047"/>
  <pageSetup paperSize="9" scale="8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3"/>
  <dimension ref="A1:I56"/>
  <sheetViews>
    <sheetView showGridLines="0" topLeftCell="A42" zoomScale="70" zoomScaleNormal="70" workbookViewId="0">
      <selection activeCell="A2" sqref="A2:H2"/>
    </sheetView>
  </sheetViews>
  <sheetFormatPr defaultColWidth="12.44140625" defaultRowHeight="15"/>
  <cols>
    <col min="1" max="1" width="34.44140625" style="2021" customWidth="1"/>
    <col min="2" max="2" width="18.21875" style="2039" customWidth="1"/>
    <col min="3" max="3" width="17.44140625" style="2039" customWidth="1"/>
    <col min="4" max="4" width="62.44140625" style="2040" customWidth="1"/>
    <col min="5" max="5" width="16.21875" style="2002" bestFit="1" customWidth="1"/>
    <col min="6" max="7" width="12.44140625" style="2002"/>
    <col min="8" max="8" width="25.21875" style="2002" customWidth="1"/>
    <col min="9" max="16384" width="12.44140625" style="2002"/>
  </cols>
  <sheetData>
    <row r="1" spans="1:8" ht="17.399999999999999">
      <c r="A1" s="2001" t="s">
        <v>117</v>
      </c>
      <c r="B1" s="2001"/>
      <c r="C1" s="2001"/>
      <c r="D1" s="2001"/>
      <c r="E1" s="2001"/>
      <c r="F1" s="2001"/>
      <c r="G1" s="2001"/>
      <c r="H1" s="2001"/>
    </row>
    <row r="2" spans="1:8" ht="24" customHeight="1">
      <c r="A2" s="2003" t="s">
        <v>118</v>
      </c>
      <c r="B2" s="2004"/>
      <c r="C2" s="2004"/>
      <c r="D2" s="2004"/>
      <c r="E2" s="2004"/>
      <c r="F2" s="2004"/>
      <c r="G2" s="2004"/>
      <c r="H2" s="2005"/>
    </row>
    <row r="3" spans="1:8" ht="27" customHeight="1">
      <c r="A3" s="2006" t="s">
        <v>119</v>
      </c>
      <c r="B3" s="2006"/>
      <c r="C3" s="2006"/>
      <c r="D3" s="2006"/>
      <c r="E3" s="2006"/>
      <c r="F3" s="2006"/>
      <c r="G3" s="2006"/>
      <c r="H3" s="2006"/>
    </row>
    <row r="4" spans="1:8" ht="42" customHeight="1">
      <c r="A4" s="2007" t="s">
        <v>120</v>
      </c>
      <c r="B4" s="1228" t="s">
        <v>121</v>
      </c>
      <c r="C4" s="1228"/>
      <c r="D4" s="1228"/>
      <c r="E4" s="1228"/>
      <c r="F4" s="1228"/>
      <c r="G4" s="1228"/>
      <c r="H4" s="1228"/>
    </row>
    <row r="5" spans="1:8" ht="45" customHeight="1">
      <c r="A5" s="2008" t="s">
        <v>122</v>
      </c>
      <c r="B5" s="1228" t="s">
        <v>123</v>
      </c>
      <c r="C5" s="1228"/>
      <c r="D5" s="1228"/>
      <c r="E5" s="1228"/>
      <c r="F5" s="1228"/>
      <c r="G5" s="1228"/>
      <c r="H5" s="1228"/>
    </row>
    <row r="6" spans="1:8" ht="33" customHeight="1">
      <c r="A6" s="2007" t="s">
        <v>124</v>
      </c>
      <c r="B6" s="1228" t="s">
        <v>125</v>
      </c>
      <c r="C6" s="1228"/>
      <c r="D6" s="1228"/>
      <c r="E6" s="1228"/>
      <c r="F6" s="1228"/>
      <c r="G6" s="1228"/>
      <c r="H6" s="1228"/>
    </row>
    <row r="7" spans="1:8" ht="42.75" customHeight="1">
      <c r="A7" s="2007" t="s">
        <v>126</v>
      </c>
      <c r="B7" s="1228" t="s">
        <v>127</v>
      </c>
      <c r="C7" s="1228"/>
      <c r="D7" s="1228"/>
      <c r="E7" s="1228"/>
      <c r="F7" s="1228"/>
      <c r="G7" s="1228"/>
      <c r="H7" s="1228"/>
    </row>
    <row r="8" spans="1:8" ht="58.35" customHeight="1">
      <c r="A8" s="2007" t="s">
        <v>128</v>
      </c>
      <c r="B8" s="2009" t="s">
        <v>129</v>
      </c>
      <c r="C8" s="2010"/>
      <c r="D8" s="2010"/>
      <c r="E8" s="2010"/>
      <c r="F8" s="2010"/>
      <c r="G8" s="2010"/>
      <c r="H8" s="2011"/>
    </row>
    <row r="9" spans="1:8" ht="21.75" customHeight="1">
      <c r="A9" s="2007" t="s">
        <v>130</v>
      </c>
      <c r="B9" s="1228" t="s">
        <v>131</v>
      </c>
      <c r="C9" s="1228"/>
      <c r="D9" s="1228"/>
      <c r="E9" s="1228"/>
      <c r="F9" s="1228"/>
      <c r="G9" s="1228"/>
      <c r="H9" s="1228"/>
    </row>
    <row r="10" spans="1:8" ht="165" customHeight="1">
      <c r="A10" s="2007" t="s">
        <v>132</v>
      </c>
      <c r="B10" s="2009" t="s">
        <v>133</v>
      </c>
      <c r="C10" s="2010"/>
      <c r="D10" s="2010"/>
      <c r="E10" s="2010"/>
      <c r="F10" s="2010"/>
      <c r="G10" s="2010"/>
      <c r="H10" s="2011"/>
    </row>
    <row r="11" spans="1:8" ht="51.75" customHeight="1">
      <c r="A11" s="2007" t="s">
        <v>134</v>
      </c>
      <c r="B11" s="1228" t="s">
        <v>135</v>
      </c>
      <c r="C11" s="1228"/>
      <c r="D11" s="1228"/>
      <c r="E11" s="1228"/>
      <c r="F11" s="1228"/>
      <c r="G11" s="1228"/>
      <c r="H11" s="1228"/>
    </row>
    <row r="12" spans="1:8" ht="27.6" customHeight="1">
      <c r="A12" s="2007" t="s">
        <v>136</v>
      </c>
      <c r="B12" s="1228" t="s">
        <v>137</v>
      </c>
      <c r="C12" s="1228"/>
      <c r="D12" s="1228"/>
      <c r="E12" s="1228"/>
      <c r="F12" s="1228"/>
      <c r="G12" s="1228"/>
      <c r="H12" s="1228"/>
    </row>
    <row r="13" spans="1:8" ht="34.5" customHeight="1">
      <c r="A13" s="2012" t="s">
        <v>138</v>
      </c>
      <c r="B13" s="2012"/>
      <c r="C13" s="2012"/>
      <c r="D13" s="2012"/>
      <c r="E13" s="2012"/>
      <c r="F13" s="2012"/>
      <c r="G13" s="2012"/>
      <c r="H13" s="2012"/>
    </row>
    <row r="14" spans="1:8" ht="24.75" customHeight="1">
      <c r="A14" s="2013" t="s">
        <v>139</v>
      </c>
      <c r="B14" s="2013"/>
      <c r="C14" s="2013"/>
      <c r="D14" s="2013"/>
      <c r="E14" s="2013"/>
      <c r="F14" s="2013"/>
      <c r="G14" s="2013"/>
      <c r="H14" s="2013"/>
    </row>
    <row r="15" spans="1:8" ht="20.55" customHeight="1">
      <c r="A15" s="2014" t="s">
        <v>140</v>
      </c>
      <c r="B15" s="2015" t="s">
        <v>141</v>
      </c>
      <c r="C15" s="2015"/>
      <c r="D15" s="2015"/>
      <c r="E15" s="2014" t="s">
        <v>142</v>
      </c>
      <c r="F15" s="2014" t="s">
        <v>143</v>
      </c>
      <c r="G15" s="2014" t="s">
        <v>6</v>
      </c>
      <c r="H15" s="2014" t="s">
        <v>144</v>
      </c>
    </row>
    <row r="16" spans="1:8" ht="130.5" customHeight="1">
      <c r="A16" s="2016" t="s">
        <v>8</v>
      </c>
      <c r="B16" s="2017" t="s">
        <v>145</v>
      </c>
      <c r="C16" s="2017"/>
      <c r="D16" s="2017"/>
      <c r="E16" s="2018" t="s">
        <v>146</v>
      </c>
      <c r="F16" s="2018">
        <v>3</v>
      </c>
      <c r="G16" s="2018" t="s">
        <v>147</v>
      </c>
      <c r="H16" s="2018" t="s">
        <v>148</v>
      </c>
    </row>
    <row r="17" spans="1:9" ht="57.75" customHeight="1">
      <c r="A17" s="2016" t="s">
        <v>10</v>
      </c>
      <c r="B17" s="2019" t="s">
        <v>149</v>
      </c>
      <c r="C17" s="2019"/>
      <c r="D17" s="2019"/>
      <c r="E17" s="2018" t="s">
        <v>146</v>
      </c>
      <c r="F17" s="2018">
        <v>4</v>
      </c>
      <c r="G17" s="2018" t="s">
        <v>147</v>
      </c>
      <c r="H17" s="2018" t="s">
        <v>148</v>
      </c>
    </row>
    <row r="18" spans="1:9" ht="44.25" customHeight="1">
      <c r="A18" s="2016" t="s">
        <v>150</v>
      </c>
      <c r="B18" s="2019" t="s">
        <v>151</v>
      </c>
      <c r="C18" s="2019"/>
      <c r="D18" s="2019"/>
      <c r="E18" s="2018" t="s">
        <v>146</v>
      </c>
      <c r="F18" s="2020" t="s">
        <v>152</v>
      </c>
      <c r="G18" s="2018" t="s">
        <v>153</v>
      </c>
      <c r="H18" s="2018" t="s">
        <v>154</v>
      </c>
      <c r="I18" s="2021"/>
    </row>
    <row r="19" spans="1:9" ht="44.25" customHeight="1">
      <c r="A19" s="2016" t="s">
        <v>155</v>
      </c>
      <c r="B19" s="2019" t="s">
        <v>156</v>
      </c>
      <c r="C19" s="2019"/>
      <c r="D19" s="2019"/>
      <c r="E19" s="2018" t="s">
        <v>146</v>
      </c>
      <c r="F19" s="2020" t="s">
        <v>157</v>
      </c>
      <c r="G19" s="2018" t="s">
        <v>153</v>
      </c>
      <c r="H19" s="2018" t="s">
        <v>154</v>
      </c>
      <c r="I19" s="2021"/>
    </row>
    <row r="20" spans="1:9" ht="111.6" customHeight="1">
      <c r="A20" s="2016" t="s">
        <v>26</v>
      </c>
      <c r="B20" s="2019" t="s">
        <v>158</v>
      </c>
      <c r="C20" s="2019"/>
      <c r="D20" s="2019"/>
      <c r="E20" s="2018" t="s">
        <v>146</v>
      </c>
      <c r="F20" s="2020" t="s">
        <v>159</v>
      </c>
      <c r="G20" s="2018" t="s">
        <v>147</v>
      </c>
      <c r="H20" s="2018" t="s">
        <v>148</v>
      </c>
    </row>
    <row r="21" spans="1:9" ht="25.5" customHeight="1">
      <c r="A21" s="2013" t="s">
        <v>0</v>
      </c>
      <c r="B21" s="2013"/>
      <c r="C21" s="2013"/>
      <c r="D21" s="2013"/>
      <c r="E21" s="2013"/>
      <c r="F21" s="2013"/>
      <c r="G21" s="2013"/>
      <c r="H21" s="2013"/>
    </row>
    <row r="22" spans="1:9" ht="20.55" customHeight="1">
      <c r="A22" s="2014" t="s">
        <v>140</v>
      </c>
      <c r="B22" s="2015" t="s">
        <v>141</v>
      </c>
      <c r="C22" s="2015"/>
      <c r="D22" s="2015"/>
      <c r="E22" s="2014" t="s">
        <v>142</v>
      </c>
      <c r="F22" s="2014" t="s">
        <v>143</v>
      </c>
      <c r="G22" s="2014" t="s">
        <v>6</v>
      </c>
      <c r="H22" s="2014" t="s">
        <v>144</v>
      </c>
    </row>
    <row r="23" spans="1:9" ht="127.5" customHeight="1">
      <c r="A23" s="1225" t="s">
        <v>160</v>
      </c>
      <c r="B23" s="1229" t="s">
        <v>161</v>
      </c>
      <c r="C23" s="1229"/>
      <c r="D23" s="1229"/>
      <c r="E23" s="2018" t="s">
        <v>146</v>
      </c>
      <c r="F23" s="2022">
        <v>1</v>
      </c>
      <c r="G23" s="2018" t="s">
        <v>147</v>
      </c>
      <c r="H23" s="2018" t="s">
        <v>148</v>
      </c>
    </row>
    <row r="24" spans="1:9" ht="101.25" customHeight="1">
      <c r="A24" s="2016" t="s">
        <v>162</v>
      </c>
      <c r="B24" s="2019" t="s">
        <v>163</v>
      </c>
      <c r="C24" s="2019"/>
      <c r="D24" s="2019"/>
      <c r="E24" s="2018" t="s">
        <v>146</v>
      </c>
      <c r="F24" s="2018">
        <v>13</v>
      </c>
      <c r="G24" s="2018" t="s">
        <v>164</v>
      </c>
      <c r="H24" s="2018" t="s">
        <v>148</v>
      </c>
    </row>
    <row r="25" spans="1:9" ht="103.5" customHeight="1">
      <c r="A25" s="2016" t="s">
        <v>165</v>
      </c>
      <c r="B25" s="2017" t="s">
        <v>166</v>
      </c>
      <c r="C25" s="2017"/>
      <c r="D25" s="2017"/>
      <c r="E25" s="2018" t="s">
        <v>146</v>
      </c>
      <c r="F25" s="2020" t="s">
        <v>167</v>
      </c>
      <c r="G25" s="2018" t="s">
        <v>147</v>
      </c>
      <c r="H25" s="2018" t="s">
        <v>148</v>
      </c>
    </row>
    <row r="26" spans="1:9" ht="60.6" customHeight="1">
      <c r="A26" s="2016" t="s">
        <v>168</v>
      </c>
      <c r="B26" s="2017" t="s">
        <v>169</v>
      </c>
      <c r="C26" s="2017"/>
      <c r="D26" s="2017"/>
      <c r="E26" s="2018" t="s">
        <v>146</v>
      </c>
      <c r="F26" s="2020" t="s">
        <v>170</v>
      </c>
      <c r="G26" s="2018" t="s">
        <v>164</v>
      </c>
      <c r="H26" s="2018" t="s">
        <v>148</v>
      </c>
    </row>
    <row r="27" spans="1:9" ht="90.75" customHeight="1">
      <c r="A27" s="2016" t="s">
        <v>171</v>
      </c>
      <c r="B27" s="2017" t="s">
        <v>172</v>
      </c>
      <c r="C27" s="2017"/>
      <c r="D27" s="2017"/>
      <c r="E27" s="2018" t="s">
        <v>146</v>
      </c>
      <c r="F27" s="2020" t="s">
        <v>173</v>
      </c>
      <c r="G27" s="2018" t="s">
        <v>164</v>
      </c>
      <c r="H27" s="2018" t="s">
        <v>148</v>
      </c>
    </row>
    <row r="28" spans="1:9" ht="61.5" customHeight="1">
      <c r="A28" s="2016" t="s">
        <v>73</v>
      </c>
      <c r="B28" s="2017" t="s">
        <v>174</v>
      </c>
      <c r="C28" s="2017"/>
      <c r="D28" s="2017"/>
      <c r="E28" s="2018" t="s">
        <v>175</v>
      </c>
      <c r="F28" s="2020" t="s">
        <v>176</v>
      </c>
      <c r="G28" s="2018" t="s">
        <v>147</v>
      </c>
      <c r="H28" s="2018" t="s">
        <v>148</v>
      </c>
    </row>
    <row r="29" spans="1:9" ht="57" customHeight="1">
      <c r="A29" s="2016" t="s">
        <v>177</v>
      </c>
      <c r="B29" s="2017" t="s">
        <v>178</v>
      </c>
      <c r="C29" s="2017"/>
      <c r="D29" s="2017"/>
      <c r="E29" s="2018" t="s">
        <v>175</v>
      </c>
      <c r="F29" s="2020" t="s">
        <v>179</v>
      </c>
      <c r="G29" s="2018" t="s">
        <v>147</v>
      </c>
      <c r="H29" s="2018" t="s">
        <v>180</v>
      </c>
    </row>
    <row r="30" spans="1:9" ht="141" customHeight="1">
      <c r="A30" s="2016" t="s">
        <v>77</v>
      </c>
      <c r="B30" s="2019" t="s">
        <v>181</v>
      </c>
      <c r="C30" s="2019"/>
      <c r="D30" s="2019"/>
      <c r="E30" s="2018" t="s">
        <v>146</v>
      </c>
      <c r="F30" s="2020" t="s">
        <v>182</v>
      </c>
      <c r="G30" s="2018" t="s">
        <v>147</v>
      </c>
      <c r="H30" s="2018" t="s">
        <v>148</v>
      </c>
    </row>
    <row r="31" spans="1:9" ht="73.5" customHeight="1">
      <c r="A31" s="2016" t="s">
        <v>81</v>
      </c>
      <c r="B31" s="2019" t="s">
        <v>183</v>
      </c>
      <c r="C31" s="2019"/>
      <c r="D31" s="2019"/>
      <c r="E31" s="2018" t="s">
        <v>146</v>
      </c>
      <c r="F31" s="2023" t="s">
        <v>184</v>
      </c>
      <c r="G31" s="2018" t="s">
        <v>147</v>
      </c>
      <c r="H31" s="2018" t="s">
        <v>148</v>
      </c>
    </row>
    <row r="32" spans="1:9" ht="28.5" customHeight="1">
      <c r="A32" s="2013" t="s">
        <v>185</v>
      </c>
      <c r="B32" s="2013"/>
      <c r="C32" s="2013"/>
      <c r="D32" s="2013"/>
      <c r="E32" s="2013"/>
      <c r="F32" s="2013"/>
      <c r="G32" s="2013"/>
      <c r="H32" s="2013"/>
    </row>
    <row r="33" spans="1:8" ht="20.55" customHeight="1">
      <c r="A33" s="2014" t="s">
        <v>140</v>
      </c>
      <c r="B33" s="2015" t="s">
        <v>141</v>
      </c>
      <c r="C33" s="2015"/>
      <c r="D33" s="2015"/>
      <c r="E33" s="2014" t="s">
        <v>142</v>
      </c>
      <c r="F33" s="2014" t="s">
        <v>143</v>
      </c>
      <c r="G33" s="2014" t="s">
        <v>6</v>
      </c>
      <c r="H33" s="2014" t="s">
        <v>144</v>
      </c>
    </row>
    <row r="34" spans="1:8" ht="43.5" customHeight="1">
      <c r="A34" s="2024" t="s">
        <v>97</v>
      </c>
      <c r="B34" s="2025" t="s">
        <v>186</v>
      </c>
      <c r="C34" s="2026"/>
      <c r="D34" s="2027"/>
      <c r="E34" s="2023" t="s">
        <v>175</v>
      </c>
      <c r="F34" s="2028" t="s">
        <v>187</v>
      </c>
      <c r="G34" s="2023" t="s">
        <v>153</v>
      </c>
      <c r="H34" s="2029" t="s">
        <v>188</v>
      </c>
    </row>
    <row r="35" spans="1:8" ht="319.5" customHeight="1">
      <c r="A35" s="2016" t="s">
        <v>99</v>
      </c>
      <c r="B35" s="2030" t="s">
        <v>1787</v>
      </c>
      <c r="C35" s="2031"/>
      <c r="D35" s="2031"/>
      <c r="E35" s="2018" t="s">
        <v>175</v>
      </c>
      <c r="F35" s="2023">
        <v>52</v>
      </c>
      <c r="G35" s="2018" t="s">
        <v>147</v>
      </c>
      <c r="H35" s="2018" t="s">
        <v>148</v>
      </c>
    </row>
    <row r="36" spans="1:8" ht="41.25" customHeight="1">
      <c r="A36" s="2016" t="s">
        <v>101</v>
      </c>
      <c r="B36" s="2017" t="s">
        <v>189</v>
      </c>
      <c r="C36" s="2017"/>
      <c r="D36" s="2017"/>
      <c r="E36" s="2018" t="s">
        <v>175</v>
      </c>
      <c r="F36" s="2020" t="s">
        <v>190</v>
      </c>
      <c r="G36" s="2018" t="s">
        <v>147</v>
      </c>
      <c r="H36" s="2018" t="s">
        <v>148</v>
      </c>
    </row>
    <row r="37" spans="1:8" ht="41.25" customHeight="1">
      <c r="A37" s="2016" t="s">
        <v>103</v>
      </c>
      <c r="B37" s="2017" t="s">
        <v>191</v>
      </c>
      <c r="C37" s="2017"/>
      <c r="D37" s="2017"/>
      <c r="E37" s="2018" t="s">
        <v>146</v>
      </c>
      <c r="F37" s="2020" t="s">
        <v>192</v>
      </c>
      <c r="G37" s="2018" t="s">
        <v>147</v>
      </c>
      <c r="H37" s="2018" t="s">
        <v>148</v>
      </c>
    </row>
    <row r="38" spans="1:8" ht="105" customHeight="1">
      <c r="A38" s="2016" t="s">
        <v>193</v>
      </c>
      <c r="B38" s="2017" t="s">
        <v>194</v>
      </c>
      <c r="C38" s="2017"/>
      <c r="D38" s="2017"/>
      <c r="E38" s="2022" t="s">
        <v>195</v>
      </c>
      <c r="F38" s="2020" t="s">
        <v>196</v>
      </c>
      <c r="G38" s="2018" t="s">
        <v>147</v>
      </c>
      <c r="H38" s="2018" t="s">
        <v>180</v>
      </c>
    </row>
    <row r="39" spans="1:8" ht="48.75" customHeight="1">
      <c r="A39" s="2016" t="s">
        <v>197</v>
      </c>
      <c r="B39" s="2017" t="s">
        <v>198</v>
      </c>
      <c r="C39" s="2017"/>
      <c r="D39" s="2017"/>
      <c r="E39" s="2018" t="s">
        <v>175</v>
      </c>
      <c r="F39" s="2018">
        <v>59</v>
      </c>
      <c r="G39" s="2018" t="s">
        <v>164</v>
      </c>
      <c r="H39" s="2018" t="s">
        <v>180</v>
      </c>
    </row>
    <row r="40" spans="1:8" ht="27.75" customHeight="1">
      <c r="A40" s="2032" t="s">
        <v>199</v>
      </c>
      <c r="B40" s="2032"/>
      <c r="C40" s="2032"/>
      <c r="D40" s="2032"/>
      <c r="E40" s="2032"/>
      <c r="F40" s="2032"/>
      <c r="G40" s="2032"/>
      <c r="H40" s="2032"/>
    </row>
    <row r="41" spans="1:8" ht="208.35" customHeight="1">
      <c r="A41" s="1225" t="s">
        <v>66</v>
      </c>
      <c r="B41" s="1229" t="s">
        <v>200</v>
      </c>
      <c r="C41" s="1229"/>
      <c r="D41" s="1229"/>
      <c r="E41" s="2022" t="s">
        <v>175</v>
      </c>
      <c r="F41" s="2022" t="s">
        <v>201</v>
      </c>
      <c r="G41" s="2022" t="s">
        <v>153</v>
      </c>
      <c r="H41" s="2022" t="s">
        <v>202</v>
      </c>
    </row>
    <row r="42" spans="1:8" ht="24.6" customHeight="1">
      <c r="A42" s="2006" t="s">
        <v>203</v>
      </c>
      <c r="B42" s="2006"/>
      <c r="C42" s="2006"/>
      <c r="D42" s="2006"/>
      <c r="E42" s="2006"/>
      <c r="F42" s="2006"/>
      <c r="G42" s="2006"/>
      <c r="H42" s="2006"/>
    </row>
    <row r="43" spans="1:8" ht="31.5" customHeight="1">
      <c r="A43" s="2033" t="s">
        <v>142</v>
      </c>
      <c r="B43" s="1228" t="s">
        <v>204</v>
      </c>
      <c r="C43" s="1228"/>
      <c r="D43" s="1228"/>
      <c r="E43" s="1228"/>
      <c r="F43" s="1228"/>
      <c r="G43" s="1228"/>
      <c r="H43" s="1228"/>
    </row>
    <row r="44" spans="1:8" ht="28.5" customHeight="1">
      <c r="A44" s="2034"/>
      <c r="B44" s="1228" t="s">
        <v>205</v>
      </c>
      <c r="C44" s="1228"/>
      <c r="D44" s="1228"/>
      <c r="E44" s="1228"/>
      <c r="F44" s="1228"/>
      <c r="G44" s="1228"/>
      <c r="H44" s="1228"/>
    </row>
    <row r="45" spans="1:8" ht="18" customHeight="1">
      <c r="A45" s="2033" t="s">
        <v>206</v>
      </c>
      <c r="B45" s="1228" t="s">
        <v>207</v>
      </c>
      <c r="C45" s="1228"/>
      <c r="D45" s="1228"/>
      <c r="E45" s="1228"/>
      <c r="F45" s="1228"/>
      <c r="G45" s="1228"/>
      <c r="H45" s="1228"/>
    </row>
    <row r="46" spans="1:8" ht="18" customHeight="1">
      <c r="A46" s="2034"/>
      <c r="B46" s="1228" t="s">
        <v>208</v>
      </c>
      <c r="C46" s="1228"/>
      <c r="D46" s="1228"/>
      <c r="E46" s="1228"/>
      <c r="F46" s="1228"/>
      <c r="G46" s="1228"/>
      <c r="H46" s="1228"/>
    </row>
    <row r="47" spans="1:8" ht="18" customHeight="1">
      <c r="A47" s="2035" t="s">
        <v>209</v>
      </c>
      <c r="B47" s="1228" t="s">
        <v>210</v>
      </c>
      <c r="C47" s="1228"/>
      <c r="D47" s="1228"/>
      <c r="E47" s="1228"/>
      <c r="F47" s="1228"/>
      <c r="G47" s="1228"/>
      <c r="H47" s="1228"/>
    </row>
    <row r="48" spans="1:8" ht="76.5" customHeight="1">
      <c r="A48" s="2007" t="s">
        <v>211</v>
      </c>
      <c r="B48" s="1228" t="s">
        <v>212</v>
      </c>
      <c r="C48" s="1228"/>
      <c r="D48" s="1228"/>
      <c r="E48" s="1228"/>
      <c r="F48" s="1228"/>
      <c r="G48" s="1228"/>
      <c r="H48" s="1228"/>
    </row>
    <row r="49" spans="1:8" ht="28.5" customHeight="1">
      <c r="A49" s="2006" t="s">
        <v>213</v>
      </c>
      <c r="B49" s="2006"/>
      <c r="C49" s="2006"/>
      <c r="D49" s="2006"/>
      <c r="E49" s="2006"/>
      <c r="F49" s="2006"/>
      <c r="G49" s="2006"/>
      <c r="H49" s="2006"/>
    </row>
    <row r="50" spans="1:8" ht="101.25" customHeight="1">
      <c r="A50" s="2008" t="s">
        <v>214</v>
      </c>
      <c r="B50" s="1228" t="s">
        <v>215</v>
      </c>
      <c r="C50" s="1228"/>
      <c r="D50" s="1228"/>
      <c r="E50" s="1228"/>
      <c r="F50" s="1228"/>
      <c r="G50" s="1228"/>
      <c r="H50" s="1228"/>
    </row>
    <row r="51" spans="1:8" ht="50.55" customHeight="1">
      <c r="A51" s="2008" t="s">
        <v>216</v>
      </c>
      <c r="B51" s="1228" t="s">
        <v>217</v>
      </c>
      <c r="C51" s="1228"/>
      <c r="D51" s="1228"/>
      <c r="E51" s="1228"/>
      <c r="F51" s="1228"/>
      <c r="G51" s="1228"/>
      <c r="H51" s="1228"/>
    </row>
    <row r="52" spans="1:8" ht="44.1" customHeight="1">
      <c r="A52" s="2008" t="s">
        <v>218</v>
      </c>
      <c r="B52" s="1228" t="s">
        <v>219</v>
      </c>
      <c r="C52" s="1228"/>
      <c r="D52" s="1228"/>
      <c r="E52" s="1228"/>
      <c r="F52" s="1228"/>
      <c r="G52" s="1228"/>
      <c r="H52" s="1228"/>
    </row>
    <row r="53" spans="1:8" ht="42.6" customHeight="1">
      <c r="A53" s="2007" t="s">
        <v>220</v>
      </c>
      <c r="B53" s="1228" t="s">
        <v>221</v>
      </c>
      <c r="C53" s="1228"/>
      <c r="D53" s="1228"/>
      <c r="E53" s="1228"/>
      <c r="F53" s="1228"/>
      <c r="G53" s="1228"/>
      <c r="H53" s="1228"/>
    </row>
    <row r="54" spans="1:8" ht="54.6" customHeight="1">
      <c r="A54" s="2008" t="s">
        <v>222</v>
      </c>
      <c r="B54" s="1228" t="s">
        <v>223</v>
      </c>
      <c r="C54" s="1228"/>
      <c r="D54" s="1228"/>
      <c r="E54" s="1228"/>
      <c r="F54" s="1228"/>
      <c r="G54" s="1228"/>
      <c r="H54" s="1228"/>
    </row>
    <row r="55" spans="1:8" ht="41.55" customHeight="1">
      <c r="A55" s="2036" t="s">
        <v>224</v>
      </c>
      <c r="B55" s="2037" t="s">
        <v>225</v>
      </c>
      <c r="C55" s="2037"/>
      <c r="D55" s="2037"/>
      <c r="E55" s="2037"/>
      <c r="F55" s="2037"/>
      <c r="G55" s="2037"/>
      <c r="H55" s="2037"/>
    </row>
    <row r="56" spans="1:8" ht="15.75" customHeight="1">
      <c r="A56" s="2036" t="s">
        <v>226</v>
      </c>
      <c r="B56" s="2038" t="s">
        <v>227</v>
      </c>
      <c r="C56" s="2038"/>
      <c r="D56" s="2038"/>
      <c r="E56" s="2038"/>
      <c r="F56" s="2038"/>
      <c r="G56" s="2038"/>
      <c r="H56" s="2038"/>
    </row>
  </sheetData>
  <mergeCells count="58">
    <mergeCell ref="B6:H6"/>
    <mergeCell ref="A1:H1"/>
    <mergeCell ref="A2:H2"/>
    <mergeCell ref="A3:H3"/>
    <mergeCell ref="B4:H4"/>
    <mergeCell ref="B5:H5"/>
    <mergeCell ref="B19:D19"/>
    <mergeCell ref="B7:H7"/>
    <mergeCell ref="B8:H8"/>
    <mergeCell ref="B9:H9"/>
    <mergeCell ref="B10:H10"/>
    <mergeCell ref="B11:H11"/>
    <mergeCell ref="B12:H12"/>
    <mergeCell ref="A13:H13"/>
    <mergeCell ref="B15:D15"/>
    <mergeCell ref="A14:H14"/>
    <mergeCell ref="B16:D16"/>
    <mergeCell ref="B17:D17"/>
    <mergeCell ref="B18:D18"/>
    <mergeCell ref="B34:D34"/>
    <mergeCell ref="B36:D36"/>
    <mergeCell ref="A32:H32"/>
    <mergeCell ref="B20:D20"/>
    <mergeCell ref="A21:H21"/>
    <mergeCell ref="B23:D23"/>
    <mergeCell ref="B24:D24"/>
    <mergeCell ref="B25:D25"/>
    <mergeCell ref="B26:D26"/>
    <mergeCell ref="B27:D27"/>
    <mergeCell ref="B28:D28"/>
    <mergeCell ref="B29:D29"/>
    <mergeCell ref="B30:D30"/>
    <mergeCell ref="B31:D31"/>
    <mergeCell ref="B44:H44"/>
    <mergeCell ref="A45:A46"/>
    <mergeCell ref="B45:H45"/>
    <mergeCell ref="B46:H46"/>
    <mergeCell ref="B35:D35"/>
    <mergeCell ref="B37:D37"/>
    <mergeCell ref="B38:D38"/>
    <mergeCell ref="B39:D39"/>
    <mergeCell ref="A40:H40"/>
    <mergeCell ref="B53:H53"/>
    <mergeCell ref="B54:H54"/>
    <mergeCell ref="B55:H55"/>
    <mergeCell ref="B56:H56"/>
    <mergeCell ref="B22:D22"/>
    <mergeCell ref="B33:D33"/>
    <mergeCell ref="B47:H47"/>
    <mergeCell ref="B48:H48"/>
    <mergeCell ref="A49:H49"/>
    <mergeCell ref="B50:H50"/>
    <mergeCell ref="B51:H51"/>
    <mergeCell ref="B52:H52"/>
    <mergeCell ref="B41:D41"/>
    <mergeCell ref="A42:H42"/>
    <mergeCell ref="A43:A44"/>
    <mergeCell ref="B43:H43"/>
  </mergeCells>
  <printOptions horizontalCentered="1"/>
  <pageMargins left="0.7" right="0.7" top="0.25" bottom="0.25" header="0.3" footer="0.3"/>
  <pageSetup scale="56" fitToHeight="7" orientation="landscape" horizontalDpi="300" verticalDpi="300" r:id="rId1"/>
  <rowBreaks count="3" manualBreakCount="3">
    <brk id="20" max="16383" man="1"/>
    <brk id="31" max="16383" man="1"/>
    <brk id="4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pageSetUpPr fitToPage="1"/>
  </sheetPr>
  <dimension ref="A1:P51"/>
  <sheetViews>
    <sheetView zoomScale="80" zoomScaleNormal="80" workbookViewId="0">
      <pane ySplit="12" topLeftCell="A35" activePane="bottomLeft" state="frozen"/>
      <selection activeCell="B2" sqref="B2"/>
      <selection pane="bottomLeft" activeCell="F39" sqref="F39"/>
    </sheetView>
  </sheetViews>
  <sheetFormatPr defaultColWidth="8.77734375" defaultRowHeight="13.2"/>
  <cols>
    <col min="1" max="2" width="9.21875" style="1413" customWidth="1"/>
    <col min="3" max="6" width="12.77734375" style="1413" customWidth="1"/>
    <col min="7" max="7" width="12.44140625" style="1413" customWidth="1"/>
    <col min="8" max="11" width="12.77734375" style="1413" customWidth="1"/>
    <col min="12" max="12" width="13.21875" style="1413" customWidth="1"/>
    <col min="13" max="14" width="12.77734375" style="1413" customWidth="1"/>
    <col min="15" max="16384" width="8.77734375" style="1413"/>
  </cols>
  <sheetData>
    <row r="1" spans="1:16" s="25" customFormat="1" ht="18" customHeight="1">
      <c r="A1" s="16" t="s">
        <v>1768</v>
      </c>
      <c r="B1" s="4"/>
      <c r="C1" s="3"/>
      <c r="D1" s="3"/>
      <c r="E1" s="3"/>
      <c r="F1" s="3"/>
      <c r="G1" s="3"/>
      <c r="H1" s="3"/>
      <c r="I1" s="3"/>
      <c r="J1" s="3"/>
      <c r="K1" s="3"/>
      <c r="L1" s="3"/>
      <c r="M1" s="3"/>
      <c r="N1" s="3"/>
    </row>
    <row r="2" spans="1:16" s="25" customFormat="1" ht="18" customHeight="1">
      <c r="A2" s="874" t="s">
        <v>766</v>
      </c>
      <c r="B2" s="4"/>
      <c r="C2" s="3"/>
      <c r="D2" s="3"/>
      <c r="E2" s="3"/>
      <c r="F2" s="3"/>
      <c r="G2" s="3"/>
      <c r="H2" s="3"/>
      <c r="I2" s="3"/>
      <c r="J2" s="3"/>
      <c r="K2" s="3"/>
      <c r="L2" s="3"/>
      <c r="M2" s="3"/>
      <c r="N2" s="3"/>
    </row>
    <row r="3" spans="1:16" s="25" customFormat="1" ht="18" customHeight="1">
      <c r="A3" s="16" t="s">
        <v>767</v>
      </c>
      <c r="B3" s="1"/>
      <c r="C3" s="1"/>
      <c r="D3" s="1"/>
      <c r="E3" s="1"/>
      <c r="F3" s="1"/>
      <c r="G3" s="1"/>
      <c r="H3" s="1"/>
      <c r="I3" s="1"/>
      <c r="J3" s="1"/>
      <c r="K3" s="1"/>
      <c r="L3" s="1"/>
      <c r="M3" s="7"/>
      <c r="N3" s="1873"/>
    </row>
    <row r="4" spans="1:16" s="25" customFormat="1" ht="18" customHeight="1">
      <c r="A4" s="874" t="s">
        <v>39</v>
      </c>
      <c r="B4" s="4"/>
      <c r="C4" s="3"/>
      <c r="D4" s="3"/>
      <c r="E4" s="3"/>
      <c r="F4" s="3"/>
      <c r="G4" s="3"/>
      <c r="H4" s="3"/>
      <c r="I4" s="3"/>
      <c r="J4" s="3"/>
      <c r="K4" s="3"/>
      <c r="L4" s="3"/>
      <c r="M4" s="3"/>
      <c r="N4" s="3"/>
    </row>
    <row r="5" spans="1:16" s="25" customFormat="1" ht="18" customHeight="1">
      <c r="A5" s="16" t="s">
        <v>38</v>
      </c>
      <c r="B5" s="4"/>
      <c r="C5" s="3"/>
      <c r="D5" s="3"/>
      <c r="E5" s="3"/>
      <c r="F5" s="3"/>
      <c r="G5" s="3"/>
      <c r="H5" s="3"/>
      <c r="I5" s="3"/>
      <c r="J5" s="3"/>
      <c r="K5" s="3"/>
      <c r="L5" s="3"/>
      <c r="M5" s="3"/>
      <c r="N5" s="3"/>
    </row>
    <row r="6" spans="1:16" ht="0.6" customHeight="1">
      <c r="A6" s="16"/>
      <c r="B6" s="4"/>
      <c r="C6" s="3"/>
      <c r="D6" s="3" t="s">
        <v>768</v>
      </c>
      <c r="E6" s="3"/>
      <c r="F6" s="3"/>
      <c r="G6" s="3"/>
      <c r="H6" s="3"/>
      <c r="I6" s="3"/>
      <c r="J6" s="3"/>
      <c r="K6" s="3"/>
      <c r="L6" s="3" t="s">
        <v>768</v>
      </c>
      <c r="M6" s="3"/>
      <c r="N6" s="3"/>
    </row>
    <row r="7" spans="1:16" s="25" customFormat="1" ht="13.8" customHeight="1">
      <c r="A7" s="8" t="s">
        <v>369</v>
      </c>
      <c r="N7" s="21" t="s">
        <v>370</v>
      </c>
    </row>
    <row r="8" spans="1:16" s="39" customFormat="1" ht="17.55" customHeight="1">
      <c r="A8" s="53"/>
      <c r="B8" s="239"/>
      <c r="C8" s="264" t="s">
        <v>492</v>
      </c>
      <c r="D8" s="40"/>
      <c r="E8" s="238"/>
      <c r="F8" s="133"/>
      <c r="G8" s="134"/>
      <c r="H8" s="135"/>
      <c r="I8" s="244"/>
      <c r="J8" s="296" t="s">
        <v>490</v>
      </c>
      <c r="K8" s="1240" t="s">
        <v>817</v>
      </c>
      <c r="L8" s="1241"/>
      <c r="M8" s="1240" t="s">
        <v>818</v>
      </c>
      <c r="N8" s="1241"/>
    </row>
    <row r="9" spans="1:16" s="39" customFormat="1" ht="17.55" customHeight="1">
      <c r="A9" s="56"/>
      <c r="C9" s="27" t="s">
        <v>431</v>
      </c>
      <c r="D9" s="100"/>
      <c r="E9" s="28" t="s">
        <v>819</v>
      </c>
      <c r="F9" s="81"/>
      <c r="G9" s="136" t="s">
        <v>390</v>
      </c>
      <c r="H9" s="137"/>
      <c r="I9" s="1883" t="s">
        <v>391</v>
      </c>
      <c r="J9" s="113"/>
      <c r="K9" s="1242"/>
      <c r="L9" s="1243"/>
      <c r="M9" s="1242"/>
      <c r="N9" s="1243"/>
    </row>
    <row r="10" spans="1:16" s="39" customFormat="1" ht="17.55" customHeight="1">
      <c r="A10" s="24" t="s">
        <v>379</v>
      </c>
      <c r="B10" s="74"/>
      <c r="C10" s="97" t="s">
        <v>405</v>
      </c>
      <c r="D10" s="60"/>
      <c r="E10" s="97" t="s">
        <v>820</v>
      </c>
      <c r="F10" s="60"/>
      <c r="G10" s="57" t="s">
        <v>772</v>
      </c>
      <c r="H10" s="98"/>
      <c r="I10" s="57" t="s">
        <v>399</v>
      </c>
      <c r="J10" s="98"/>
      <c r="K10" s="1244"/>
      <c r="L10" s="1245"/>
      <c r="M10" s="1244"/>
      <c r="N10" s="1245"/>
    </row>
    <row r="11" spans="1:16" s="39" customFormat="1" ht="17.5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39" customFormat="1" ht="17.5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793">
        <v>2241.9197084711595</v>
      </c>
      <c r="D13" s="795">
        <v>982.80852227224796</v>
      </c>
      <c r="E13" s="673">
        <v>7220.5557834359906</v>
      </c>
      <c r="F13" s="673">
        <v>1534.9834630955163</v>
      </c>
      <c r="G13" s="728">
        <v>3603.1453387712995</v>
      </c>
      <c r="H13" s="1884">
        <v>1033.0679236714145</v>
      </c>
      <c r="I13" s="728">
        <v>422.71642688375033</v>
      </c>
      <c r="J13" s="794">
        <v>309.81442793346923</v>
      </c>
      <c r="K13" s="794">
        <v>359.37773054676381</v>
      </c>
      <c r="L13" s="672">
        <v>13505.142608357241</v>
      </c>
      <c r="M13" s="659">
        <v>13847.714479513312</v>
      </c>
      <c r="N13" s="659">
        <v>17365.836945329891</v>
      </c>
      <c r="O13" s="1049"/>
      <c r="P13" s="778"/>
    </row>
    <row r="14" spans="1:16" s="408" customFormat="1" ht="14.25" customHeight="1">
      <c r="A14" s="356">
        <v>2017</v>
      </c>
      <c r="B14" s="551"/>
      <c r="C14" s="1885">
        <v>1805.3731951232771</v>
      </c>
      <c r="D14" s="1886">
        <v>1321.1626571899901</v>
      </c>
      <c r="E14" s="1869">
        <v>7406.1137585436081</v>
      </c>
      <c r="F14" s="1869">
        <v>1564.0839115697083</v>
      </c>
      <c r="G14" s="1870">
        <v>3680.8766901588542</v>
      </c>
      <c r="H14" s="1887">
        <v>1389.4876380810647</v>
      </c>
      <c r="I14" s="1870">
        <v>647.546344134317</v>
      </c>
      <c r="J14" s="1887">
        <v>210.30022560414562</v>
      </c>
      <c r="K14" s="1888">
        <v>400.25913072478875</v>
      </c>
      <c r="L14" s="1880">
        <v>12963.744519810403</v>
      </c>
      <c r="M14" s="1872">
        <v>13940.169101222122</v>
      </c>
      <c r="N14" s="1872">
        <v>17448.818952255315</v>
      </c>
      <c r="O14" s="1049"/>
      <c r="P14" s="778"/>
    </row>
    <row r="15" spans="1:16" s="321" customFormat="1" ht="14.25" customHeight="1">
      <c r="A15" s="747">
        <v>2018</v>
      </c>
      <c r="B15" s="748"/>
      <c r="C15" s="1133">
        <v>1728.9934081527347</v>
      </c>
      <c r="D15" s="1124">
        <v>1384.2007318882495</v>
      </c>
      <c r="E15" s="1125">
        <v>7880.1793050599927</v>
      </c>
      <c r="F15" s="1125">
        <v>1980.3431307119811</v>
      </c>
      <c r="G15" s="774">
        <v>3785.4850874866829</v>
      </c>
      <c r="H15" s="1134">
        <v>1266.5280800091759</v>
      </c>
      <c r="I15" s="1127">
        <v>665.44588410057418</v>
      </c>
      <c r="J15" s="1134">
        <v>248.15564364648375</v>
      </c>
      <c r="K15" s="1134">
        <v>402.74333957722922</v>
      </c>
      <c r="L15" s="1132">
        <v>13226.954740486637</v>
      </c>
      <c r="M15" s="1128">
        <v>14462.842695332831</v>
      </c>
      <c r="N15" s="1128">
        <v>18106.182326742528</v>
      </c>
      <c r="O15" s="1049"/>
      <c r="P15" s="778"/>
    </row>
    <row r="16" spans="1:16" s="321" customFormat="1" ht="14.25" customHeight="1">
      <c r="A16" s="747">
        <v>2019</v>
      </c>
      <c r="B16" s="748"/>
      <c r="C16" s="1133">
        <v>2180.6278704200699</v>
      </c>
      <c r="D16" s="1124">
        <v>1371.416890401</v>
      </c>
      <c r="E16" s="1125">
        <v>7967.2746840819391</v>
      </c>
      <c r="F16" s="1125">
        <v>1999.5105152603878</v>
      </c>
      <c r="G16" s="774">
        <v>4110.5731272226203</v>
      </c>
      <c r="H16" s="1134">
        <v>1425.9638774436141</v>
      </c>
      <c r="I16" s="1127">
        <v>657.7577115403501</v>
      </c>
      <c r="J16" s="1134">
        <v>233.4447737333669</v>
      </c>
      <c r="K16" s="1134">
        <v>408.33242946602365</v>
      </c>
      <c r="L16" s="1132">
        <v>15014.900359838257</v>
      </c>
      <c r="M16" s="1128">
        <v>15324.564850064096</v>
      </c>
      <c r="N16" s="1128">
        <v>20045.236416676627</v>
      </c>
      <c r="O16" s="1049"/>
      <c r="P16" s="778"/>
    </row>
    <row r="17" spans="1:16" s="321" customFormat="1" ht="14.25" customHeight="1">
      <c r="A17" s="747">
        <v>2020</v>
      </c>
      <c r="B17" s="748"/>
      <c r="C17" s="1133">
        <v>2086.0830684103757</v>
      </c>
      <c r="D17" s="1124">
        <v>1225.8267552026164</v>
      </c>
      <c r="E17" s="1125">
        <v>8647.3298049779605</v>
      </c>
      <c r="F17" s="1125">
        <v>1996.9894211305998</v>
      </c>
      <c r="G17" s="774">
        <v>4204.9430043860884</v>
      </c>
      <c r="H17" s="1134">
        <v>1805.7602954840879</v>
      </c>
      <c r="I17" s="1127">
        <v>643.88072840408779</v>
      </c>
      <c r="J17" s="1134">
        <v>328.87657437006823</v>
      </c>
      <c r="K17" s="1134">
        <v>314.25472310182943</v>
      </c>
      <c r="L17" s="1132">
        <v>14193.330142048115</v>
      </c>
      <c r="M17" s="1128">
        <v>15896.53070040784</v>
      </c>
      <c r="N17" s="1128">
        <v>19550.80381710799</v>
      </c>
      <c r="O17" s="1049"/>
      <c r="P17" s="778"/>
    </row>
    <row r="18" spans="1:16" s="321" customFormat="1" ht="14.25" customHeight="1">
      <c r="A18" s="747">
        <v>2021</v>
      </c>
      <c r="B18" s="748"/>
      <c r="C18" s="1133">
        <v>2581.0980337518458</v>
      </c>
      <c r="D18" s="1124">
        <v>1232.7892185193825</v>
      </c>
      <c r="E18" s="1125">
        <v>9112.3303129845972</v>
      </c>
      <c r="F18" s="1125">
        <v>1998.7970612516267</v>
      </c>
      <c r="G18" s="774">
        <v>4177.9175002049833</v>
      </c>
      <c r="H18" s="1134">
        <v>2101.5095958580255</v>
      </c>
      <c r="I18" s="1127">
        <v>672.09250113343592</v>
      </c>
      <c r="J18" s="1134">
        <v>249.66496613441313</v>
      </c>
      <c r="K18" s="1134">
        <v>235.71413871026149</v>
      </c>
      <c r="L18" s="1132">
        <v>15012.103961217619</v>
      </c>
      <c r="M18" s="1128">
        <v>16779.13972157225</v>
      </c>
      <c r="N18" s="1128">
        <v>20594.857567788935</v>
      </c>
      <c r="O18" s="1049"/>
      <c r="P18" s="778"/>
    </row>
    <row r="19" spans="1:16" s="321" customFormat="1" ht="14.25" customHeight="1">
      <c r="A19" s="747">
        <v>2022</v>
      </c>
      <c r="B19" s="748"/>
      <c r="C19" s="1133">
        <v>3778.7774098079249</v>
      </c>
      <c r="D19" s="1125">
        <v>986.09263033792263</v>
      </c>
      <c r="E19" s="1125">
        <v>9492.6956354081321</v>
      </c>
      <c r="F19" s="1125">
        <v>2012.704595707509</v>
      </c>
      <c r="G19" s="774">
        <v>4258.4236957163212</v>
      </c>
      <c r="H19" s="1134">
        <v>2160.4888362533788</v>
      </c>
      <c r="I19" s="1127">
        <v>733.30571172024702</v>
      </c>
      <c r="J19" s="1134">
        <v>459.93298391512099</v>
      </c>
      <c r="K19" s="1134">
        <v>243.26403618512978</v>
      </c>
      <c r="L19" s="1132">
        <v>14121.74016028702</v>
      </c>
      <c r="M19" s="1128">
        <v>18506.466488837756</v>
      </c>
      <c r="N19" s="1128">
        <v>19740.939206500949</v>
      </c>
      <c r="O19" s="1049"/>
      <c r="P19" s="778"/>
    </row>
    <row r="20" spans="1:16" s="321" customFormat="1" ht="14.25" customHeight="1">
      <c r="A20" s="747">
        <v>2023</v>
      </c>
      <c r="B20" s="748"/>
      <c r="C20" s="1133">
        <v>5271.9115894603692</v>
      </c>
      <c r="D20" s="1124">
        <v>999.99121646635058</v>
      </c>
      <c r="E20" s="1125">
        <v>9312.1377551914738</v>
      </c>
      <c r="F20" s="1125">
        <v>2492.7932144980614</v>
      </c>
      <c r="G20" s="774">
        <v>3724.3620432554553</v>
      </c>
      <c r="H20" s="1134">
        <v>2739.6142896728402</v>
      </c>
      <c r="I20" s="1127">
        <v>739.85087319588081</v>
      </c>
      <c r="J20" s="1134">
        <v>371.6402519642254</v>
      </c>
      <c r="K20" s="1134">
        <v>288.89795858719913</v>
      </c>
      <c r="L20" s="1132">
        <v>14319.460048120731</v>
      </c>
      <c r="M20" s="1128">
        <v>19337.160219690373</v>
      </c>
      <c r="N20" s="1128">
        <v>20923.519020722208</v>
      </c>
      <c r="O20" s="1049"/>
      <c r="P20" s="778"/>
    </row>
    <row r="21" spans="1:16" s="321" customFormat="1" ht="14.25" customHeight="1">
      <c r="A21" s="747">
        <v>2024</v>
      </c>
      <c r="B21" s="748"/>
      <c r="C21" s="1133">
        <v>5744.192081734911</v>
      </c>
      <c r="D21" s="1124">
        <v>1037.5755893101007</v>
      </c>
      <c r="E21" s="1125">
        <v>9200.9377915581754</v>
      </c>
      <c r="F21" s="1125">
        <v>2696.0696973528684</v>
      </c>
      <c r="G21" s="774">
        <v>3553.2149766721632</v>
      </c>
      <c r="H21" s="1134">
        <v>3381.2093407789757</v>
      </c>
      <c r="I21" s="1127">
        <v>842.87488864541831</v>
      </c>
      <c r="J21" s="1134">
        <v>406.93969637970042</v>
      </c>
      <c r="K21" s="1134">
        <v>61.115379244246824</v>
      </c>
      <c r="L21" s="1132">
        <v>14785.379437590287</v>
      </c>
      <c r="M21" s="1128">
        <v>19402.315117854912</v>
      </c>
      <c r="N21" s="1128">
        <v>22307.203761411933</v>
      </c>
      <c r="O21" s="1049"/>
      <c r="P21" s="778"/>
    </row>
    <row r="22" spans="1:16" s="321" customFormat="1" ht="14.25" customHeight="1">
      <c r="A22" s="906">
        <v>2025</v>
      </c>
      <c r="B22" s="997"/>
      <c r="C22" s="1047">
        <f t="shared" ref="C22:N22" si="0">C28</f>
        <v>5690.4605366929072</v>
      </c>
      <c r="D22" s="1035">
        <f t="shared" si="0"/>
        <v>1364.6873823791664</v>
      </c>
      <c r="E22" s="1036">
        <f t="shared" si="0"/>
        <v>9359.5895293878839</v>
      </c>
      <c r="F22" s="1036">
        <f t="shared" si="0"/>
        <v>2961.9740453121799</v>
      </c>
      <c r="G22" s="1043">
        <f t="shared" si="0"/>
        <v>4315.129820693428</v>
      </c>
      <c r="H22" s="1048">
        <f t="shared" si="0"/>
        <v>4216.9969961714605</v>
      </c>
      <c r="I22" s="1038">
        <f t="shared" si="0"/>
        <v>907.79223705822949</v>
      </c>
      <c r="J22" s="1048">
        <f t="shared" si="0"/>
        <v>372.4891029467787</v>
      </c>
      <c r="K22" s="1048">
        <f t="shared" si="0"/>
        <v>159.92422899496597</v>
      </c>
      <c r="L22" s="1046">
        <f t="shared" si="0"/>
        <v>15651.994035783977</v>
      </c>
      <c r="M22" s="1039">
        <f t="shared" si="0"/>
        <v>20432.946352827414</v>
      </c>
      <c r="N22" s="1039">
        <f t="shared" si="0"/>
        <v>24568.161562593559</v>
      </c>
      <c r="O22" s="1049"/>
      <c r="P22" s="778"/>
    </row>
    <row r="23" spans="1:16" s="321" customFormat="1" ht="21" customHeight="1">
      <c r="A23" s="747">
        <v>2024</v>
      </c>
      <c r="B23" s="748" t="s">
        <v>237</v>
      </c>
      <c r="C23" s="1133">
        <v>6099.6432338433115</v>
      </c>
      <c r="D23" s="1124">
        <v>986.18268099025317</v>
      </c>
      <c r="E23" s="1125">
        <v>9415.7859072480278</v>
      </c>
      <c r="F23" s="1125">
        <v>2716.380117097493</v>
      </c>
      <c r="G23" s="774">
        <v>3528.9750683616512</v>
      </c>
      <c r="H23" s="1134">
        <v>3253.8491691414902</v>
      </c>
      <c r="I23" s="1127">
        <v>789.42914558159191</v>
      </c>
      <c r="J23" s="1134">
        <v>465.16374890984383</v>
      </c>
      <c r="K23" s="1134">
        <v>58.480571016295457</v>
      </c>
      <c r="L23" s="1132">
        <v>14218.118450187547</v>
      </c>
      <c r="M23" s="1128">
        <v>19892.313926050883</v>
      </c>
      <c r="N23" s="1128">
        <v>21639.674166326626</v>
      </c>
      <c r="O23" s="1049"/>
      <c r="P23" s="778"/>
    </row>
    <row r="24" spans="1:16" s="321" customFormat="1" ht="15" customHeight="1">
      <c r="A24" s="747"/>
      <c r="B24" s="748" t="s">
        <v>238</v>
      </c>
      <c r="C24" s="1133">
        <v>5744.192081734911</v>
      </c>
      <c r="D24" s="1124">
        <v>1037.5755893101007</v>
      </c>
      <c r="E24" s="1125">
        <v>9200.9377915581754</v>
      </c>
      <c r="F24" s="1125">
        <v>2696.0696973528684</v>
      </c>
      <c r="G24" s="774">
        <v>3553.2149766721632</v>
      </c>
      <c r="H24" s="1134">
        <v>3381.2093407789757</v>
      </c>
      <c r="I24" s="1127">
        <v>842.87488864541831</v>
      </c>
      <c r="J24" s="1134">
        <v>406.93969637970042</v>
      </c>
      <c r="K24" s="1134">
        <v>61.115379244246824</v>
      </c>
      <c r="L24" s="1132">
        <v>14785.379437590287</v>
      </c>
      <c r="M24" s="1128">
        <v>19402.315117854912</v>
      </c>
      <c r="N24" s="1128">
        <v>22307.203761411933</v>
      </c>
      <c r="O24" s="1049"/>
      <c r="P24" s="778"/>
    </row>
    <row r="25" spans="1:16" s="321" customFormat="1" ht="21" customHeight="1">
      <c r="A25" s="747">
        <v>2025</v>
      </c>
      <c r="B25" s="748" t="s">
        <v>239</v>
      </c>
      <c r="C25" s="1133">
        <v>6174.4822321740648</v>
      </c>
      <c r="D25" s="1124">
        <v>1221.5685891409726</v>
      </c>
      <c r="E25" s="1125">
        <v>9320.9150851286195</v>
      </c>
      <c r="F25" s="1125">
        <v>2888.4885730699057</v>
      </c>
      <c r="G25" s="774">
        <v>3467.1049914566661</v>
      </c>
      <c r="H25" s="1134">
        <v>3491.1097714417983</v>
      </c>
      <c r="I25" s="1127">
        <v>907.4563050088824</v>
      </c>
      <c r="J25" s="1134">
        <v>354.73180621175339</v>
      </c>
      <c r="K25" s="1134">
        <v>139.10299156218213</v>
      </c>
      <c r="L25" s="1132">
        <v>14478.113618028379</v>
      </c>
      <c r="M25" s="1128">
        <v>20009.071605330424</v>
      </c>
      <c r="N25" s="1128">
        <v>22434.012357892811</v>
      </c>
      <c r="O25" s="1049"/>
      <c r="P25" s="778"/>
    </row>
    <row r="26" spans="1:16" s="321" customFormat="1" ht="15" customHeight="1">
      <c r="A26" s="747"/>
      <c r="B26" s="748" t="s">
        <v>240</v>
      </c>
      <c r="C26" s="1133">
        <v>6045.9517197261075</v>
      </c>
      <c r="D26" s="1124">
        <v>1046.2982146225997</v>
      </c>
      <c r="E26" s="1125">
        <v>9360.1815903129664</v>
      </c>
      <c r="F26" s="1125">
        <v>2866.0114155227857</v>
      </c>
      <c r="G26" s="774">
        <v>3808.6276445895369</v>
      </c>
      <c r="H26" s="1134">
        <v>3802.7221006311402</v>
      </c>
      <c r="I26" s="1127">
        <v>864.47639993511302</v>
      </c>
      <c r="J26" s="1134">
        <v>421.81779784993921</v>
      </c>
      <c r="K26" s="1134">
        <v>115.57014593158601</v>
      </c>
      <c r="L26" s="1132">
        <v>15221.29427801173</v>
      </c>
      <c r="M26" s="1128">
        <v>20194.857500495309</v>
      </c>
      <c r="N26" s="1128">
        <v>23358.143806638192</v>
      </c>
      <c r="O26" s="1049"/>
      <c r="P26" s="778"/>
    </row>
    <row r="27" spans="1:16" s="321" customFormat="1" ht="15" customHeight="1">
      <c r="A27" s="747"/>
      <c r="B27" s="748" t="s">
        <v>237</v>
      </c>
      <c r="C27" s="1133">
        <v>5183.3850556084917</v>
      </c>
      <c r="D27" s="1124">
        <v>1230.741957589622</v>
      </c>
      <c r="E27" s="1125">
        <v>9343.8965127904667</v>
      </c>
      <c r="F27" s="1125">
        <v>2726.9782774882915</v>
      </c>
      <c r="G27" s="774">
        <v>4206.3971113845828</v>
      </c>
      <c r="H27" s="1134">
        <v>4231.1280173743644</v>
      </c>
      <c r="I27" s="1127">
        <v>799.99636400237432</v>
      </c>
      <c r="J27" s="1134">
        <v>378.69889483828905</v>
      </c>
      <c r="K27" s="1134">
        <v>142.580116935766</v>
      </c>
      <c r="L27" s="1132">
        <v>15816.907329980262</v>
      </c>
      <c r="M27" s="1128">
        <v>19676.255160721685</v>
      </c>
      <c r="N27" s="1128">
        <v>24384.44447727083</v>
      </c>
      <c r="O27" s="1049"/>
      <c r="P27" s="778"/>
    </row>
    <row r="28" spans="1:16" s="321" customFormat="1" ht="15" customHeight="1">
      <c r="A28" s="747"/>
      <c r="B28" s="748" t="s">
        <v>238</v>
      </c>
      <c r="C28" s="1133">
        <f t="shared" ref="C28:N28" si="1">C36</f>
        <v>5690.4605366929072</v>
      </c>
      <c r="D28" s="1124">
        <f t="shared" si="1"/>
        <v>1364.6873823791664</v>
      </c>
      <c r="E28" s="1125">
        <f t="shared" si="1"/>
        <v>9359.5895293878839</v>
      </c>
      <c r="F28" s="1125">
        <f t="shared" si="1"/>
        <v>2961.9740453121799</v>
      </c>
      <c r="G28" s="774">
        <f t="shared" si="1"/>
        <v>4315.129820693428</v>
      </c>
      <c r="H28" s="1134">
        <f t="shared" si="1"/>
        <v>4216.9969961714605</v>
      </c>
      <c r="I28" s="1127">
        <f t="shared" si="1"/>
        <v>907.79223705822949</v>
      </c>
      <c r="J28" s="1134">
        <f t="shared" si="1"/>
        <v>372.4891029467787</v>
      </c>
      <c r="K28" s="1134">
        <f t="shared" si="1"/>
        <v>159.92422899496597</v>
      </c>
      <c r="L28" s="1132">
        <f t="shared" si="1"/>
        <v>15651.994035783977</v>
      </c>
      <c r="M28" s="1128">
        <f t="shared" si="1"/>
        <v>20432.946352827414</v>
      </c>
      <c r="N28" s="1128">
        <f t="shared" si="1"/>
        <v>24568.161562593559</v>
      </c>
      <c r="O28" s="1049"/>
      <c r="P28" s="778"/>
    </row>
    <row r="29" spans="1:16" s="321" customFormat="1" ht="21" customHeight="1">
      <c r="A29" s="747">
        <v>2026</v>
      </c>
      <c r="B29" s="748" t="s">
        <v>239</v>
      </c>
      <c r="C29" s="1133">
        <f t="shared" ref="C29:N29" si="2">C39</f>
        <v>6700.5929820897272</v>
      </c>
      <c r="D29" s="1124">
        <f t="shared" si="2"/>
        <v>1202.9599353906124</v>
      </c>
      <c r="E29" s="1125">
        <f t="shared" si="2"/>
        <v>9495.6805432186593</v>
      </c>
      <c r="F29" s="1125">
        <f t="shared" si="2"/>
        <v>2937.0494632753866</v>
      </c>
      <c r="G29" s="774">
        <f t="shared" si="2"/>
        <v>4367.4359687404394</v>
      </c>
      <c r="H29" s="1134">
        <f t="shared" si="2"/>
        <v>4409.4511948414774</v>
      </c>
      <c r="I29" s="1127">
        <f t="shared" si="2"/>
        <v>906.37760103080689</v>
      </c>
      <c r="J29" s="1134">
        <f t="shared" si="2"/>
        <v>482.50144966622111</v>
      </c>
      <c r="K29" s="1134">
        <f t="shared" si="2"/>
        <v>164.66719102706597</v>
      </c>
      <c r="L29" s="1132">
        <f t="shared" si="2"/>
        <v>16170.531907353034</v>
      </c>
      <c r="M29" s="1128">
        <f t="shared" si="2"/>
        <v>21634.754286106698</v>
      </c>
      <c r="N29" s="1128">
        <f t="shared" si="2"/>
        <v>25202.463950526733</v>
      </c>
      <c r="O29" s="1049"/>
      <c r="P29" s="778"/>
    </row>
    <row r="30" spans="1:16" s="321" customFormat="1" ht="15" customHeight="1">
      <c r="A30" s="906"/>
      <c r="B30" s="997" t="s">
        <v>240</v>
      </c>
      <c r="C30" s="1047">
        <f t="shared" ref="C30:N30" si="3">C42</f>
        <v>6148.1896856644416</v>
      </c>
      <c r="D30" s="1035">
        <f t="shared" si="3"/>
        <v>1172.7777272291964</v>
      </c>
      <c r="E30" s="1036">
        <f t="shared" si="3"/>
        <v>9634.0670729449193</v>
      </c>
      <c r="F30" s="1036">
        <f t="shared" si="3"/>
        <v>3031.027025995867</v>
      </c>
      <c r="G30" s="1043">
        <f t="shared" si="3"/>
        <v>4341.2196536172205</v>
      </c>
      <c r="H30" s="1048">
        <f t="shared" si="3"/>
        <v>4395.9667632782975</v>
      </c>
      <c r="I30" s="1038">
        <f t="shared" si="3"/>
        <v>894.53794544351433</v>
      </c>
      <c r="J30" s="1048">
        <f t="shared" si="3"/>
        <v>421.5889346787456</v>
      </c>
      <c r="K30" s="1048">
        <f t="shared" si="3"/>
        <v>176.89700448688501</v>
      </c>
      <c r="L30" s="1046">
        <f t="shared" si="3"/>
        <v>16554.834052163675</v>
      </c>
      <c r="M30" s="1039">
        <f t="shared" si="3"/>
        <v>21194.911362156978</v>
      </c>
      <c r="N30" s="1039">
        <f t="shared" si="3"/>
        <v>25576.194503345778</v>
      </c>
      <c r="O30" s="1049"/>
      <c r="P30" s="778"/>
    </row>
    <row r="31" spans="1:16" s="306" customFormat="1" ht="21" customHeight="1">
      <c r="A31" s="405">
        <v>2025</v>
      </c>
      <c r="B31" s="497" t="s">
        <v>420</v>
      </c>
      <c r="C31" s="793">
        <v>5889.7772837661532</v>
      </c>
      <c r="D31" s="793">
        <v>1174.0263996884023</v>
      </c>
      <c r="E31" s="673">
        <v>9344.0253017316245</v>
      </c>
      <c r="F31" s="673">
        <v>2826.5588192589057</v>
      </c>
      <c r="G31" s="728">
        <v>3777.6254517686784</v>
      </c>
      <c r="H31" s="794">
        <v>3993.7219360018789</v>
      </c>
      <c r="I31" s="728">
        <v>862.75254675655231</v>
      </c>
      <c r="J31" s="794">
        <v>342.53322706109992</v>
      </c>
      <c r="K31" s="794">
        <v>116.68122227596601</v>
      </c>
      <c r="L31" s="672">
        <v>15471.936163917915</v>
      </c>
      <c r="M31" s="659">
        <v>19990.861806298977</v>
      </c>
      <c r="N31" s="659">
        <v>23808.736545928201</v>
      </c>
      <c r="O31" s="314"/>
      <c r="P31" s="314"/>
    </row>
    <row r="32" spans="1:16" s="306" customFormat="1" ht="16.5" customHeight="1">
      <c r="A32" s="405"/>
      <c r="B32" s="497" t="s">
        <v>421</v>
      </c>
      <c r="C32" s="793">
        <v>5382.6111329489831</v>
      </c>
      <c r="D32" s="793">
        <v>1093.5200676300012</v>
      </c>
      <c r="E32" s="673">
        <v>9300.410142191964</v>
      </c>
      <c r="F32" s="673">
        <v>2801.8783244062361</v>
      </c>
      <c r="G32" s="728">
        <v>4172.8679013411383</v>
      </c>
      <c r="H32" s="794">
        <v>4079.4094300331099</v>
      </c>
      <c r="I32" s="728">
        <v>873.24183190792849</v>
      </c>
      <c r="J32" s="794">
        <v>332.96292589171674</v>
      </c>
      <c r="K32" s="794">
        <v>195.49207999570001</v>
      </c>
      <c r="L32" s="672">
        <v>16014.573625844576</v>
      </c>
      <c r="M32" s="659">
        <v>19924.623088385717</v>
      </c>
      <c r="N32" s="659">
        <v>24322.364373805645</v>
      </c>
      <c r="O32" s="314"/>
      <c r="P32" s="314"/>
    </row>
    <row r="33" spans="1:16" s="306" customFormat="1" ht="16.5" customHeight="1">
      <c r="A33" s="405"/>
      <c r="B33" s="497" t="s">
        <v>422</v>
      </c>
      <c r="C33" s="793">
        <v>5183.3850556084917</v>
      </c>
      <c r="D33" s="793">
        <v>1230.741957589622</v>
      </c>
      <c r="E33" s="673">
        <v>9343.8965127904667</v>
      </c>
      <c r="F33" s="673">
        <v>2726.9782774882915</v>
      </c>
      <c r="G33" s="728">
        <v>4206.3971113845828</v>
      </c>
      <c r="H33" s="794">
        <v>4231.1280173743644</v>
      </c>
      <c r="I33" s="728">
        <v>799.99636400237432</v>
      </c>
      <c r="J33" s="794">
        <v>378.69889483828905</v>
      </c>
      <c r="K33" s="794">
        <v>142.580116935766</v>
      </c>
      <c r="L33" s="672">
        <v>15816.907329980262</v>
      </c>
      <c r="M33" s="659">
        <v>19676.255160721685</v>
      </c>
      <c r="N33" s="659">
        <v>24384.44447727083</v>
      </c>
      <c r="O33" s="314"/>
      <c r="P33" s="314"/>
    </row>
    <row r="34" spans="1:16" s="306" customFormat="1" ht="16.5" customHeight="1">
      <c r="A34" s="405"/>
      <c r="B34" s="497" t="s">
        <v>411</v>
      </c>
      <c r="C34" s="793">
        <v>5524.1935543917243</v>
      </c>
      <c r="D34" s="793">
        <v>1266.2737701423521</v>
      </c>
      <c r="E34" s="673">
        <v>9362.2319394318256</v>
      </c>
      <c r="F34" s="673">
        <v>2823.505643115061</v>
      </c>
      <c r="G34" s="728">
        <v>4236.6708973132672</v>
      </c>
      <c r="H34" s="794">
        <v>4136.7132714690197</v>
      </c>
      <c r="I34" s="728">
        <v>854.16996554387651</v>
      </c>
      <c r="J34" s="794">
        <v>307.30785193708238</v>
      </c>
      <c r="K34" s="794">
        <v>125.33268749476599</v>
      </c>
      <c r="L34" s="672">
        <v>15551.961070414305</v>
      </c>
      <c r="M34" s="659">
        <v>20102.599044175462</v>
      </c>
      <c r="N34" s="659">
        <v>24085.761607077824</v>
      </c>
      <c r="O34" s="314"/>
      <c r="P34" s="314"/>
    </row>
    <row r="35" spans="1:16" s="306" customFormat="1" ht="16.5" customHeight="1">
      <c r="A35" s="405"/>
      <c r="B35" s="497" t="s">
        <v>412</v>
      </c>
      <c r="C35" s="793">
        <v>5583.1870533430674</v>
      </c>
      <c r="D35" s="793">
        <v>1366.4176196372034</v>
      </c>
      <c r="E35" s="673">
        <v>9386.5096595468658</v>
      </c>
      <c r="F35" s="673">
        <v>2788.3925495724229</v>
      </c>
      <c r="G35" s="728">
        <v>4279.8995193698383</v>
      </c>
      <c r="H35" s="794">
        <v>4191.0785861229897</v>
      </c>
      <c r="I35" s="728">
        <v>885.3539775532455</v>
      </c>
      <c r="J35" s="794">
        <v>330.69286112064646</v>
      </c>
      <c r="K35" s="794">
        <v>131.91679048368101</v>
      </c>
      <c r="L35" s="672">
        <v>15584.312674009951</v>
      </c>
      <c r="M35" s="659">
        <v>20266.867000296694</v>
      </c>
      <c r="N35" s="659">
        <v>24260.894290463209</v>
      </c>
      <c r="O35" s="314"/>
      <c r="P35" s="314"/>
    </row>
    <row r="36" spans="1:16" s="306" customFormat="1" ht="16.5" customHeight="1">
      <c r="A36" s="405"/>
      <c r="B36" s="497" t="s">
        <v>413</v>
      </c>
      <c r="C36" s="793">
        <v>5690.4605366929072</v>
      </c>
      <c r="D36" s="793">
        <v>1364.6873823791664</v>
      </c>
      <c r="E36" s="673">
        <v>9359.5895293878839</v>
      </c>
      <c r="F36" s="673">
        <v>2961.9740453121799</v>
      </c>
      <c r="G36" s="728">
        <v>4315.129820693428</v>
      </c>
      <c r="H36" s="794">
        <v>4216.9969961714605</v>
      </c>
      <c r="I36" s="728">
        <v>907.79223705822949</v>
      </c>
      <c r="J36" s="794">
        <v>372.4891029467787</v>
      </c>
      <c r="K36" s="794">
        <v>159.92422899496597</v>
      </c>
      <c r="L36" s="672">
        <v>15651.994035783977</v>
      </c>
      <c r="M36" s="659">
        <v>20432.946352827414</v>
      </c>
      <c r="N36" s="659">
        <v>24568.161562593559</v>
      </c>
      <c r="O36" s="314"/>
      <c r="P36" s="314"/>
    </row>
    <row r="37" spans="1:16" s="306" customFormat="1" ht="21" customHeight="1">
      <c r="A37" s="405">
        <v>2026</v>
      </c>
      <c r="B37" s="497" t="s">
        <v>414</v>
      </c>
      <c r="C37" s="793">
        <v>5813.9356060268419</v>
      </c>
      <c r="D37" s="793">
        <v>1338.3801009130216</v>
      </c>
      <c r="E37" s="673">
        <v>9351.8370352808088</v>
      </c>
      <c r="F37" s="673">
        <v>2848.2968093432105</v>
      </c>
      <c r="G37" s="728">
        <v>4373.4279507645906</v>
      </c>
      <c r="H37" s="794">
        <v>4240.8601334155346</v>
      </c>
      <c r="I37" s="728">
        <v>936.95826741432984</v>
      </c>
      <c r="J37" s="794">
        <v>342.72658334892611</v>
      </c>
      <c r="K37" s="794">
        <v>170.62616406835375</v>
      </c>
      <c r="L37" s="672">
        <v>15854.276868928773</v>
      </c>
      <c r="M37" s="659">
        <v>20646.705023554925</v>
      </c>
      <c r="N37" s="659">
        <v>24624.56049594947</v>
      </c>
      <c r="O37" s="314"/>
      <c r="P37" s="314"/>
    </row>
    <row r="38" spans="1:16" s="306" customFormat="1" ht="16.5" customHeight="1">
      <c r="A38" s="405"/>
      <c r="B38" s="497" t="s">
        <v>415</v>
      </c>
      <c r="C38" s="793">
        <v>5823.2816559569419</v>
      </c>
      <c r="D38" s="793">
        <v>1021.6419949412947</v>
      </c>
      <c r="E38" s="673">
        <v>9425.9368105309677</v>
      </c>
      <c r="F38" s="673">
        <v>2783.4584692711492</v>
      </c>
      <c r="G38" s="728">
        <v>4494.2454165101899</v>
      </c>
      <c r="H38" s="794">
        <v>4488.1095849338581</v>
      </c>
      <c r="I38" s="728">
        <v>910.06795679988238</v>
      </c>
      <c r="J38" s="794">
        <v>381.70283397837028</v>
      </c>
      <c r="K38" s="794">
        <v>170.86225568176604</v>
      </c>
      <c r="L38" s="672">
        <v>16511.195565993574</v>
      </c>
      <c r="M38" s="659">
        <v>20824.37409547975</v>
      </c>
      <c r="N38" s="659">
        <v>25186.078449118242</v>
      </c>
      <c r="O38" s="314"/>
      <c r="P38" s="314"/>
    </row>
    <row r="39" spans="1:16" s="306" customFormat="1" ht="16.5" customHeight="1">
      <c r="A39" s="405"/>
      <c r="B39" s="497" t="s">
        <v>416</v>
      </c>
      <c r="C39" s="793">
        <v>6700.5929820897272</v>
      </c>
      <c r="D39" s="793">
        <v>1202.9599353906124</v>
      </c>
      <c r="E39" s="673">
        <v>9495.6805432186593</v>
      </c>
      <c r="F39" s="673">
        <v>2937.0494632753866</v>
      </c>
      <c r="G39" s="728">
        <v>4367.4359687404394</v>
      </c>
      <c r="H39" s="794">
        <v>4409.4511948414774</v>
      </c>
      <c r="I39" s="728">
        <v>906.37760103080689</v>
      </c>
      <c r="J39" s="794">
        <v>482.50144966622111</v>
      </c>
      <c r="K39" s="794">
        <v>164.66719102706597</v>
      </c>
      <c r="L39" s="672">
        <v>16170.531907353034</v>
      </c>
      <c r="M39" s="659">
        <v>21634.754286106698</v>
      </c>
      <c r="N39" s="659">
        <v>25202.463950526733</v>
      </c>
      <c r="O39" s="314"/>
      <c r="P39" s="314"/>
    </row>
    <row r="40" spans="1:16" s="306" customFormat="1" ht="16.5" customHeight="1">
      <c r="A40" s="405"/>
      <c r="B40" s="497" t="s">
        <v>417</v>
      </c>
      <c r="C40" s="793">
        <v>6392.0583271067899</v>
      </c>
      <c r="D40" s="793">
        <v>1293.8003565377574</v>
      </c>
      <c r="E40" s="673">
        <v>9549.9730229811576</v>
      </c>
      <c r="F40" s="673">
        <v>3091.5451664844113</v>
      </c>
      <c r="G40" s="728">
        <v>4262.5784826818399</v>
      </c>
      <c r="H40" s="794">
        <v>4413.843309092902</v>
      </c>
      <c r="I40" s="728">
        <v>821.51735868977391</v>
      </c>
      <c r="J40" s="794">
        <v>394.15421998828066</v>
      </c>
      <c r="K40" s="794">
        <v>161.94260069763101</v>
      </c>
      <c r="L40" s="672">
        <v>16755.488868830893</v>
      </c>
      <c r="M40" s="659">
        <v>21188.059792157186</v>
      </c>
      <c r="N40" s="659">
        <v>25948.841920934246</v>
      </c>
      <c r="O40" s="314"/>
      <c r="P40" s="314"/>
    </row>
    <row r="41" spans="1:16" s="306" customFormat="1" ht="16.5" customHeight="1">
      <c r="A41" s="405"/>
      <c r="B41" s="497" t="s">
        <v>418</v>
      </c>
      <c r="C41" s="793">
        <v>6268.684916962553</v>
      </c>
      <c r="D41" s="793">
        <v>1234.108559575599</v>
      </c>
      <c r="E41" s="673">
        <v>9612.4438074859863</v>
      </c>
      <c r="F41" s="673">
        <v>3011.4590280299103</v>
      </c>
      <c r="G41" s="728">
        <v>4260.166293345821</v>
      </c>
      <c r="H41" s="794">
        <v>4383.1427387181329</v>
      </c>
      <c r="I41" s="728">
        <v>932.97094067591627</v>
      </c>
      <c r="J41" s="794">
        <v>435.88770296623449</v>
      </c>
      <c r="K41" s="794">
        <v>167.60232938297702</v>
      </c>
      <c r="L41" s="672">
        <v>16740.35466689591</v>
      </c>
      <c r="M41" s="659">
        <v>21241.898287853255</v>
      </c>
      <c r="N41" s="659">
        <v>25804.962696185787</v>
      </c>
      <c r="O41" s="314"/>
      <c r="P41" s="314"/>
    </row>
    <row r="42" spans="1:16" s="306" customFormat="1" ht="16.5" customHeight="1">
      <c r="A42" s="405"/>
      <c r="B42" s="497" t="s">
        <v>419</v>
      </c>
      <c r="C42" s="793">
        <v>6148.1896856644416</v>
      </c>
      <c r="D42" s="793">
        <v>1172.7777272291964</v>
      </c>
      <c r="E42" s="673">
        <v>9634.0670729449193</v>
      </c>
      <c r="F42" s="673">
        <v>3031.027025995867</v>
      </c>
      <c r="G42" s="728">
        <v>4341.2196536172205</v>
      </c>
      <c r="H42" s="794">
        <v>4395.9667632782975</v>
      </c>
      <c r="I42" s="728">
        <v>894.53794544351433</v>
      </c>
      <c r="J42" s="794">
        <v>421.5889346787456</v>
      </c>
      <c r="K42" s="794">
        <v>176.89700448688501</v>
      </c>
      <c r="L42" s="672">
        <v>16554.834052163675</v>
      </c>
      <c r="M42" s="659">
        <v>21194.911362156978</v>
      </c>
      <c r="N42" s="659">
        <v>25576.194503345778</v>
      </c>
      <c r="O42" s="314"/>
      <c r="P42" s="314"/>
    </row>
    <row r="43" spans="1:16" s="306" customFormat="1" ht="16.5" customHeight="1">
      <c r="A43" s="405"/>
      <c r="B43" s="497" t="s">
        <v>420</v>
      </c>
      <c r="C43" s="793">
        <v>5986.1338382392905</v>
      </c>
      <c r="D43" s="793">
        <v>1227.4557815948667</v>
      </c>
      <c r="E43" s="673">
        <v>9672.7590234893923</v>
      </c>
      <c r="F43" s="673">
        <v>3097.2362649209663</v>
      </c>
      <c r="G43" s="728">
        <v>4353.0889071212805</v>
      </c>
      <c r="H43" s="794">
        <v>4463.8257669232153</v>
      </c>
      <c r="I43" s="728">
        <v>896.03132110550291</v>
      </c>
      <c r="J43" s="794">
        <v>395.27282449896251</v>
      </c>
      <c r="K43" s="794">
        <v>167.35215102352399</v>
      </c>
      <c r="L43" s="672">
        <v>16859.707772547612</v>
      </c>
      <c r="M43" s="659">
        <v>21075.36524097899</v>
      </c>
      <c r="N43" s="659">
        <v>26043.508410485629</v>
      </c>
      <c r="O43" s="314"/>
      <c r="P43" s="314"/>
    </row>
    <row r="44" spans="1:16">
      <c r="A44" s="1410"/>
      <c r="B44" s="1410"/>
      <c r="C44" s="1410"/>
      <c r="D44" s="1410"/>
      <c r="E44" s="1410"/>
      <c r="F44" s="1410"/>
      <c r="G44" s="1410"/>
      <c r="H44" s="1410"/>
      <c r="I44" s="1410"/>
      <c r="J44" s="1410"/>
      <c r="K44" s="1410"/>
      <c r="L44" s="1410"/>
      <c r="M44" s="1410"/>
      <c r="N44" s="1410"/>
    </row>
    <row r="45" spans="1:16">
      <c r="C45" s="1881"/>
      <c r="D45" s="1881"/>
      <c r="E45" s="1881"/>
      <c r="F45" s="1881"/>
      <c r="G45" s="1881"/>
      <c r="H45" s="1881"/>
      <c r="I45" s="1881"/>
      <c r="J45" s="1881"/>
      <c r="K45" s="1881"/>
      <c r="L45" s="1881"/>
      <c r="M45" s="1881"/>
      <c r="N45" s="1881"/>
    </row>
    <row r="46" spans="1:16">
      <c r="B46" s="1414"/>
      <c r="C46" s="1881"/>
      <c r="D46" s="1881"/>
      <c r="E46" s="1881"/>
      <c r="F46" s="1881"/>
      <c r="G46" s="1881"/>
      <c r="H46" s="1881"/>
      <c r="I46" s="1881"/>
      <c r="J46" s="1881"/>
      <c r="K46" s="1881"/>
      <c r="L46" s="1881"/>
      <c r="M46" s="1881"/>
      <c r="N46" s="1881"/>
    </row>
    <row r="47" spans="1:16" ht="13.8">
      <c r="A47" s="318" t="s">
        <v>821</v>
      </c>
      <c r="B47" s="1414"/>
      <c r="C47" s="1414"/>
      <c r="D47" s="1414"/>
      <c r="E47" s="1414"/>
      <c r="F47" s="1414"/>
      <c r="G47" s="1414"/>
      <c r="H47" s="1414"/>
      <c r="I47" s="1414"/>
      <c r="J47" s="1414"/>
      <c r="K47" s="1414"/>
      <c r="L47" s="1414"/>
      <c r="M47" s="1414"/>
      <c r="N47" s="1414"/>
    </row>
    <row r="50" spans="1:1">
      <c r="A50" s="249"/>
    </row>
    <row r="51" spans="1:1">
      <c r="A51" s="575"/>
    </row>
  </sheetData>
  <mergeCells count="2">
    <mergeCell ref="K8:L10"/>
    <mergeCell ref="M8:N10"/>
  </mergeCells>
  <phoneticPr fontId="0" type="noConversion"/>
  <printOptions horizontalCentered="1" verticalCentered="1"/>
  <pageMargins left="0" right="0" top="0" bottom="0" header="0.51181102362204722" footer="0.51181102362204722"/>
  <pageSetup paperSize="9" scale="7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pageSetUpPr fitToPage="1"/>
  </sheetPr>
  <dimension ref="A1:P50"/>
  <sheetViews>
    <sheetView zoomScale="80" zoomScaleNormal="80" workbookViewId="0">
      <pane ySplit="12" topLeftCell="A17" activePane="bottomLeft" state="frozen"/>
      <selection activeCell="B2" sqref="B2"/>
      <selection pane="bottomLeft" activeCell="O1" sqref="O1:P1048576"/>
    </sheetView>
  </sheetViews>
  <sheetFormatPr defaultColWidth="8.77734375" defaultRowHeight="13.2"/>
  <cols>
    <col min="1" max="2" width="9.77734375" style="1413" customWidth="1"/>
    <col min="3" max="14" width="12.77734375" style="1413" customWidth="1"/>
    <col min="15" max="16384" width="8.77734375" style="1413"/>
  </cols>
  <sheetData>
    <row r="1" spans="1:16" s="25" customFormat="1" ht="18" customHeight="1">
      <c r="A1" s="16" t="s">
        <v>1767</v>
      </c>
      <c r="B1" s="4"/>
      <c r="C1" s="3"/>
      <c r="D1" s="3"/>
      <c r="E1" s="3"/>
      <c r="F1" s="3"/>
      <c r="G1" s="3"/>
      <c r="H1" s="3"/>
      <c r="I1" s="3"/>
      <c r="J1" s="3"/>
      <c r="K1" s="3"/>
      <c r="L1" s="3"/>
      <c r="M1" s="3"/>
      <c r="N1" s="3"/>
    </row>
    <row r="2" spans="1:16" s="25" customFormat="1" ht="18" customHeight="1">
      <c r="A2" s="874" t="s">
        <v>766</v>
      </c>
      <c r="B2" s="4"/>
      <c r="C2" s="3"/>
      <c r="D2" s="3"/>
      <c r="E2" s="3"/>
      <c r="F2" s="3"/>
      <c r="G2" s="3"/>
      <c r="H2" s="3"/>
      <c r="I2" s="3"/>
      <c r="J2" s="3"/>
      <c r="K2" s="3"/>
      <c r="L2" s="3"/>
      <c r="M2" s="3"/>
      <c r="N2" s="3"/>
    </row>
    <row r="3" spans="1:16" s="25" customFormat="1" ht="18" customHeight="1">
      <c r="A3" s="16" t="s">
        <v>767</v>
      </c>
      <c r="B3" s="1"/>
      <c r="C3" s="1"/>
      <c r="D3" s="1"/>
      <c r="E3" s="1"/>
      <c r="F3" s="1"/>
      <c r="G3" s="1"/>
      <c r="H3" s="1"/>
      <c r="I3" s="1"/>
      <c r="J3" s="1"/>
      <c r="K3" s="1"/>
      <c r="L3" s="1"/>
      <c r="M3" s="7"/>
      <c r="N3" s="1873"/>
    </row>
    <row r="4" spans="1:16" s="25" customFormat="1" ht="18" customHeight="1">
      <c r="A4" s="874" t="s">
        <v>41</v>
      </c>
      <c r="B4" s="4"/>
      <c r="C4" s="3"/>
      <c r="D4" s="3"/>
      <c r="E4" s="3"/>
      <c r="F4" s="3"/>
      <c r="G4" s="3"/>
      <c r="H4" s="3"/>
      <c r="I4" s="3"/>
      <c r="J4" s="3"/>
      <c r="K4" s="3"/>
      <c r="L4" s="3"/>
      <c r="M4" s="3"/>
      <c r="N4" s="3"/>
    </row>
    <row r="5" spans="1:16" s="25" customFormat="1" ht="18" customHeight="1">
      <c r="A5" s="16" t="s">
        <v>40</v>
      </c>
      <c r="B5" s="4"/>
      <c r="C5" s="3"/>
      <c r="D5" s="3"/>
      <c r="E5" s="3"/>
      <c r="F5" s="3"/>
      <c r="G5" s="3"/>
      <c r="H5" s="3"/>
      <c r="I5" s="3"/>
      <c r="J5" s="3"/>
      <c r="K5" s="3"/>
      <c r="L5" s="3"/>
      <c r="M5" s="3"/>
      <c r="N5" s="3"/>
    </row>
    <row r="6" spans="1:16" ht="1.5" customHeight="1">
      <c r="A6" s="16"/>
      <c r="B6" s="4"/>
      <c r="C6" s="3"/>
      <c r="D6" s="3" t="s">
        <v>768</v>
      </c>
      <c r="E6" s="3"/>
      <c r="F6" s="3"/>
      <c r="G6" s="3"/>
      <c r="H6" s="3"/>
      <c r="I6" s="3"/>
      <c r="J6" s="3"/>
      <c r="K6" s="3"/>
      <c r="L6" s="3" t="s">
        <v>768</v>
      </c>
      <c r="M6" s="3"/>
      <c r="N6" s="3"/>
    </row>
    <row r="7" spans="1:16" s="25" customFormat="1" ht="15">
      <c r="A7" s="8" t="s">
        <v>369</v>
      </c>
      <c r="M7" s="1874"/>
      <c r="N7" s="21" t="s">
        <v>370</v>
      </c>
    </row>
    <row r="8" spans="1:16" s="140" customFormat="1" ht="17.55" customHeight="1">
      <c r="A8" s="53"/>
      <c r="B8" s="127"/>
      <c r="C8" s="297" t="s">
        <v>791</v>
      </c>
      <c r="D8" s="133"/>
      <c r="E8" s="133"/>
      <c r="F8" s="133"/>
      <c r="G8" s="134"/>
      <c r="H8" s="135"/>
      <c r="I8" s="245"/>
      <c r="J8" s="296" t="s">
        <v>792</v>
      </c>
      <c r="K8" s="1240" t="s">
        <v>822</v>
      </c>
      <c r="L8" s="1241"/>
      <c r="M8" s="1240" t="s">
        <v>823</v>
      </c>
      <c r="N8" s="1241"/>
    </row>
    <row r="9" spans="1:16" s="140" customFormat="1" ht="17.55" customHeight="1">
      <c r="A9" s="56"/>
      <c r="B9" s="39"/>
      <c r="C9" s="27" t="s">
        <v>431</v>
      </c>
      <c r="D9" s="100"/>
      <c r="E9" s="28" t="s">
        <v>819</v>
      </c>
      <c r="F9" s="81"/>
      <c r="G9" s="136" t="s">
        <v>390</v>
      </c>
      <c r="H9" s="137"/>
      <c r="I9" s="141" t="s">
        <v>391</v>
      </c>
      <c r="J9" s="113"/>
      <c r="K9" s="1242"/>
      <c r="L9" s="1243"/>
      <c r="M9" s="1242"/>
      <c r="N9" s="1243"/>
    </row>
    <row r="10" spans="1:16" s="140" customFormat="1" ht="17.55" customHeight="1">
      <c r="A10" s="24" t="s">
        <v>379</v>
      </c>
      <c r="B10" s="74"/>
      <c r="C10" s="97" t="s">
        <v>405</v>
      </c>
      <c r="D10" s="60"/>
      <c r="E10" s="97" t="s">
        <v>820</v>
      </c>
      <c r="F10" s="60"/>
      <c r="G10" s="57" t="s">
        <v>772</v>
      </c>
      <c r="H10" s="98"/>
      <c r="I10" s="57" t="s">
        <v>399</v>
      </c>
      <c r="J10" s="98"/>
      <c r="K10" s="1244"/>
      <c r="L10" s="1245"/>
      <c r="M10" s="1244"/>
      <c r="N10" s="1245"/>
    </row>
    <row r="11" spans="1:16" s="140" customFormat="1" ht="17.5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140" customFormat="1" ht="17.5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641">
        <v>579.85826877843999</v>
      </c>
      <c r="D13" s="641">
        <v>1044.308414674317</v>
      </c>
      <c r="E13" s="642">
        <v>7443.1104031751838</v>
      </c>
      <c r="F13" s="642">
        <v>2241.0663992753734</v>
      </c>
      <c r="G13" s="641">
        <v>1822.4270104740001</v>
      </c>
      <c r="H13" s="641">
        <v>299.88302245900002</v>
      </c>
      <c r="I13" s="642">
        <v>2571.3646182724069</v>
      </c>
      <c r="J13" s="661">
        <v>758.64686689305063</v>
      </c>
      <c r="K13" s="673">
        <v>1308.5493400848645</v>
      </c>
      <c r="L13" s="642">
        <v>13144.254380962431</v>
      </c>
      <c r="M13" s="672">
        <v>13725.349640784894</v>
      </c>
      <c r="N13" s="672">
        <v>17488.159084264171</v>
      </c>
      <c r="O13" s="314"/>
      <c r="P13" s="314"/>
    </row>
    <row r="14" spans="1:16" s="408" customFormat="1" ht="14.25" customHeight="1">
      <c r="A14" s="356">
        <v>2017</v>
      </c>
      <c r="B14" s="551"/>
      <c r="C14" s="1875">
        <v>504.59508169000003</v>
      </c>
      <c r="D14" s="1875">
        <v>754.4946556333731</v>
      </c>
      <c r="E14" s="1876">
        <v>7541.8592944910406</v>
      </c>
      <c r="F14" s="1876">
        <v>2576.602583168858</v>
      </c>
      <c r="G14" s="1877">
        <v>1962.8939980619998</v>
      </c>
      <c r="H14" s="1878">
        <v>257.598066604</v>
      </c>
      <c r="I14" s="1876">
        <v>2669.4350580149198</v>
      </c>
      <c r="J14" s="1879">
        <v>836.00724174297557</v>
      </c>
      <c r="K14" s="1869">
        <v>1063.8516252512086</v>
      </c>
      <c r="L14" s="1876">
        <v>13221.603134814433</v>
      </c>
      <c r="M14" s="1880">
        <v>13742.655791509169</v>
      </c>
      <c r="N14" s="1880">
        <v>17646.30568196364</v>
      </c>
      <c r="O14" s="314"/>
      <c r="P14" s="314"/>
    </row>
    <row r="15" spans="1:16" s="321" customFormat="1" ht="14.25" customHeight="1">
      <c r="A15" s="747">
        <v>2018</v>
      </c>
      <c r="B15" s="748"/>
      <c r="C15" s="1130">
        <v>533.80858013498005</v>
      </c>
      <c r="D15" s="1130">
        <v>980.25521297485989</v>
      </c>
      <c r="E15" s="1131">
        <v>7543.6063947340472</v>
      </c>
      <c r="F15" s="1131">
        <v>2803.369281584592</v>
      </c>
      <c r="G15" s="774">
        <v>1914.1885228199344</v>
      </c>
      <c r="H15" s="1102">
        <v>290.54115872100004</v>
      </c>
      <c r="I15" s="1131">
        <v>2847.7626825348239</v>
      </c>
      <c r="J15" s="1101">
        <v>918.84185810735062</v>
      </c>
      <c r="K15" s="1125">
        <v>1112.6454569580051</v>
      </c>
      <c r="L15" s="1131">
        <v>13624.004320104132</v>
      </c>
      <c r="M15" s="1132">
        <v>13951.992516181792</v>
      </c>
      <c r="N15" s="1132">
        <v>18616.991831491934</v>
      </c>
      <c r="O15" s="762"/>
      <c r="P15" s="314"/>
    </row>
    <row r="16" spans="1:16" s="321" customFormat="1" ht="14.25" customHeight="1">
      <c r="A16" s="747">
        <v>2019</v>
      </c>
      <c r="B16" s="748"/>
      <c r="C16" s="1130">
        <v>453.11124023702553</v>
      </c>
      <c r="D16" s="1130">
        <v>926.86142612692572</v>
      </c>
      <c r="E16" s="1131">
        <v>8469.8172098400155</v>
      </c>
      <c r="F16" s="1131">
        <v>3081.6416328226128</v>
      </c>
      <c r="G16" s="774">
        <v>1768.4751209395436</v>
      </c>
      <c r="H16" s="1102">
        <v>358.33801689204216</v>
      </c>
      <c r="I16" s="1131">
        <v>3010.6580249900762</v>
      </c>
      <c r="J16" s="1101">
        <v>898.72388917093622</v>
      </c>
      <c r="K16" s="1125">
        <v>1245.8330786345402</v>
      </c>
      <c r="L16" s="1131">
        <v>15156.351784787163</v>
      </c>
      <c r="M16" s="1132">
        <v>14947.895688641198</v>
      </c>
      <c r="N16" s="1132">
        <v>20421.936749799679</v>
      </c>
      <c r="O16" s="762"/>
      <c r="P16" s="314"/>
    </row>
    <row r="17" spans="1:16" s="321" customFormat="1" ht="14.25" customHeight="1">
      <c r="A17" s="747">
        <v>2020</v>
      </c>
      <c r="B17" s="748"/>
      <c r="C17" s="1130">
        <v>627.23756981760005</v>
      </c>
      <c r="D17" s="1130">
        <v>642.15942062757199</v>
      </c>
      <c r="E17" s="1131">
        <v>9386.5943541492525</v>
      </c>
      <c r="F17" s="1131">
        <v>2888.7396038415468</v>
      </c>
      <c r="G17" s="774">
        <v>1604.9321082341826</v>
      </c>
      <c r="H17" s="1102">
        <v>224.40211251746001</v>
      </c>
      <c r="I17" s="1131">
        <v>3161.3656544262094</v>
      </c>
      <c r="J17" s="1101">
        <v>1075.2193343748693</v>
      </c>
      <c r="K17" s="1125">
        <v>1492.1692631043511</v>
      </c>
      <c r="L17" s="1131">
        <v>14344.527094388002</v>
      </c>
      <c r="M17" s="1132">
        <v>16272.296949731597</v>
      </c>
      <c r="N17" s="1132">
        <v>19175.037565749451</v>
      </c>
      <c r="O17" s="762"/>
      <c r="P17" s="314"/>
    </row>
    <row r="18" spans="1:16" s="321" customFormat="1" ht="14.25" customHeight="1">
      <c r="A18" s="747">
        <v>2021</v>
      </c>
      <c r="B18" s="748"/>
      <c r="C18" s="1130">
        <v>816.43419702265294</v>
      </c>
      <c r="D18" s="1130">
        <v>855.5739111031329</v>
      </c>
      <c r="E18" s="1131">
        <v>9801.1705898501423</v>
      </c>
      <c r="F18" s="1131">
        <v>3136.8935231773212</v>
      </c>
      <c r="G18" s="774">
        <v>1530.7053879053758</v>
      </c>
      <c r="H18" s="1102">
        <v>173.74944270008302</v>
      </c>
      <c r="I18" s="1131">
        <v>3469.4260958318041</v>
      </c>
      <c r="J18" s="1101">
        <v>848.29032313494008</v>
      </c>
      <c r="K18" s="1125">
        <v>1670.9038253670476</v>
      </c>
      <c r="L18" s="1131">
        <v>15070.876228906402</v>
      </c>
      <c r="M18" s="1132">
        <v>17288.618830567022</v>
      </c>
      <c r="N18" s="1132">
        <v>20085.38342902188</v>
      </c>
      <c r="O18" s="762"/>
      <c r="P18" s="314"/>
    </row>
    <row r="19" spans="1:16" s="321" customFormat="1" ht="14.25" customHeight="1">
      <c r="A19" s="747">
        <v>2022</v>
      </c>
      <c r="B19" s="748"/>
      <c r="C19" s="1130">
        <v>843.29459444807503</v>
      </c>
      <c r="D19" s="774">
        <v>1004.4372093795953</v>
      </c>
      <c r="E19" s="1131">
        <v>10241.441116201067</v>
      </c>
      <c r="F19" s="1131">
        <v>3270.567586424575</v>
      </c>
      <c r="G19" s="774">
        <v>1470.3895143201501</v>
      </c>
      <c r="H19" s="1102">
        <v>182.31648988007402</v>
      </c>
      <c r="I19" s="1131">
        <v>3715.7714144109677</v>
      </c>
      <c r="J19" s="1101">
        <v>554.71056840436722</v>
      </c>
      <c r="K19" s="1125">
        <v>2033.2400491979361</v>
      </c>
      <c r="L19" s="1131">
        <v>14931.257699244801</v>
      </c>
      <c r="M19" s="1132">
        <v>18304.136688578201</v>
      </c>
      <c r="N19" s="1132">
        <v>19943.289553333412</v>
      </c>
      <c r="O19" s="762"/>
      <c r="P19" s="314"/>
    </row>
    <row r="20" spans="1:16" s="321" customFormat="1" ht="14.25" customHeight="1">
      <c r="A20" s="747">
        <v>2023</v>
      </c>
      <c r="B20" s="748"/>
      <c r="C20" s="1130">
        <v>1202.2561152707158</v>
      </c>
      <c r="D20" s="1130">
        <v>839.33579682030654</v>
      </c>
      <c r="E20" s="1131">
        <v>10658.7212228889</v>
      </c>
      <c r="F20" s="1131">
        <v>3533.7552126449473</v>
      </c>
      <c r="G20" s="774">
        <v>1535.0102197801789</v>
      </c>
      <c r="H20" s="1102">
        <v>217.27361716870001</v>
      </c>
      <c r="I20" s="1131">
        <v>3839.9558149555178</v>
      </c>
      <c r="J20" s="1101">
        <v>724.52645095472292</v>
      </c>
      <c r="K20" s="1125">
        <v>2154.9120775464348</v>
      </c>
      <c r="L20" s="1131">
        <v>15554.859786865323</v>
      </c>
      <c r="M20" s="1132">
        <v>19390.855450441741</v>
      </c>
      <c r="N20" s="1132">
        <v>20869.760864454001</v>
      </c>
      <c r="O20" s="762"/>
      <c r="P20" s="314"/>
    </row>
    <row r="21" spans="1:16" s="321" customFormat="1" ht="14.25" customHeight="1">
      <c r="A21" s="747">
        <v>2024</v>
      </c>
      <c r="B21" s="748"/>
      <c r="C21" s="1130">
        <v>930.28124494219765</v>
      </c>
      <c r="D21" s="1130">
        <v>871.19956732233447</v>
      </c>
      <c r="E21" s="1131">
        <v>10988.361236316472</v>
      </c>
      <c r="F21" s="1131">
        <v>3261.5264831030895</v>
      </c>
      <c r="G21" s="774">
        <v>1623.8124745880173</v>
      </c>
      <c r="H21" s="1102">
        <v>289.86764528721</v>
      </c>
      <c r="I21" s="1131">
        <v>4117.5987201834232</v>
      </c>
      <c r="J21" s="1101">
        <v>556.62891809954442</v>
      </c>
      <c r="K21" s="1125">
        <v>2403.9347012814801</v>
      </c>
      <c r="L21" s="1131">
        <v>16666.301775618158</v>
      </c>
      <c r="M21" s="1132">
        <v>20063.988377311591</v>
      </c>
      <c r="N21" s="1132">
        <v>21645.474389430336</v>
      </c>
      <c r="O21" s="762"/>
      <c r="P21" s="314"/>
    </row>
    <row r="22" spans="1:16" s="321" customFormat="1" ht="14.25" customHeight="1">
      <c r="A22" s="906">
        <v>2025</v>
      </c>
      <c r="B22" s="997"/>
      <c r="C22" s="1041">
        <f t="shared" ref="C22:N22" si="0">C28</f>
        <v>653.62368731123001</v>
      </c>
      <c r="D22" s="1041">
        <f t="shared" si="0"/>
        <v>1218.0002038631199</v>
      </c>
      <c r="E22" s="1042">
        <f t="shared" si="0"/>
        <v>11464.482173835304</v>
      </c>
      <c r="F22" s="1042">
        <f t="shared" si="0"/>
        <v>3222.6332339687829</v>
      </c>
      <c r="G22" s="1043">
        <f t="shared" si="0"/>
        <v>1528.5469031369998</v>
      </c>
      <c r="H22" s="1044">
        <f t="shared" si="0"/>
        <v>224.85899180074</v>
      </c>
      <c r="I22" s="1042">
        <f t="shared" si="0"/>
        <v>4352.6126618135359</v>
      </c>
      <c r="J22" s="1045">
        <f t="shared" si="0"/>
        <v>652.95864373374275</v>
      </c>
      <c r="K22" s="1036">
        <f t="shared" si="0"/>
        <v>2172.3118998635673</v>
      </c>
      <c r="L22" s="1042">
        <f t="shared" si="0"/>
        <v>19511.147806770692</v>
      </c>
      <c r="M22" s="1046">
        <f t="shared" si="0"/>
        <v>20171.527325960647</v>
      </c>
      <c r="N22" s="1046">
        <f t="shared" si="0"/>
        <v>24829.568880137078</v>
      </c>
      <c r="O22" s="762"/>
      <c r="P22" s="314"/>
    </row>
    <row r="23" spans="1:16" s="321" customFormat="1" ht="21" customHeight="1">
      <c r="A23" s="747">
        <v>2024</v>
      </c>
      <c r="B23" s="748" t="s">
        <v>237</v>
      </c>
      <c r="C23" s="1130">
        <v>1116.7813995381957</v>
      </c>
      <c r="D23" s="1130">
        <v>742.42669254094369</v>
      </c>
      <c r="E23" s="1131">
        <v>11074.786968199263</v>
      </c>
      <c r="F23" s="1131">
        <v>3550.4091123751705</v>
      </c>
      <c r="G23" s="774">
        <v>1640.8124888836282</v>
      </c>
      <c r="H23" s="1102">
        <v>313.48307779378001</v>
      </c>
      <c r="I23" s="1131">
        <v>3984.0506199647352</v>
      </c>
      <c r="J23" s="1101">
        <v>743.33861532264211</v>
      </c>
      <c r="K23" s="1125">
        <v>2405.6938350365413</v>
      </c>
      <c r="L23" s="1131">
        <v>15960.163834652631</v>
      </c>
      <c r="M23" s="1132">
        <v>20222.155311622362</v>
      </c>
      <c r="N23" s="1132">
        <v>21309.771332685166</v>
      </c>
      <c r="O23" s="762"/>
      <c r="P23" s="314"/>
    </row>
    <row r="24" spans="1:16" s="321" customFormat="1" ht="15" customHeight="1">
      <c r="A24" s="747"/>
      <c r="B24" s="748" t="s">
        <v>238</v>
      </c>
      <c r="C24" s="1130">
        <v>930.28124494219765</v>
      </c>
      <c r="D24" s="1130">
        <v>871.19956732233447</v>
      </c>
      <c r="E24" s="1131">
        <v>10988.361236316472</v>
      </c>
      <c r="F24" s="1131">
        <v>3261.5264831030895</v>
      </c>
      <c r="G24" s="774">
        <v>1623.8124745880173</v>
      </c>
      <c r="H24" s="1102">
        <v>289.86764528721</v>
      </c>
      <c r="I24" s="1131">
        <v>4117.5987201834232</v>
      </c>
      <c r="J24" s="1101">
        <v>556.62891809954442</v>
      </c>
      <c r="K24" s="1125">
        <v>2403.9347012814801</v>
      </c>
      <c r="L24" s="1131">
        <v>16666.301775618158</v>
      </c>
      <c r="M24" s="1132">
        <v>20063.988377311591</v>
      </c>
      <c r="N24" s="1132">
        <v>21645.474389430336</v>
      </c>
      <c r="O24" s="762"/>
      <c r="P24" s="314"/>
    </row>
    <row r="25" spans="1:16" s="321" customFormat="1" ht="21" customHeight="1">
      <c r="A25" s="747">
        <v>2025</v>
      </c>
      <c r="B25" s="748" t="s">
        <v>239</v>
      </c>
      <c r="C25" s="1130">
        <v>798.10153525018609</v>
      </c>
      <c r="D25" s="1130">
        <v>1174.1028539193978</v>
      </c>
      <c r="E25" s="1131">
        <v>11107.106318496106</v>
      </c>
      <c r="F25" s="1131">
        <v>3212.7324439957683</v>
      </c>
      <c r="G25" s="774">
        <v>1599.2386725409904</v>
      </c>
      <c r="H25" s="1102">
        <v>362.85977003554001</v>
      </c>
      <c r="I25" s="1131">
        <v>4164.725628651483</v>
      </c>
      <c r="J25" s="1101">
        <v>834.40921567166583</v>
      </c>
      <c r="K25" s="1125">
        <v>2441.664980596393</v>
      </c>
      <c r="L25" s="1131">
        <v>16748.234487315291</v>
      </c>
      <c r="M25" s="1132">
        <v>20110.837135535166</v>
      </c>
      <c r="N25" s="1132">
        <v>22332.338770937666</v>
      </c>
      <c r="O25" s="762"/>
      <c r="P25" s="314"/>
    </row>
    <row r="26" spans="1:16" s="321" customFormat="1" ht="15" customHeight="1">
      <c r="A26" s="747"/>
      <c r="B26" s="748" t="s">
        <v>240</v>
      </c>
      <c r="C26" s="1130">
        <v>942.3736359945791</v>
      </c>
      <c r="D26" s="1130">
        <v>1113.8692805033891</v>
      </c>
      <c r="E26" s="1131">
        <v>11337.045133693466</v>
      </c>
      <c r="F26" s="1131">
        <v>2956.2717846247456</v>
      </c>
      <c r="G26" s="774">
        <v>1620.2024719686988</v>
      </c>
      <c r="H26" s="1102">
        <v>293.59462043969995</v>
      </c>
      <c r="I26" s="1131">
        <v>4151.9225557460322</v>
      </c>
      <c r="J26" s="1101">
        <v>616.69012223559662</v>
      </c>
      <c r="K26" s="1125">
        <v>2499.9296688517206</v>
      </c>
      <c r="L26" s="1131">
        <v>18021.076130751931</v>
      </c>
      <c r="M26" s="1132">
        <v>20551.443466254499</v>
      </c>
      <c r="N26" s="1132">
        <v>23001.551938555363</v>
      </c>
      <c r="O26" s="762"/>
      <c r="P26" s="314"/>
    </row>
    <row r="27" spans="1:16" s="321" customFormat="1" ht="15" customHeight="1">
      <c r="A27" s="747"/>
      <c r="B27" s="748" t="s">
        <v>237</v>
      </c>
      <c r="C27" s="1130">
        <v>670.16860175031206</v>
      </c>
      <c r="D27" s="1130">
        <v>1223.9193250818671</v>
      </c>
      <c r="E27" s="1131">
        <v>11214.613588011998</v>
      </c>
      <c r="F27" s="1131">
        <v>3047.0418350762216</v>
      </c>
      <c r="G27" s="774">
        <v>1627.0745406242427</v>
      </c>
      <c r="H27" s="1102">
        <v>315.84255156358103</v>
      </c>
      <c r="I27" s="1131">
        <v>4265.1643748854422</v>
      </c>
      <c r="J27" s="1101">
        <v>621.70500441891625</v>
      </c>
      <c r="K27" s="1125">
        <v>2147.737856369446</v>
      </c>
      <c r="L27" s="1131">
        <v>18927.471118542562</v>
      </c>
      <c r="M27" s="1132">
        <v>19924.758961641441</v>
      </c>
      <c r="N27" s="1132">
        <v>24135.939834683148</v>
      </c>
      <c r="O27" s="762"/>
      <c r="P27" s="314"/>
    </row>
    <row r="28" spans="1:16" s="321" customFormat="1" ht="15" customHeight="1">
      <c r="A28" s="747"/>
      <c r="B28" s="748" t="s">
        <v>238</v>
      </c>
      <c r="C28" s="1130">
        <f t="shared" ref="C28:N28" si="1">C36</f>
        <v>653.62368731123001</v>
      </c>
      <c r="D28" s="1130">
        <f t="shared" si="1"/>
        <v>1218.0002038631199</v>
      </c>
      <c r="E28" s="1131">
        <f t="shared" si="1"/>
        <v>11464.482173835304</v>
      </c>
      <c r="F28" s="1131">
        <f t="shared" si="1"/>
        <v>3222.6332339687829</v>
      </c>
      <c r="G28" s="774">
        <f t="shared" si="1"/>
        <v>1528.5469031369998</v>
      </c>
      <c r="H28" s="1102">
        <f t="shared" si="1"/>
        <v>224.85899180074</v>
      </c>
      <c r="I28" s="1131">
        <f t="shared" si="1"/>
        <v>4352.6126618135359</v>
      </c>
      <c r="J28" s="1101">
        <f t="shared" si="1"/>
        <v>652.95864373374275</v>
      </c>
      <c r="K28" s="1125">
        <f t="shared" si="1"/>
        <v>2172.3118998635673</v>
      </c>
      <c r="L28" s="1131">
        <f t="shared" si="1"/>
        <v>19511.147806770692</v>
      </c>
      <c r="M28" s="1132">
        <f t="shared" si="1"/>
        <v>20171.527325960647</v>
      </c>
      <c r="N28" s="1132">
        <f t="shared" si="1"/>
        <v>24829.568880137078</v>
      </c>
      <c r="O28" s="762"/>
      <c r="P28" s="314"/>
    </row>
    <row r="29" spans="1:16" s="321" customFormat="1" ht="21" customHeight="1">
      <c r="A29" s="747">
        <v>2026</v>
      </c>
      <c r="B29" s="748" t="s">
        <v>239</v>
      </c>
      <c r="C29" s="1130">
        <f t="shared" ref="C29:N29" si="2">C39</f>
        <v>740.66484326935984</v>
      </c>
      <c r="D29" s="1130">
        <f t="shared" si="2"/>
        <v>1152.5061906540807</v>
      </c>
      <c r="E29" s="1131">
        <f t="shared" si="2"/>
        <v>11445.383141611292</v>
      </c>
      <c r="F29" s="1131">
        <f t="shared" si="2"/>
        <v>3784.7353823036728</v>
      </c>
      <c r="G29" s="774">
        <f t="shared" si="2"/>
        <v>1685.7005235986819</v>
      </c>
      <c r="H29" s="1102">
        <f t="shared" si="2"/>
        <v>253.40775841662997</v>
      </c>
      <c r="I29" s="1131">
        <f t="shared" si="2"/>
        <v>4295.334183249026</v>
      </c>
      <c r="J29" s="1101">
        <f t="shared" si="2"/>
        <v>639.46991539015107</v>
      </c>
      <c r="K29" s="1125">
        <f t="shared" si="2"/>
        <v>3076.3450795905069</v>
      </c>
      <c r="L29" s="1131">
        <f t="shared" si="2"/>
        <v>19763.84264131674</v>
      </c>
      <c r="M29" s="1132">
        <f t="shared" si="2"/>
        <v>21243.38777131887</v>
      </c>
      <c r="N29" s="1132">
        <f t="shared" si="2"/>
        <v>25593.941888081274</v>
      </c>
      <c r="O29" s="762"/>
      <c r="P29" s="314"/>
    </row>
    <row r="30" spans="1:16" s="321" customFormat="1" ht="15" customHeight="1">
      <c r="A30" s="906"/>
      <c r="B30" s="997" t="s">
        <v>240</v>
      </c>
      <c r="C30" s="1041">
        <f t="shared" ref="C30:N30" si="3">C42</f>
        <v>473.51767245116605</v>
      </c>
      <c r="D30" s="1041">
        <f t="shared" si="3"/>
        <v>1352.1767017202019</v>
      </c>
      <c r="E30" s="1042">
        <f t="shared" si="3"/>
        <v>11690.358993952332</v>
      </c>
      <c r="F30" s="1042">
        <f t="shared" si="3"/>
        <v>4411.0204788396768</v>
      </c>
      <c r="G30" s="1043">
        <f t="shared" si="3"/>
        <v>1660.9214032485634</v>
      </c>
      <c r="H30" s="1044">
        <f t="shared" si="3"/>
        <v>227.257433043839</v>
      </c>
      <c r="I30" s="1042">
        <f t="shared" si="3"/>
        <v>4432.7189135862118</v>
      </c>
      <c r="J30" s="1045">
        <f t="shared" si="3"/>
        <v>623.44634821949955</v>
      </c>
      <c r="K30" s="1036">
        <f t="shared" si="3"/>
        <v>2869.4654016738446</v>
      </c>
      <c r="L30" s="1042">
        <f t="shared" si="3"/>
        <v>19030.159672409049</v>
      </c>
      <c r="M30" s="1046">
        <f t="shared" si="3"/>
        <v>21126.952384912111</v>
      </c>
      <c r="N30" s="1046">
        <f t="shared" si="3"/>
        <v>25644.050634232262</v>
      </c>
      <c r="O30" s="762"/>
      <c r="P30" s="314"/>
    </row>
    <row r="31" spans="1:16" s="306" customFormat="1" ht="21" customHeight="1">
      <c r="A31" s="405">
        <v>2025</v>
      </c>
      <c r="B31" s="497" t="s">
        <v>420</v>
      </c>
      <c r="C31" s="660">
        <v>801.60958979720908</v>
      </c>
      <c r="D31" s="660">
        <v>1237.535453062726</v>
      </c>
      <c r="E31" s="642">
        <v>11151.196545952756</v>
      </c>
      <c r="F31" s="642">
        <v>2894.7934741729173</v>
      </c>
      <c r="G31" s="641">
        <v>1769.7911703206996</v>
      </c>
      <c r="H31" s="680">
        <v>313.60969328061401</v>
      </c>
      <c r="I31" s="642">
        <v>4183.1028244292193</v>
      </c>
      <c r="J31" s="661">
        <v>606.06376763847061</v>
      </c>
      <c r="K31" s="673">
        <v>2408.1161837592185</v>
      </c>
      <c r="L31" s="642">
        <v>18433.837483045565</v>
      </c>
      <c r="M31" s="672">
        <v>20313.816314259107</v>
      </c>
      <c r="N31" s="672">
        <v>23485.819871200292</v>
      </c>
      <c r="O31" s="314"/>
      <c r="P31" s="314"/>
    </row>
    <row r="32" spans="1:16" s="306" customFormat="1" ht="16.5" customHeight="1">
      <c r="A32" s="405"/>
      <c r="B32" s="497" t="s">
        <v>421</v>
      </c>
      <c r="C32" s="660">
        <v>768.87512361078893</v>
      </c>
      <c r="D32" s="660">
        <v>1181.0154420285255</v>
      </c>
      <c r="E32" s="642">
        <v>11177.971005558909</v>
      </c>
      <c r="F32" s="642">
        <v>2992.0415533582136</v>
      </c>
      <c r="G32" s="641">
        <v>1772.6674388338597</v>
      </c>
      <c r="H32" s="680">
        <v>313.83274935152002</v>
      </c>
      <c r="I32" s="642">
        <v>4227.7255953106078</v>
      </c>
      <c r="J32" s="661">
        <v>549.95607298963978</v>
      </c>
      <c r="K32" s="673">
        <v>2230.0183218253119</v>
      </c>
      <c r="L32" s="642">
        <v>19032.939111733976</v>
      </c>
      <c r="M32" s="672">
        <v>20177.257485139478</v>
      </c>
      <c r="N32" s="672">
        <v>24069.744929461875</v>
      </c>
      <c r="O32" s="314"/>
      <c r="P32" s="314"/>
    </row>
    <row r="33" spans="1:16" s="306" customFormat="1" ht="16.5" customHeight="1">
      <c r="A33" s="405"/>
      <c r="B33" s="497" t="s">
        <v>422</v>
      </c>
      <c r="C33" s="660">
        <v>670.16860175031206</v>
      </c>
      <c r="D33" s="660">
        <v>1223.9193250818671</v>
      </c>
      <c r="E33" s="642">
        <v>11214.613588011998</v>
      </c>
      <c r="F33" s="642">
        <v>3047.0418350762216</v>
      </c>
      <c r="G33" s="641">
        <v>1627.0745406242427</v>
      </c>
      <c r="H33" s="680">
        <v>315.84255156358103</v>
      </c>
      <c r="I33" s="642">
        <v>4265.1643748854422</v>
      </c>
      <c r="J33" s="661">
        <v>621.70500441891625</v>
      </c>
      <c r="K33" s="673">
        <v>2147.737856369446</v>
      </c>
      <c r="L33" s="642">
        <v>18927.471118542562</v>
      </c>
      <c r="M33" s="672">
        <v>19924.758961641441</v>
      </c>
      <c r="N33" s="672">
        <v>24135.939834683148</v>
      </c>
      <c r="O33" s="314"/>
      <c r="P33" s="314"/>
    </row>
    <row r="34" spans="1:16" s="306" customFormat="1" ht="16.5" customHeight="1">
      <c r="A34" s="405"/>
      <c r="B34" s="497" t="s">
        <v>411</v>
      </c>
      <c r="C34" s="660">
        <v>626.71970378785988</v>
      </c>
      <c r="D34" s="660">
        <v>1203.8822310698063</v>
      </c>
      <c r="E34" s="642">
        <v>11223.697451067503</v>
      </c>
      <c r="F34" s="642">
        <v>2956.4717808733194</v>
      </c>
      <c r="G34" s="641">
        <v>1476.5298818254857</v>
      </c>
      <c r="H34" s="680">
        <v>270.73729571639001</v>
      </c>
      <c r="I34" s="642">
        <v>4359.9550084724378</v>
      </c>
      <c r="J34" s="661">
        <v>568.44066991010277</v>
      </c>
      <c r="K34" s="673">
        <v>2206.7034950097586</v>
      </c>
      <c r="L34" s="642">
        <v>19295.294678382634</v>
      </c>
      <c r="M34" s="672">
        <v>19893.605540163047</v>
      </c>
      <c r="N34" s="672">
        <v>24294.826655952253</v>
      </c>
      <c r="O34" s="314"/>
      <c r="P34" s="314"/>
    </row>
    <row r="35" spans="1:16" s="306" customFormat="1" ht="16.5" customHeight="1">
      <c r="A35" s="405"/>
      <c r="B35" s="497" t="s">
        <v>412</v>
      </c>
      <c r="C35" s="660">
        <v>642.16742524823985</v>
      </c>
      <c r="D35" s="660">
        <v>1331.1883589871118</v>
      </c>
      <c r="E35" s="642">
        <v>11242.738776383838</v>
      </c>
      <c r="F35" s="642">
        <v>3118.56147080455</v>
      </c>
      <c r="G35" s="641">
        <v>1525.4428030324723</v>
      </c>
      <c r="H35" s="680">
        <v>233.85492162420701</v>
      </c>
      <c r="I35" s="642">
        <v>4413.1125235737491</v>
      </c>
      <c r="J35" s="661">
        <v>583.62615419034773</v>
      </c>
      <c r="K35" s="673">
        <v>2214.8089252230211</v>
      </c>
      <c r="L35" s="642">
        <v>19222.334773897564</v>
      </c>
      <c r="M35" s="672">
        <v>20038.24045346132</v>
      </c>
      <c r="N35" s="672">
        <v>24489.565679503779</v>
      </c>
      <c r="O35" s="314"/>
      <c r="P35" s="314"/>
    </row>
    <row r="36" spans="1:16" s="306" customFormat="1" ht="16.5" customHeight="1">
      <c r="A36" s="405"/>
      <c r="B36" s="497" t="s">
        <v>413</v>
      </c>
      <c r="C36" s="660">
        <v>653.62368731123001</v>
      </c>
      <c r="D36" s="660">
        <v>1218.0002038631199</v>
      </c>
      <c r="E36" s="642">
        <v>11464.482173835304</v>
      </c>
      <c r="F36" s="642">
        <v>3222.6332339687829</v>
      </c>
      <c r="G36" s="641">
        <v>1528.5469031369998</v>
      </c>
      <c r="H36" s="680">
        <v>224.85899180074</v>
      </c>
      <c r="I36" s="642">
        <v>4352.6126618135359</v>
      </c>
      <c r="J36" s="661">
        <v>652.95864373374275</v>
      </c>
      <c r="K36" s="673">
        <v>2172.3118998635673</v>
      </c>
      <c r="L36" s="642">
        <v>19511.147806770692</v>
      </c>
      <c r="M36" s="672">
        <v>20171.527325960647</v>
      </c>
      <c r="N36" s="672">
        <v>24829.568880137078</v>
      </c>
      <c r="O36" s="314"/>
      <c r="P36" s="314"/>
    </row>
    <row r="37" spans="1:16" s="306" customFormat="1" ht="21" customHeight="1">
      <c r="A37" s="405">
        <v>2026</v>
      </c>
      <c r="B37" s="497" t="s">
        <v>414</v>
      </c>
      <c r="C37" s="660">
        <v>811.7421673196111</v>
      </c>
      <c r="D37" s="660">
        <v>1245.1121423452798</v>
      </c>
      <c r="E37" s="642">
        <v>11447.697196663154</v>
      </c>
      <c r="F37" s="642">
        <v>3349.4625216924364</v>
      </c>
      <c r="G37" s="641">
        <v>1519.0248541822561</v>
      </c>
      <c r="H37" s="680">
        <v>216.99736334877502</v>
      </c>
      <c r="I37" s="642">
        <v>4400.7603811701001</v>
      </c>
      <c r="J37" s="661">
        <v>563.77466352053909</v>
      </c>
      <c r="K37" s="673">
        <v>2198.3075483711391</v>
      </c>
      <c r="L37" s="642">
        <v>19518.437313145714</v>
      </c>
      <c r="M37" s="672">
        <v>20377.542147706259</v>
      </c>
      <c r="N37" s="672">
        <v>24893.784004052744</v>
      </c>
      <c r="O37" s="314"/>
      <c r="P37" s="314"/>
    </row>
    <row r="38" spans="1:16" s="306" customFormat="1" ht="16.5" customHeight="1">
      <c r="A38" s="405"/>
      <c r="B38" s="497" t="s">
        <v>415</v>
      </c>
      <c r="C38" s="660">
        <v>801.82250942621022</v>
      </c>
      <c r="D38" s="660">
        <v>1139.4650769260684</v>
      </c>
      <c r="E38" s="642">
        <v>11466.555686333595</v>
      </c>
      <c r="F38" s="642">
        <v>3541.3205627681004</v>
      </c>
      <c r="G38" s="641">
        <v>1515.8285741778545</v>
      </c>
      <c r="H38" s="680">
        <v>231.96899888493999</v>
      </c>
      <c r="I38" s="642">
        <v>4423.480938131207</v>
      </c>
      <c r="J38" s="661">
        <v>621.77539189739684</v>
      </c>
      <c r="K38" s="673">
        <v>2198.9371586976149</v>
      </c>
      <c r="L38" s="642">
        <v>20069.257583955376</v>
      </c>
      <c r="M38" s="672">
        <v>20406.644866766484</v>
      </c>
      <c r="N38" s="672">
        <v>25603.887614431878</v>
      </c>
      <c r="O38" s="314"/>
      <c r="P38" s="314"/>
    </row>
    <row r="39" spans="1:16" s="306" customFormat="1" ht="16.5" customHeight="1">
      <c r="A39" s="405"/>
      <c r="B39" s="497" t="s">
        <v>416</v>
      </c>
      <c r="C39" s="660">
        <v>740.66484326935984</v>
      </c>
      <c r="D39" s="660">
        <v>1152.5061906540807</v>
      </c>
      <c r="E39" s="642">
        <v>11445.383141611292</v>
      </c>
      <c r="F39" s="642">
        <v>3784.7353823036728</v>
      </c>
      <c r="G39" s="641">
        <v>1685.7005235986819</v>
      </c>
      <c r="H39" s="680">
        <v>253.40775841662997</v>
      </c>
      <c r="I39" s="642">
        <v>4295.334183249026</v>
      </c>
      <c r="J39" s="661">
        <v>639.46991539015107</v>
      </c>
      <c r="K39" s="673">
        <v>3076.3450795905069</v>
      </c>
      <c r="L39" s="642">
        <v>19763.84264131674</v>
      </c>
      <c r="M39" s="672">
        <v>21243.38777131887</v>
      </c>
      <c r="N39" s="672">
        <v>25593.941888081274</v>
      </c>
      <c r="O39" s="314"/>
      <c r="P39" s="314"/>
    </row>
    <row r="40" spans="1:16" s="306" customFormat="1" ht="16.5" customHeight="1">
      <c r="A40" s="405"/>
      <c r="B40" s="497" t="s">
        <v>417</v>
      </c>
      <c r="C40" s="660">
        <v>594.1589420147651</v>
      </c>
      <c r="D40" s="660">
        <v>1259.6756319587275</v>
      </c>
      <c r="E40" s="642">
        <v>11752.677519780582</v>
      </c>
      <c r="F40" s="642">
        <v>4254.8411018449979</v>
      </c>
      <c r="G40" s="641">
        <v>1681.1480151619826</v>
      </c>
      <c r="H40" s="680">
        <v>220.29169434919399</v>
      </c>
      <c r="I40" s="642">
        <v>4293.468833997701</v>
      </c>
      <c r="J40" s="661">
        <v>592.01902604191548</v>
      </c>
      <c r="K40" s="673">
        <v>2981.3428942269661</v>
      </c>
      <c r="L40" s="642">
        <v>19507.312686427998</v>
      </c>
      <c r="M40" s="672">
        <v>21302.836205181997</v>
      </c>
      <c r="N40" s="672">
        <v>25834.140140622832</v>
      </c>
      <c r="O40" s="314"/>
      <c r="P40" s="314"/>
    </row>
    <row r="41" spans="1:16" s="306" customFormat="1" ht="16.5" customHeight="1">
      <c r="A41" s="405"/>
      <c r="B41" s="497" t="s">
        <v>418</v>
      </c>
      <c r="C41" s="660">
        <v>468.61096134796287</v>
      </c>
      <c r="D41" s="660">
        <v>1403.9559431959769</v>
      </c>
      <c r="E41" s="642">
        <v>11661.769689525896</v>
      </c>
      <c r="F41" s="642">
        <v>4295.640928875996</v>
      </c>
      <c r="G41" s="641">
        <v>1747.8213063211026</v>
      </c>
      <c r="H41" s="680">
        <v>218.78889617668602</v>
      </c>
      <c r="I41" s="642">
        <v>4410.9088273671296</v>
      </c>
      <c r="J41" s="661">
        <v>635.86347019128857</v>
      </c>
      <c r="K41" s="673">
        <v>2910.0500546512249</v>
      </c>
      <c r="L41" s="642">
        <v>19293.41244396093</v>
      </c>
      <c r="M41" s="672">
        <v>21199.16083921332</v>
      </c>
      <c r="N41" s="672">
        <v>25847.661682400874</v>
      </c>
      <c r="O41" s="314"/>
      <c r="P41" s="314"/>
    </row>
    <row r="42" spans="1:16" s="306" customFormat="1" ht="16.5" customHeight="1">
      <c r="A42" s="405"/>
      <c r="B42" s="497" t="s">
        <v>419</v>
      </c>
      <c r="C42" s="660">
        <v>473.51767245116605</v>
      </c>
      <c r="D42" s="660">
        <v>1352.1767017202019</v>
      </c>
      <c r="E42" s="642">
        <v>11690.358993952332</v>
      </c>
      <c r="F42" s="642">
        <v>4411.0204788396768</v>
      </c>
      <c r="G42" s="641">
        <v>1660.9214032485634</v>
      </c>
      <c r="H42" s="680">
        <v>227.257433043839</v>
      </c>
      <c r="I42" s="642">
        <v>4432.7189135862118</v>
      </c>
      <c r="J42" s="661">
        <v>623.44634821949955</v>
      </c>
      <c r="K42" s="673">
        <v>2869.4654016738446</v>
      </c>
      <c r="L42" s="642">
        <v>19030.159672409049</v>
      </c>
      <c r="M42" s="672">
        <v>21126.952384912111</v>
      </c>
      <c r="N42" s="672">
        <v>25644.050634232262</v>
      </c>
      <c r="O42" s="314"/>
      <c r="P42" s="314"/>
    </row>
    <row r="43" spans="1:16" s="306" customFormat="1" ht="16.5" customHeight="1">
      <c r="A43" s="405"/>
      <c r="B43" s="497" t="s">
        <v>420</v>
      </c>
      <c r="C43" s="660">
        <v>470.55545746150807</v>
      </c>
      <c r="D43" s="660">
        <v>1627.8131706480431</v>
      </c>
      <c r="E43" s="642">
        <v>11652.416342475866</v>
      </c>
      <c r="F43" s="642">
        <v>4263.9993583291734</v>
      </c>
      <c r="G43" s="641">
        <v>1591.7891598840195</v>
      </c>
      <c r="H43" s="680">
        <v>242.54230657998301</v>
      </c>
      <c r="I43" s="642">
        <v>4443.9928251876818</v>
      </c>
      <c r="J43" s="661">
        <v>583.64076385190651</v>
      </c>
      <c r="K43" s="673">
        <v>2853.0365727157118</v>
      </c>
      <c r="L43" s="642">
        <v>19389.15895561067</v>
      </c>
      <c r="M43" s="672">
        <v>21011.790357724785</v>
      </c>
      <c r="N43" s="672">
        <v>26107.144555019779</v>
      </c>
      <c r="O43" s="314"/>
      <c r="P43" s="314"/>
    </row>
    <row r="44" spans="1:16" ht="20.25" customHeight="1">
      <c r="A44" s="1410"/>
      <c r="B44" s="1410"/>
      <c r="C44" s="1410"/>
      <c r="D44" s="1410"/>
      <c r="E44" s="1410"/>
      <c r="F44" s="1410"/>
      <c r="G44" s="1410"/>
      <c r="H44" s="1410"/>
      <c r="I44" s="1410"/>
      <c r="J44" s="1410"/>
      <c r="K44" s="1410"/>
      <c r="L44" s="1410"/>
      <c r="M44" s="1410"/>
      <c r="N44" s="219"/>
    </row>
    <row r="45" spans="1:16">
      <c r="C45" s="1881"/>
      <c r="D45" s="1881"/>
      <c r="E45" s="1881"/>
      <c r="F45" s="1881"/>
      <c r="G45" s="1881"/>
      <c r="H45" s="1881"/>
      <c r="I45" s="1881"/>
      <c r="J45" s="1881"/>
      <c r="K45" s="1881"/>
      <c r="L45" s="1881"/>
      <c r="M45" s="1881"/>
      <c r="N45" s="1881"/>
    </row>
    <row r="46" spans="1:16">
      <c r="B46" s="1414"/>
      <c r="C46" s="1881"/>
      <c r="D46" s="1881"/>
      <c r="E46" s="1881"/>
      <c r="F46" s="1881"/>
      <c r="G46" s="1881"/>
      <c r="H46" s="1881"/>
      <c r="I46" s="1881"/>
      <c r="J46" s="1881"/>
      <c r="K46" s="1881"/>
      <c r="L46" s="1881"/>
      <c r="M46" s="1881"/>
      <c r="N46" s="1881"/>
      <c r="P46" s="1882"/>
    </row>
    <row r="47" spans="1:16" ht="13.8">
      <c r="A47" s="318" t="s">
        <v>824</v>
      </c>
      <c r="B47" s="1414"/>
      <c r="C47" s="1414"/>
      <c r="D47" s="1414"/>
      <c r="E47" s="1414"/>
      <c r="F47" s="1414"/>
      <c r="G47" s="1414"/>
      <c r="H47" s="1414"/>
      <c r="I47" s="1414"/>
      <c r="J47" s="1414"/>
      <c r="K47" s="1414"/>
      <c r="L47" s="1414"/>
      <c r="M47" s="1414"/>
      <c r="N47" s="1414"/>
    </row>
    <row r="49" spans="1:1">
      <c r="A49" s="574"/>
    </row>
    <row r="50" spans="1:1">
      <c r="A50" s="146"/>
    </row>
  </sheetData>
  <mergeCells count="2">
    <mergeCell ref="K8:L10"/>
    <mergeCell ref="M8:N10"/>
  </mergeCells>
  <phoneticPr fontId="0" type="noConversion"/>
  <printOptions horizontalCentered="1" verticalCentered="1"/>
  <pageMargins left="0" right="0" top="0" bottom="0" header="0.511811023622047" footer="0.511811023622047"/>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pageSetUpPr fitToPage="1"/>
  </sheetPr>
  <dimension ref="A1:Q56"/>
  <sheetViews>
    <sheetView zoomScale="75" zoomScaleNormal="75" workbookViewId="0">
      <pane ySplit="12" topLeftCell="A41" activePane="bottomLeft" state="frozen"/>
      <selection activeCell="B2" sqref="B2"/>
      <selection pane="bottomLeft" activeCell="R1" sqref="R1:V1048576"/>
    </sheetView>
  </sheetViews>
  <sheetFormatPr defaultColWidth="7.77734375" defaultRowHeight="13.2"/>
  <cols>
    <col min="1" max="2" width="9.21875" style="5" customWidth="1" collapsed="1"/>
    <col min="3" max="14" width="11.77734375" style="5" customWidth="1"/>
    <col min="15" max="15" width="12.44140625" style="5" bestFit="1" customWidth="1"/>
    <col min="16" max="16" width="11.77734375" style="5" customWidth="1"/>
    <col min="17" max="17" width="13.77734375" style="5" customWidth="1"/>
    <col min="18" max="16384" width="7.77734375" style="5"/>
  </cols>
  <sheetData>
    <row r="1" spans="1:17" ht="18" customHeight="1">
      <c r="A1" s="16" t="s">
        <v>825</v>
      </c>
      <c r="B1" s="1"/>
      <c r="C1" s="1"/>
      <c r="D1" s="1"/>
      <c r="E1" s="1"/>
      <c r="F1" s="1"/>
      <c r="G1" s="1"/>
      <c r="H1" s="1"/>
      <c r="I1" s="1"/>
      <c r="J1" s="1"/>
      <c r="K1" s="1"/>
      <c r="L1" s="1"/>
      <c r="M1" s="1"/>
      <c r="N1" s="1"/>
      <c r="O1" s="1"/>
      <c r="P1" s="1"/>
      <c r="Q1" s="1"/>
    </row>
    <row r="2" spans="1:17" ht="18" customHeight="1">
      <c r="A2" s="16" t="s">
        <v>766</v>
      </c>
      <c r="B2" s="1"/>
      <c r="C2" s="1"/>
      <c r="D2" s="1"/>
      <c r="E2" s="1"/>
      <c r="F2" s="1"/>
      <c r="G2" s="1"/>
      <c r="H2" s="1"/>
      <c r="I2" s="1"/>
      <c r="J2" s="1"/>
      <c r="K2" s="1"/>
      <c r="L2" s="1"/>
      <c r="M2" s="1"/>
      <c r="N2" s="1"/>
      <c r="O2" s="1"/>
      <c r="P2" s="1"/>
      <c r="Q2" s="1"/>
    </row>
    <row r="3" spans="1:17" ht="18" customHeight="1">
      <c r="A3" s="16" t="s">
        <v>767</v>
      </c>
      <c r="B3" s="1"/>
      <c r="C3" s="1"/>
      <c r="D3" s="1"/>
      <c r="E3" s="1"/>
      <c r="F3" s="1"/>
      <c r="G3" s="1"/>
      <c r="H3" s="1"/>
      <c r="I3" s="1"/>
      <c r="J3" s="1"/>
      <c r="K3" s="1"/>
      <c r="L3" s="1"/>
      <c r="M3" s="1"/>
      <c r="N3" s="1"/>
      <c r="O3" s="7"/>
      <c r="P3" s="1866"/>
      <c r="Q3" s="7"/>
    </row>
    <row r="4" spans="1:17" ht="18" customHeight="1">
      <c r="A4" s="1717" t="s">
        <v>43</v>
      </c>
      <c r="B4" s="1"/>
      <c r="C4" s="1"/>
      <c r="D4" s="1"/>
      <c r="E4" s="1"/>
      <c r="F4" s="1"/>
      <c r="G4" s="1"/>
      <c r="H4" s="1"/>
      <c r="I4" s="1"/>
      <c r="J4" s="1"/>
      <c r="K4" s="1"/>
      <c r="L4" s="1"/>
      <c r="M4" s="1"/>
      <c r="N4" s="1"/>
      <c r="O4" s="1"/>
      <c r="P4" s="1"/>
      <c r="Q4" s="1"/>
    </row>
    <row r="5" spans="1:17" ht="18" customHeight="1">
      <c r="A5" s="1717" t="s">
        <v>42</v>
      </c>
      <c r="B5" s="1"/>
      <c r="C5" s="1"/>
      <c r="D5" s="1"/>
      <c r="E5" s="1"/>
      <c r="F5" s="1"/>
      <c r="G5" s="1"/>
      <c r="H5" s="1"/>
      <c r="I5" s="1"/>
      <c r="J5" s="1"/>
      <c r="K5" s="1"/>
      <c r="L5" s="1"/>
      <c r="M5" s="1"/>
      <c r="N5" s="1"/>
      <c r="O5" s="1"/>
      <c r="P5" s="1"/>
      <c r="Q5" s="1"/>
    </row>
    <row r="6" spans="1:17" ht="14.25" customHeight="1">
      <c r="A6" s="8" t="s">
        <v>369</v>
      </c>
      <c r="B6" s="7"/>
      <c r="P6" s="172"/>
      <c r="Q6" s="172" t="s">
        <v>370</v>
      </c>
    </row>
    <row r="7" spans="1:17" s="41" customFormat="1" ht="18" customHeight="1">
      <c r="A7" s="44"/>
      <c r="B7" s="45"/>
      <c r="C7" s="264" t="s">
        <v>826</v>
      </c>
      <c r="D7" s="123"/>
      <c r="E7" s="123"/>
      <c r="F7" s="123"/>
      <c r="G7" s="123"/>
      <c r="H7" s="123"/>
      <c r="I7" s="1734"/>
      <c r="J7" s="1867"/>
      <c r="K7" s="1734"/>
      <c r="L7" s="1719" t="s">
        <v>827</v>
      </c>
      <c r="M7" s="45"/>
      <c r="N7" s="43"/>
      <c r="O7" s="1868"/>
      <c r="P7" s="100"/>
      <c r="Q7" s="81"/>
    </row>
    <row r="8" spans="1:17" s="39" customFormat="1" ht="18" customHeight="1">
      <c r="A8" s="62"/>
      <c r="B8" s="60"/>
      <c r="C8" s="97" t="s">
        <v>390</v>
      </c>
      <c r="D8" s="55"/>
      <c r="E8" s="57" t="s">
        <v>828</v>
      </c>
      <c r="F8" s="66"/>
      <c r="G8" s="116"/>
      <c r="H8" s="116"/>
      <c r="I8" s="66" t="s">
        <v>499</v>
      </c>
      <c r="J8" s="98"/>
      <c r="K8" s="729" t="s">
        <v>382</v>
      </c>
      <c r="L8" s="113"/>
      <c r="M8" s="55" t="s">
        <v>829</v>
      </c>
      <c r="N8" s="54"/>
      <c r="O8" s="60" t="s">
        <v>830</v>
      </c>
      <c r="P8" s="60"/>
      <c r="Q8" s="74"/>
    </row>
    <row r="9" spans="1:17" s="39" customFormat="1" ht="18" customHeight="1">
      <c r="A9" s="24" t="s">
        <v>379</v>
      </c>
      <c r="B9" s="74"/>
      <c r="C9" s="97" t="s">
        <v>772</v>
      </c>
      <c r="D9" s="60"/>
      <c r="E9" s="62" t="s">
        <v>459</v>
      </c>
      <c r="F9" s="54"/>
      <c r="G9" s="55" t="s">
        <v>563</v>
      </c>
      <c r="H9" s="54"/>
      <c r="I9" s="55" t="s">
        <v>831</v>
      </c>
      <c r="J9" s="54"/>
      <c r="K9" s="55" t="s">
        <v>392</v>
      </c>
      <c r="L9" s="54"/>
      <c r="M9" s="55" t="s">
        <v>832</v>
      </c>
      <c r="N9" s="54"/>
      <c r="O9" s="60" t="s">
        <v>833</v>
      </c>
      <c r="P9" s="55"/>
      <c r="Q9" s="54"/>
    </row>
    <row r="10" spans="1:17" s="39" customFormat="1" ht="18" customHeight="1">
      <c r="A10" s="82" t="s">
        <v>387</v>
      </c>
      <c r="B10" s="60"/>
      <c r="C10" s="289"/>
      <c r="E10" s="62" t="s">
        <v>464</v>
      </c>
      <c r="F10" s="54"/>
      <c r="G10" s="55" t="s">
        <v>473</v>
      </c>
      <c r="H10" s="54"/>
      <c r="I10" s="55" t="s">
        <v>834</v>
      </c>
      <c r="J10" s="54"/>
      <c r="K10" s="289"/>
      <c r="L10" s="54"/>
      <c r="M10" s="69"/>
      <c r="N10" s="51"/>
      <c r="O10" s="55"/>
      <c r="P10" s="55"/>
      <c r="Q10" s="58"/>
    </row>
    <row r="11" spans="1:17" s="96" customFormat="1" ht="18" customHeight="1">
      <c r="A11" s="142"/>
      <c r="C11" s="290" t="s">
        <v>472</v>
      </c>
      <c r="D11" s="291" t="s">
        <v>388</v>
      </c>
      <c r="E11" s="290" t="s">
        <v>472</v>
      </c>
      <c r="F11" s="291" t="s">
        <v>388</v>
      </c>
      <c r="G11" s="290" t="s">
        <v>472</v>
      </c>
      <c r="H11" s="291" t="s">
        <v>388</v>
      </c>
      <c r="I11" s="290" t="s">
        <v>472</v>
      </c>
      <c r="J11" s="291" t="s">
        <v>388</v>
      </c>
      <c r="K11" s="290" t="s">
        <v>472</v>
      </c>
      <c r="L11" s="291" t="s">
        <v>388</v>
      </c>
      <c r="M11" s="290" t="s">
        <v>472</v>
      </c>
      <c r="N11" s="291" t="s">
        <v>388</v>
      </c>
      <c r="O11" s="290" t="s">
        <v>472</v>
      </c>
      <c r="P11" s="291" t="s">
        <v>388</v>
      </c>
      <c r="Q11" s="64" t="s">
        <v>382</v>
      </c>
    </row>
    <row r="12" spans="1:17" s="39" customFormat="1" ht="18" customHeight="1">
      <c r="A12" s="47"/>
      <c r="B12" s="66"/>
      <c r="C12" s="67" t="s">
        <v>147</v>
      </c>
      <c r="D12" s="49" t="s">
        <v>476</v>
      </c>
      <c r="E12" s="52" t="s">
        <v>147</v>
      </c>
      <c r="F12" s="52" t="s">
        <v>476</v>
      </c>
      <c r="G12" s="52" t="s">
        <v>147</v>
      </c>
      <c r="H12" s="52" t="s">
        <v>476</v>
      </c>
      <c r="I12" s="52" t="s">
        <v>147</v>
      </c>
      <c r="J12" s="52" t="s">
        <v>476</v>
      </c>
      <c r="K12" s="52" t="s">
        <v>147</v>
      </c>
      <c r="L12" s="52" t="s">
        <v>476</v>
      </c>
      <c r="M12" s="52" t="s">
        <v>147</v>
      </c>
      <c r="N12" s="52" t="s">
        <v>476</v>
      </c>
      <c r="O12" s="52" t="s">
        <v>147</v>
      </c>
      <c r="P12" s="52" t="s">
        <v>476</v>
      </c>
      <c r="Q12" s="52" t="s">
        <v>392</v>
      </c>
    </row>
    <row r="13" spans="1:17" s="306" customFormat="1" ht="20.25" customHeight="1">
      <c r="A13" s="405">
        <v>2016</v>
      </c>
      <c r="B13" s="497"/>
      <c r="C13" s="673">
        <v>1734.142964876</v>
      </c>
      <c r="D13" s="673">
        <v>349.06723079162003</v>
      </c>
      <c r="E13" s="673">
        <v>2112.6628274092805</v>
      </c>
      <c r="F13" s="673">
        <v>597.10949538165301</v>
      </c>
      <c r="G13" s="673">
        <v>2443.0408250405699</v>
      </c>
      <c r="H13" s="728">
        <v>183.88579675749</v>
      </c>
      <c r="I13" s="640">
        <v>2655.55625926019</v>
      </c>
      <c r="J13" s="673">
        <v>1405.9222395999436</v>
      </c>
      <c r="K13" s="640">
        <v>8945.4228765860389</v>
      </c>
      <c r="L13" s="673">
        <v>2536.0047625307066</v>
      </c>
      <c r="M13" s="728">
        <v>158.0261041832</v>
      </c>
      <c r="N13" s="659">
        <v>4928.5634138900705</v>
      </c>
      <c r="O13" s="659">
        <v>9103.4489807692389</v>
      </c>
      <c r="P13" s="659">
        <v>7464.5681764207766</v>
      </c>
      <c r="Q13" s="659">
        <v>16568.017157190017</v>
      </c>
    </row>
    <row r="14" spans="1:17" s="408" customFormat="1" ht="14.25" customHeight="1">
      <c r="A14" s="356">
        <v>2017</v>
      </c>
      <c r="B14" s="551"/>
      <c r="C14" s="1869">
        <v>1873.5126267530002</v>
      </c>
      <c r="D14" s="1869">
        <v>388.50149476017998</v>
      </c>
      <c r="E14" s="1869">
        <v>2109.1848787094</v>
      </c>
      <c r="F14" s="1869">
        <v>651.58369440714034</v>
      </c>
      <c r="G14" s="1869">
        <v>2686.2582454800004</v>
      </c>
      <c r="H14" s="1870">
        <v>213.733196757</v>
      </c>
      <c r="I14" s="1871">
        <v>2485.6447802201496</v>
      </c>
      <c r="J14" s="1869">
        <v>1575.3895392561806</v>
      </c>
      <c r="K14" s="1871">
        <v>9154.6105311625506</v>
      </c>
      <c r="L14" s="1869">
        <v>2829.2279251805007</v>
      </c>
      <c r="M14" s="1870">
        <v>172.2957792652</v>
      </c>
      <c r="N14" s="1872">
        <v>4827.4509329550283</v>
      </c>
      <c r="O14" s="1872">
        <v>9326.9063104277502</v>
      </c>
      <c r="P14" s="1872">
        <v>7656.6788581355286</v>
      </c>
      <c r="Q14" s="1872">
        <v>16983.585168563281</v>
      </c>
    </row>
    <row r="15" spans="1:17" s="321" customFormat="1" ht="14.25" customHeight="1">
      <c r="A15" s="747">
        <v>2018</v>
      </c>
      <c r="B15" s="748"/>
      <c r="C15" s="1124">
        <v>1670.3438548220001</v>
      </c>
      <c r="D15" s="1125">
        <v>473.27821834067993</v>
      </c>
      <c r="E15" s="1125">
        <v>2084.554275351491</v>
      </c>
      <c r="F15" s="1126">
        <v>692.10404184690083</v>
      </c>
      <c r="G15" s="1125">
        <v>2656.865832588725</v>
      </c>
      <c r="H15" s="1127">
        <v>194.90013226300005</v>
      </c>
      <c r="I15" s="797">
        <v>2587.4378642021297</v>
      </c>
      <c r="J15" s="1125">
        <v>1728.5655564380922</v>
      </c>
      <c r="K15" s="797">
        <v>8999.2318269643474</v>
      </c>
      <c r="L15" s="1125">
        <v>3088.8579488886735</v>
      </c>
      <c r="M15" s="1127">
        <v>199.76937123637001</v>
      </c>
      <c r="N15" s="1128">
        <v>5565.815441740473</v>
      </c>
      <c r="O15" s="1129">
        <v>9199.0011982007181</v>
      </c>
      <c r="P15" s="1129">
        <v>8654.6633906291463</v>
      </c>
      <c r="Q15" s="1129">
        <v>17853.664588829866</v>
      </c>
    </row>
    <row r="16" spans="1:17" s="321" customFormat="1" ht="14.25" customHeight="1">
      <c r="A16" s="747">
        <v>2019</v>
      </c>
      <c r="B16" s="748"/>
      <c r="C16" s="1124">
        <v>1528.4576270324592</v>
      </c>
      <c r="D16" s="1125">
        <v>548.92113893707221</v>
      </c>
      <c r="E16" s="1125">
        <v>2002.2312100160302</v>
      </c>
      <c r="F16" s="1126">
        <v>769.75721012214944</v>
      </c>
      <c r="G16" s="1125">
        <v>2994.3736428950551</v>
      </c>
      <c r="H16" s="1127">
        <v>190.40987051099989</v>
      </c>
      <c r="I16" s="797">
        <v>3174.9056168485436</v>
      </c>
      <c r="J16" s="1125">
        <v>1923.5262195618529</v>
      </c>
      <c r="K16" s="797">
        <v>9699.9610967920889</v>
      </c>
      <c r="L16" s="1125">
        <v>3432.6044391320747</v>
      </c>
      <c r="M16" s="1127">
        <v>210.41152702788196</v>
      </c>
      <c r="N16" s="1128">
        <v>4621.4441194674582</v>
      </c>
      <c r="O16" s="1129">
        <v>9910.3526238199702</v>
      </c>
      <c r="P16" s="1129">
        <v>8054.048558599533</v>
      </c>
      <c r="Q16" s="1129">
        <v>17964.401182419504</v>
      </c>
    </row>
    <row r="17" spans="1:17" s="321" customFormat="1" ht="14.25" customHeight="1">
      <c r="A17" s="747">
        <v>2020</v>
      </c>
      <c r="B17" s="748"/>
      <c r="C17" s="1124">
        <v>1371.1594042623201</v>
      </c>
      <c r="D17" s="1125">
        <v>350.32315047173523</v>
      </c>
      <c r="E17" s="1125">
        <v>2221.5303436846725</v>
      </c>
      <c r="F17" s="1126">
        <v>864.30687706458662</v>
      </c>
      <c r="G17" s="1125">
        <v>3465.3917262776149</v>
      </c>
      <c r="H17" s="1127">
        <v>224.17378127638972</v>
      </c>
      <c r="I17" s="797">
        <v>3387.924286367846</v>
      </c>
      <c r="J17" s="1125">
        <v>1668.6276453242949</v>
      </c>
      <c r="K17" s="797">
        <v>10446.005760592454</v>
      </c>
      <c r="L17" s="1125">
        <v>3107.401454137007</v>
      </c>
      <c r="M17" s="1127">
        <v>331.57058985018591</v>
      </c>
      <c r="N17" s="1128">
        <v>3023.2817317133336</v>
      </c>
      <c r="O17" s="1129">
        <v>10777.57635044264</v>
      </c>
      <c r="P17" s="1129">
        <v>6130.683185850341</v>
      </c>
      <c r="Q17" s="1129">
        <v>16908.259536292979</v>
      </c>
    </row>
    <row r="18" spans="1:17" s="321" customFormat="1" ht="14.25" customHeight="1">
      <c r="A18" s="747">
        <v>2021</v>
      </c>
      <c r="B18" s="748"/>
      <c r="C18" s="1124">
        <v>1242.3510356632999</v>
      </c>
      <c r="D18" s="1125">
        <v>403.67317463105587</v>
      </c>
      <c r="E18" s="1125">
        <v>2593.4309212471908</v>
      </c>
      <c r="F18" s="1126">
        <v>1117.2719011458805</v>
      </c>
      <c r="G18" s="1125">
        <v>3581.4783445151256</v>
      </c>
      <c r="H18" s="1127">
        <v>238.93553182373512</v>
      </c>
      <c r="I18" s="797">
        <v>3400.5429511465377</v>
      </c>
      <c r="J18" s="1125">
        <v>1544.9969184114802</v>
      </c>
      <c r="K18" s="797">
        <v>10817.804707164825</v>
      </c>
      <c r="L18" s="1125">
        <v>3304.877526012152</v>
      </c>
      <c r="M18" s="1127">
        <v>391.01793156305098</v>
      </c>
      <c r="N18" s="1128">
        <v>4190.5017962952907</v>
      </c>
      <c r="O18" s="1129">
        <v>11208.822638727876</v>
      </c>
      <c r="P18" s="1129">
        <v>7495.3793223074426</v>
      </c>
      <c r="Q18" s="1129">
        <v>18704.20196103532</v>
      </c>
    </row>
    <row r="19" spans="1:17" s="321" customFormat="1" ht="14.25" customHeight="1">
      <c r="A19" s="747">
        <v>2022</v>
      </c>
      <c r="B19" s="748"/>
      <c r="C19" s="1124">
        <v>1373.4783701469401</v>
      </c>
      <c r="D19" s="1125">
        <v>427.60438581364394</v>
      </c>
      <c r="E19" s="1125">
        <v>2409.9319426433749</v>
      </c>
      <c r="F19" s="1126">
        <v>684.24289660123202</v>
      </c>
      <c r="G19" s="1125">
        <v>3350.0400338968925</v>
      </c>
      <c r="H19" s="1127">
        <v>199.36483966376352</v>
      </c>
      <c r="I19" s="797">
        <v>4043.4651426944056</v>
      </c>
      <c r="J19" s="1125">
        <v>2134.3543923512498</v>
      </c>
      <c r="K19" s="797">
        <v>11176.915489381612</v>
      </c>
      <c r="L19" s="1125">
        <v>3445.5665144298891</v>
      </c>
      <c r="M19" s="1127">
        <v>179.09739111790901</v>
      </c>
      <c r="N19" s="1128">
        <v>4202.1257780628021</v>
      </c>
      <c r="O19" s="1129">
        <v>11356.012880499522</v>
      </c>
      <c r="P19" s="1129">
        <v>7647.6922924926912</v>
      </c>
      <c r="Q19" s="1129">
        <v>19003.705172992213</v>
      </c>
    </row>
    <row r="20" spans="1:17" s="321" customFormat="1" ht="14.25" customHeight="1">
      <c r="A20" s="747">
        <v>2023</v>
      </c>
      <c r="B20" s="748"/>
      <c r="C20" s="1124">
        <v>1429.7477143412302</v>
      </c>
      <c r="D20" s="1125">
        <v>569.77437376081923</v>
      </c>
      <c r="E20" s="1125">
        <v>2235.9304739516965</v>
      </c>
      <c r="F20" s="1126">
        <v>645.21403364002094</v>
      </c>
      <c r="G20" s="1125">
        <v>3164.7782096244364</v>
      </c>
      <c r="H20" s="1127">
        <v>180.01593044440398</v>
      </c>
      <c r="I20" s="797">
        <v>4853.7568155189847</v>
      </c>
      <c r="J20" s="1125">
        <v>2352.3807105044953</v>
      </c>
      <c r="K20" s="797">
        <v>11684.213213436349</v>
      </c>
      <c r="L20" s="1125">
        <v>3747.385048349739</v>
      </c>
      <c r="M20" s="1127">
        <v>235.55873632494399</v>
      </c>
      <c r="N20" s="1128">
        <v>4537.4253095855202</v>
      </c>
      <c r="O20" s="1129">
        <v>11919.76194976129</v>
      </c>
      <c r="P20" s="1129">
        <v>8284.8103579352592</v>
      </c>
      <c r="Q20" s="1129">
        <v>20204.572307696551</v>
      </c>
    </row>
    <row r="21" spans="1:17" s="321" customFormat="1" ht="14.25" customHeight="1">
      <c r="A21" s="747">
        <v>2024</v>
      </c>
      <c r="B21" s="748"/>
      <c r="C21" s="1124">
        <v>1589.5339450071672</v>
      </c>
      <c r="D21" s="1125">
        <v>718.50799314713436</v>
      </c>
      <c r="E21" s="1125">
        <v>2273.8414924234926</v>
      </c>
      <c r="F21" s="1126">
        <v>574.51409144035335</v>
      </c>
      <c r="G21" s="1125">
        <v>3214.3675470957446</v>
      </c>
      <c r="H21" s="1127">
        <v>175.58227660369414</v>
      </c>
      <c r="I21" s="797">
        <v>5053.0555891987487</v>
      </c>
      <c r="J21" s="1125">
        <v>2080.3916849465149</v>
      </c>
      <c r="K21" s="797">
        <v>12130.798573725155</v>
      </c>
      <c r="L21" s="1125">
        <v>3548.9960461376968</v>
      </c>
      <c r="M21" s="1127">
        <v>343.08991306068793</v>
      </c>
      <c r="N21" s="1128">
        <v>4547.426484782296</v>
      </c>
      <c r="O21" s="1129">
        <v>12473.908486785842</v>
      </c>
      <c r="P21" s="1129">
        <v>8096.4225309199928</v>
      </c>
      <c r="Q21" s="1129">
        <v>20570.331017705834</v>
      </c>
    </row>
    <row r="22" spans="1:17" s="321" customFormat="1" ht="14.25" customHeight="1">
      <c r="A22" s="906">
        <v>2025</v>
      </c>
      <c r="B22" s="997"/>
      <c r="C22" s="1035">
        <f t="shared" ref="C22:J22" si="0">C28</f>
        <v>1579.0212037967999</v>
      </c>
      <c r="D22" s="1036">
        <f t="shared" si="0"/>
        <v>531.4989286891921</v>
      </c>
      <c r="E22" s="1036">
        <f t="shared" si="0"/>
        <v>2351.9652022122091</v>
      </c>
      <c r="F22" s="1037">
        <f t="shared" si="0"/>
        <v>607.20731165527411</v>
      </c>
      <c r="G22" s="1036">
        <f t="shared" si="0"/>
        <v>3367.7662804065289</v>
      </c>
      <c r="H22" s="1038">
        <f t="shared" si="0"/>
        <v>150.13743061529988</v>
      </c>
      <c r="I22" s="1029">
        <f t="shared" si="0"/>
        <v>5300.2131153302089</v>
      </c>
      <c r="J22" s="1036">
        <f t="shared" si="0"/>
        <v>2156.4835314669808</v>
      </c>
      <c r="K22" s="1029">
        <f>C22+E22+G22+I22</f>
        <v>12598.965801745748</v>
      </c>
      <c r="L22" s="1036">
        <f>D22+F22+H22+J22</f>
        <v>3445.3272024267467</v>
      </c>
      <c r="M22" s="1038">
        <f>M28</f>
        <v>333.72445415217999</v>
      </c>
      <c r="N22" s="1039">
        <f>N28</f>
        <v>5452.2694812869904</v>
      </c>
      <c r="O22" s="1040">
        <f>O28</f>
        <v>12932.690255897927</v>
      </c>
      <c r="P22" s="1040">
        <f>P28</f>
        <v>8897.6166837137371</v>
      </c>
      <c r="Q22" s="1040">
        <f>Q28</f>
        <v>21830.306939611663</v>
      </c>
    </row>
    <row r="23" spans="1:17" s="321" customFormat="1" ht="21" customHeight="1">
      <c r="A23" s="747">
        <v>2024</v>
      </c>
      <c r="B23" s="748" t="s">
        <v>237</v>
      </c>
      <c r="C23" s="1124">
        <v>1648.4055013430002</v>
      </c>
      <c r="D23" s="1125">
        <v>729.93451244423102</v>
      </c>
      <c r="E23" s="1125">
        <v>2226.6150613454824</v>
      </c>
      <c r="F23" s="1126">
        <v>699.93760696272386</v>
      </c>
      <c r="G23" s="1125">
        <v>3223.3553502862151</v>
      </c>
      <c r="H23" s="1127">
        <v>149.15248970131472</v>
      </c>
      <c r="I23" s="640">
        <v>5114.7050557666635</v>
      </c>
      <c r="J23" s="673">
        <v>2282.3879646332607</v>
      </c>
      <c r="K23" s="797">
        <v>12213.06096874136</v>
      </c>
      <c r="L23" s="1125">
        <v>3861.4125737415302</v>
      </c>
      <c r="M23" s="1127">
        <v>250.98711350764802</v>
      </c>
      <c r="N23" s="1128">
        <v>4798.915650237619</v>
      </c>
      <c r="O23" s="1129">
        <v>12464.058082249008</v>
      </c>
      <c r="P23" s="1128">
        <v>8660.3282239791497</v>
      </c>
      <c r="Q23" s="1129">
        <v>21124.376306228158</v>
      </c>
    </row>
    <row r="24" spans="1:17" s="321" customFormat="1" ht="15" customHeight="1">
      <c r="A24" s="747"/>
      <c r="B24" s="748" t="s">
        <v>238</v>
      </c>
      <c r="C24" s="1124">
        <v>1589.5339450071672</v>
      </c>
      <c r="D24" s="1125">
        <v>718.50799314713436</v>
      </c>
      <c r="E24" s="1125">
        <v>2273.8414924234926</v>
      </c>
      <c r="F24" s="1126">
        <v>574.51409144035335</v>
      </c>
      <c r="G24" s="1125">
        <v>3214.3675470957446</v>
      </c>
      <c r="H24" s="1127">
        <v>175.58227660369414</v>
      </c>
      <c r="I24" s="797">
        <v>5053.0555891987487</v>
      </c>
      <c r="J24" s="1125">
        <v>2080.3916849465149</v>
      </c>
      <c r="K24" s="797">
        <v>12130.818573725153</v>
      </c>
      <c r="L24" s="1125">
        <v>3548.9960461376968</v>
      </c>
      <c r="M24" s="1127">
        <v>343.08991306068793</v>
      </c>
      <c r="N24" s="1128">
        <v>4547.426484782296</v>
      </c>
      <c r="O24" s="1129">
        <v>12473.908486785842</v>
      </c>
      <c r="P24" s="1128">
        <v>8096.4225309199928</v>
      </c>
      <c r="Q24" s="1129">
        <v>20570.331017705834</v>
      </c>
    </row>
    <row r="25" spans="1:17" s="321" customFormat="1" ht="21" customHeight="1">
      <c r="A25" s="747">
        <v>2025</v>
      </c>
      <c r="B25" s="748" t="s">
        <v>239</v>
      </c>
      <c r="C25" s="1124">
        <v>1574.3957860380001</v>
      </c>
      <c r="D25" s="1125">
        <v>788.78924393933835</v>
      </c>
      <c r="E25" s="1125">
        <v>2357.7699401109357</v>
      </c>
      <c r="F25" s="1126">
        <v>643.12044753968735</v>
      </c>
      <c r="G25" s="1125">
        <v>3323.9957136323433</v>
      </c>
      <c r="H25" s="1127">
        <v>158.04323546256381</v>
      </c>
      <c r="I25" s="797">
        <v>5001.4259307285083</v>
      </c>
      <c r="J25" s="1125">
        <v>1983.9563944279416</v>
      </c>
      <c r="K25" s="797">
        <v>12257.587370509787</v>
      </c>
      <c r="L25" s="1125">
        <v>3573.8893213695319</v>
      </c>
      <c r="M25" s="1127">
        <v>292.86968200870615</v>
      </c>
      <c r="N25" s="1128">
        <v>4804.5315102207478</v>
      </c>
      <c r="O25" s="1129">
        <v>12550.457052518494</v>
      </c>
      <c r="P25" s="1128">
        <v>8378.4208315902797</v>
      </c>
      <c r="Q25" s="1129">
        <v>20928.877884108773</v>
      </c>
    </row>
    <row r="26" spans="1:17" s="321" customFormat="1" ht="15" customHeight="1">
      <c r="A26" s="747"/>
      <c r="B26" s="748" t="s">
        <v>240</v>
      </c>
      <c r="C26" s="1124">
        <v>1659.4194860290002</v>
      </c>
      <c r="D26" s="1125">
        <v>619.82311523326302</v>
      </c>
      <c r="E26" s="1125">
        <v>2338.3777050926492</v>
      </c>
      <c r="F26" s="1126">
        <v>536.82612549011856</v>
      </c>
      <c r="G26" s="1125">
        <v>3348.2302511828093</v>
      </c>
      <c r="H26" s="1127">
        <v>138.25438350038075</v>
      </c>
      <c r="I26" s="797">
        <v>5189.6615024364401</v>
      </c>
      <c r="J26" s="1125">
        <v>1952.9314672289056</v>
      </c>
      <c r="K26" s="797">
        <v>12535.7189447409</v>
      </c>
      <c r="L26" s="1125">
        <v>3247.8350914526682</v>
      </c>
      <c r="M26" s="1127">
        <v>309.95981781017713</v>
      </c>
      <c r="N26" s="1128">
        <v>3737.5295858911104</v>
      </c>
      <c r="O26" s="1129">
        <v>12845.678762551077</v>
      </c>
      <c r="P26" s="1128">
        <v>6985.3446773437781</v>
      </c>
      <c r="Q26" s="1129">
        <v>19831.043439894856</v>
      </c>
    </row>
    <row r="27" spans="1:17" s="321" customFormat="1" ht="15" customHeight="1">
      <c r="A27" s="747"/>
      <c r="B27" s="748" t="s">
        <v>237</v>
      </c>
      <c r="C27" s="1124">
        <v>1628.7898424943228</v>
      </c>
      <c r="D27" s="1125">
        <v>569.96856898412329</v>
      </c>
      <c r="E27" s="1125">
        <v>2339.3025918100006</v>
      </c>
      <c r="F27" s="1126">
        <v>530.71449316675614</v>
      </c>
      <c r="G27" s="1125">
        <v>3298.3917840363119</v>
      </c>
      <c r="H27" s="1127">
        <v>150.30248787393566</v>
      </c>
      <c r="I27" s="797">
        <v>5161.4212508683213</v>
      </c>
      <c r="J27" s="1125">
        <v>2098.3270684671406</v>
      </c>
      <c r="K27" s="797">
        <v>12427.905469208958</v>
      </c>
      <c r="L27" s="1125">
        <v>3349.3126184919561</v>
      </c>
      <c r="M27" s="1127">
        <v>290.11841800666406</v>
      </c>
      <c r="N27" s="1128">
        <v>4494.1339409597613</v>
      </c>
      <c r="O27" s="1129">
        <v>12718.023887215622</v>
      </c>
      <c r="P27" s="1128">
        <v>7843.4465594517169</v>
      </c>
      <c r="Q27" s="1129">
        <v>20561.44044666734</v>
      </c>
    </row>
    <row r="28" spans="1:17" s="321" customFormat="1" ht="15" customHeight="1">
      <c r="A28" s="747"/>
      <c r="B28" s="748" t="s">
        <v>238</v>
      </c>
      <c r="C28" s="1124">
        <f t="shared" ref="C28:Q28" si="1">C36</f>
        <v>1579.0212037967999</v>
      </c>
      <c r="D28" s="1125">
        <f t="shared" si="1"/>
        <v>531.4989286891921</v>
      </c>
      <c r="E28" s="1125">
        <f t="shared" si="1"/>
        <v>2351.9652022122091</v>
      </c>
      <c r="F28" s="1126">
        <f t="shared" si="1"/>
        <v>607.20731165527411</v>
      </c>
      <c r="G28" s="1125">
        <f t="shared" si="1"/>
        <v>3367.7662804065289</v>
      </c>
      <c r="H28" s="1127">
        <f t="shared" si="1"/>
        <v>150.13743061529988</v>
      </c>
      <c r="I28" s="797">
        <f t="shared" si="1"/>
        <v>5300.2131153302089</v>
      </c>
      <c r="J28" s="1125">
        <f t="shared" si="1"/>
        <v>2156.4835314669808</v>
      </c>
      <c r="K28" s="797">
        <f t="shared" si="1"/>
        <v>12598.965801745748</v>
      </c>
      <c r="L28" s="1125">
        <f t="shared" si="1"/>
        <v>3445.3472024267471</v>
      </c>
      <c r="M28" s="1127">
        <f t="shared" si="1"/>
        <v>333.72445415217999</v>
      </c>
      <c r="N28" s="1128">
        <f t="shared" si="1"/>
        <v>5452.2694812869904</v>
      </c>
      <c r="O28" s="1129">
        <f t="shared" si="1"/>
        <v>12932.690255897927</v>
      </c>
      <c r="P28" s="1128">
        <f t="shared" si="1"/>
        <v>8897.6166837137371</v>
      </c>
      <c r="Q28" s="1129">
        <f t="shared" si="1"/>
        <v>21830.306939611663</v>
      </c>
    </row>
    <row r="29" spans="1:17" s="321" customFormat="1" ht="21" customHeight="1">
      <c r="A29" s="747">
        <v>2026</v>
      </c>
      <c r="B29" s="748" t="s">
        <v>239</v>
      </c>
      <c r="C29" s="1124">
        <f t="shared" ref="C29:Q29" si="2">C39</f>
        <v>1840.4332174430199</v>
      </c>
      <c r="D29" s="1125">
        <f t="shared" si="2"/>
        <v>878.17898708690427</v>
      </c>
      <c r="E29" s="1125">
        <f t="shared" si="2"/>
        <v>2541.5109079535623</v>
      </c>
      <c r="F29" s="1126">
        <f t="shared" si="2"/>
        <v>744.04622900062918</v>
      </c>
      <c r="G29" s="1125">
        <f t="shared" si="2"/>
        <v>3457.6750568250472</v>
      </c>
      <c r="H29" s="1127">
        <f t="shared" si="2"/>
        <v>171.07456758325992</v>
      </c>
      <c r="I29" s="797">
        <f t="shared" si="2"/>
        <v>4924.3928911142866</v>
      </c>
      <c r="J29" s="1125">
        <f t="shared" si="2"/>
        <v>2220.0068885687342</v>
      </c>
      <c r="K29" s="797">
        <f t="shared" si="2"/>
        <v>12764.012073335916</v>
      </c>
      <c r="L29" s="1125">
        <f t="shared" si="2"/>
        <v>4013.3066722395274</v>
      </c>
      <c r="M29" s="1127">
        <f t="shared" si="2"/>
        <v>292.76948178549731</v>
      </c>
      <c r="N29" s="1128">
        <f t="shared" si="2"/>
        <v>5275.9519714437556</v>
      </c>
      <c r="O29" s="1129">
        <f t="shared" si="2"/>
        <v>13056.781555121413</v>
      </c>
      <c r="P29" s="1128">
        <f t="shared" si="2"/>
        <v>9289.2586436832826</v>
      </c>
      <c r="Q29" s="1129">
        <f t="shared" si="2"/>
        <v>22346.060198804698</v>
      </c>
    </row>
    <row r="30" spans="1:17" s="321" customFormat="1" ht="15" customHeight="1">
      <c r="A30" s="906"/>
      <c r="B30" s="997" t="s">
        <v>240</v>
      </c>
      <c r="C30" s="1035">
        <f t="shared" ref="C30:Q30" si="3">C42</f>
        <v>1676.4892092755299</v>
      </c>
      <c r="D30" s="1036">
        <f t="shared" si="3"/>
        <v>1051.9595160254669</v>
      </c>
      <c r="E30" s="1036">
        <f t="shared" si="3"/>
        <v>2620.2354616600169</v>
      </c>
      <c r="F30" s="1037">
        <f t="shared" si="3"/>
        <v>756.73634149492398</v>
      </c>
      <c r="G30" s="1036">
        <f t="shared" si="3"/>
        <v>3710.9905392548526</v>
      </c>
      <c r="H30" s="1038">
        <f t="shared" si="3"/>
        <v>177.86260884000387</v>
      </c>
      <c r="I30" s="1029">
        <f t="shared" si="3"/>
        <v>4983.8071035819821</v>
      </c>
      <c r="J30" s="1036">
        <f t="shared" si="3"/>
        <v>2609.2643408682534</v>
      </c>
      <c r="K30" s="1029">
        <f t="shared" si="3"/>
        <v>12991.522313772381</v>
      </c>
      <c r="L30" s="1036">
        <f t="shared" si="3"/>
        <v>4595.8728072286476</v>
      </c>
      <c r="M30" s="1038">
        <f t="shared" si="3"/>
        <v>276.3024848160801</v>
      </c>
      <c r="N30" s="1039">
        <f t="shared" si="3"/>
        <v>5144.4446841227182</v>
      </c>
      <c r="O30" s="1040">
        <f t="shared" si="3"/>
        <v>13267.824798588461</v>
      </c>
      <c r="P30" s="1039">
        <f t="shared" si="3"/>
        <v>9740.2674913513656</v>
      </c>
      <c r="Q30" s="1040">
        <f t="shared" si="3"/>
        <v>23008.092289939828</v>
      </c>
    </row>
    <row r="31" spans="1:17" s="306" customFormat="1" ht="21" customHeight="1">
      <c r="A31" s="405">
        <v>2025</v>
      </c>
      <c r="B31" s="497" t="s">
        <v>420</v>
      </c>
      <c r="C31" s="795">
        <v>1721.419632188477</v>
      </c>
      <c r="D31" s="673">
        <v>574.42253162867848</v>
      </c>
      <c r="E31" s="673">
        <v>2330.2716722721725</v>
      </c>
      <c r="F31" s="678">
        <v>540.44030158395435</v>
      </c>
      <c r="G31" s="673">
        <v>3336.0342322647425</v>
      </c>
      <c r="H31" s="728">
        <v>154.59031218086204</v>
      </c>
      <c r="I31" s="640">
        <v>5098.7787487629112</v>
      </c>
      <c r="J31" s="673">
        <v>1919.7968889302251</v>
      </c>
      <c r="K31" s="640">
        <v>12486.504285488303</v>
      </c>
      <c r="L31" s="673">
        <v>3189.2400343237196</v>
      </c>
      <c r="M31" s="728">
        <v>301.15711986857411</v>
      </c>
      <c r="N31" s="659">
        <v>4208.0871697905659</v>
      </c>
      <c r="O31" s="643">
        <v>12787.661405356877</v>
      </c>
      <c r="P31" s="643">
        <v>7397.3372041142857</v>
      </c>
      <c r="Q31" s="659">
        <v>20184.998609471164</v>
      </c>
    </row>
    <row r="32" spans="1:17" s="306" customFormat="1" ht="16.5" customHeight="1">
      <c r="A32" s="405"/>
      <c r="B32" s="497" t="s">
        <v>421</v>
      </c>
      <c r="C32" s="795">
        <v>1704.7361676127503</v>
      </c>
      <c r="D32" s="673">
        <v>605.27612031468016</v>
      </c>
      <c r="E32" s="673">
        <v>2395.35266829489</v>
      </c>
      <c r="F32" s="678">
        <v>552.94673867724248</v>
      </c>
      <c r="G32" s="673">
        <v>3305.4138135594972</v>
      </c>
      <c r="H32" s="728">
        <v>139.68243865261428</v>
      </c>
      <c r="I32" s="640">
        <v>5120.7837589665578</v>
      </c>
      <c r="J32" s="673">
        <v>2005.8304561084199</v>
      </c>
      <c r="K32" s="640">
        <v>12526.286408433694</v>
      </c>
      <c r="L32" s="673">
        <v>3303.735753752957</v>
      </c>
      <c r="M32" s="728">
        <v>297.03729968827406</v>
      </c>
      <c r="N32" s="659">
        <v>4406.3629943336045</v>
      </c>
      <c r="O32" s="643">
        <v>12823.323708121969</v>
      </c>
      <c r="P32" s="643">
        <v>7710.0687480865618</v>
      </c>
      <c r="Q32" s="659">
        <v>20533.39245620853</v>
      </c>
    </row>
    <row r="33" spans="1:17" s="306" customFormat="1" ht="16.5" customHeight="1">
      <c r="A33" s="405"/>
      <c r="B33" s="497" t="s">
        <v>422</v>
      </c>
      <c r="C33" s="795">
        <v>1628.7898424943228</v>
      </c>
      <c r="D33" s="673">
        <v>569.96856898412329</v>
      </c>
      <c r="E33" s="673">
        <v>2339.3025918100006</v>
      </c>
      <c r="F33" s="678">
        <v>530.71449316675614</v>
      </c>
      <c r="G33" s="673">
        <v>3298.3917840363119</v>
      </c>
      <c r="H33" s="728">
        <v>150.30248787393566</v>
      </c>
      <c r="I33" s="640">
        <v>5161.4212508683213</v>
      </c>
      <c r="J33" s="673">
        <v>2098.3270684671406</v>
      </c>
      <c r="K33" s="640">
        <v>12427.905469208958</v>
      </c>
      <c r="L33" s="673">
        <v>3349.3126184919561</v>
      </c>
      <c r="M33" s="728">
        <v>290.11841800666406</v>
      </c>
      <c r="N33" s="659">
        <v>4494.1339409597613</v>
      </c>
      <c r="O33" s="643">
        <v>12718.023887215622</v>
      </c>
      <c r="P33" s="643">
        <v>7843.4465594517169</v>
      </c>
      <c r="Q33" s="659">
        <v>20561.44044666734</v>
      </c>
    </row>
    <row r="34" spans="1:17" s="306" customFormat="1" ht="16.5" customHeight="1">
      <c r="A34" s="405"/>
      <c r="B34" s="497" t="s">
        <v>411</v>
      </c>
      <c r="C34" s="795">
        <v>1444.16140060977</v>
      </c>
      <c r="D34" s="673">
        <v>464.0412091798126</v>
      </c>
      <c r="E34" s="673">
        <v>2346.7624123737573</v>
      </c>
      <c r="F34" s="678">
        <v>566.4925224225185</v>
      </c>
      <c r="G34" s="673">
        <v>3321.739203966536</v>
      </c>
      <c r="H34" s="728">
        <v>147.0925148652338</v>
      </c>
      <c r="I34" s="640">
        <v>5181.7306922351463</v>
      </c>
      <c r="J34" s="673">
        <v>2047.2866371163686</v>
      </c>
      <c r="K34" s="640">
        <v>12294.373709185209</v>
      </c>
      <c r="L34" s="673">
        <v>3224.9328835839337</v>
      </c>
      <c r="M34" s="728">
        <v>317.60034026817993</v>
      </c>
      <c r="N34" s="659">
        <v>5201.258765152339</v>
      </c>
      <c r="O34" s="643">
        <v>12611.974049453389</v>
      </c>
      <c r="P34" s="643">
        <v>8426.1916487362723</v>
      </c>
      <c r="Q34" s="659">
        <v>21038.165698189659</v>
      </c>
    </row>
    <row r="35" spans="1:17" s="306" customFormat="1" ht="16.5" customHeight="1">
      <c r="A35" s="405"/>
      <c r="B35" s="497" t="s">
        <v>412</v>
      </c>
      <c r="C35" s="795">
        <v>1481.6179802706979</v>
      </c>
      <c r="D35" s="673">
        <v>459.30068990959529</v>
      </c>
      <c r="E35" s="673">
        <v>2393.1064473717875</v>
      </c>
      <c r="F35" s="678">
        <v>597.06161123792799</v>
      </c>
      <c r="G35" s="673">
        <v>3336.5555021631781</v>
      </c>
      <c r="H35" s="728">
        <v>152.14194239797644</v>
      </c>
      <c r="I35" s="640">
        <v>5151.5793756792937</v>
      </c>
      <c r="J35" s="673">
        <v>2141.8053394634217</v>
      </c>
      <c r="K35" s="640">
        <v>12362.859305484957</v>
      </c>
      <c r="L35" s="673">
        <v>3350.3195830089217</v>
      </c>
      <c r="M35" s="728">
        <v>324.7223518438289</v>
      </c>
      <c r="N35" s="659">
        <v>5336.4829000207619</v>
      </c>
      <c r="O35" s="643">
        <v>12687.571657328786</v>
      </c>
      <c r="P35" s="643">
        <v>8686.8024830296836</v>
      </c>
      <c r="Q35" s="659">
        <v>21374.374140358468</v>
      </c>
    </row>
    <row r="36" spans="1:17" s="306" customFormat="1" ht="16.5" customHeight="1">
      <c r="A36" s="405"/>
      <c r="B36" s="497" t="s">
        <v>413</v>
      </c>
      <c r="C36" s="795">
        <v>1579.0212037967999</v>
      </c>
      <c r="D36" s="673">
        <v>531.4989286891921</v>
      </c>
      <c r="E36" s="673">
        <v>2351.9652022122091</v>
      </c>
      <c r="F36" s="678">
        <v>607.20731165527411</v>
      </c>
      <c r="G36" s="673">
        <v>3367.7662804065289</v>
      </c>
      <c r="H36" s="728">
        <v>150.13743061529988</v>
      </c>
      <c r="I36" s="640">
        <v>5300.2131153302089</v>
      </c>
      <c r="J36" s="673">
        <v>2156.4835314669808</v>
      </c>
      <c r="K36" s="640">
        <v>12598.965801745748</v>
      </c>
      <c r="L36" s="673">
        <v>3445.3472024267471</v>
      </c>
      <c r="M36" s="728">
        <v>333.72445415217999</v>
      </c>
      <c r="N36" s="659">
        <v>5452.2694812869904</v>
      </c>
      <c r="O36" s="643">
        <v>12932.690255897927</v>
      </c>
      <c r="P36" s="643">
        <v>8897.6166837137371</v>
      </c>
      <c r="Q36" s="659">
        <v>21830.306939611663</v>
      </c>
    </row>
    <row r="37" spans="1:17" s="306" customFormat="1" ht="21" customHeight="1">
      <c r="A37" s="405">
        <v>2026</v>
      </c>
      <c r="B37" s="497" t="s">
        <v>414</v>
      </c>
      <c r="C37" s="795">
        <v>1564.4317527139228</v>
      </c>
      <c r="D37" s="673">
        <v>515.2472252657742</v>
      </c>
      <c r="E37" s="673">
        <v>2415.8341489240006</v>
      </c>
      <c r="F37" s="678">
        <v>715.22190609843688</v>
      </c>
      <c r="G37" s="673">
        <v>3516.679935419053</v>
      </c>
      <c r="H37" s="728">
        <v>169.45207584524843</v>
      </c>
      <c r="I37" s="640">
        <v>5084.7129376532321</v>
      </c>
      <c r="J37" s="673">
        <v>2164.4033373970938</v>
      </c>
      <c r="K37" s="640">
        <v>12581.648774710207</v>
      </c>
      <c r="L37" s="673">
        <v>3564.2945446065532</v>
      </c>
      <c r="M37" s="728">
        <v>350.8461165653618</v>
      </c>
      <c r="N37" s="659">
        <v>5671.3900249709304</v>
      </c>
      <c r="O37" s="643">
        <v>12932.444891275571</v>
      </c>
      <c r="P37" s="643">
        <v>9235.6845695774828</v>
      </c>
      <c r="Q37" s="659">
        <v>22168.149460853052</v>
      </c>
    </row>
    <row r="38" spans="1:17" s="306" customFormat="1" ht="16.5" customHeight="1">
      <c r="A38" s="405"/>
      <c r="B38" s="497" t="s">
        <v>415</v>
      </c>
      <c r="C38" s="795">
        <v>1573.50405613</v>
      </c>
      <c r="D38" s="673">
        <v>564.39473783995925</v>
      </c>
      <c r="E38" s="673">
        <v>2427.9819756402885</v>
      </c>
      <c r="F38" s="678">
        <v>683.95808582422171</v>
      </c>
      <c r="G38" s="673">
        <v>3542.021810829609</v>
      </c>
      <c r="H38" s="728">
        <v>209.37722302113059</v>
      </c>
      <c r="I38" s="640">
        <v>5061.5726972743514</v>
      </c>
      <c r="J38" s="673">
        <v>2313.1219444519547</v>
      </c>
      <c r="K38" s="640">
        <v>12605.080539874249</v>
      </c>
      <c r="L38" s="673">
        <v>3770.8519911372659</v>
      </c>
      <c r="M38" s="728">
        <v>295.49296050623366</v>
      </c>
      <c r="N38" s="659">
        <v>5769.806711424294</v>
      </c>
      <c r="O38" s="643">
        <v>12900.573500380482</v>
      </c>
      <c r="P38" s="643">
        <v>9540.658702561559</v>
      </c>
      <c r="Q38" s="659">
        <v>22441.262202942042</v>
      </c>
    </row>
    <row r="39" spans="1:17" s="306" customFormat="1" ht="16.5" customHeight="1">
      <c r="A39" s="405"/>
      <c r="B39" s="497" t="s">
        <v>416</v>
      </c>
      <c r="C39" s="795">
        <v>1840.4332174430199</v>
      </c>
      <c r="D39" s="673">
        <v>878.17898708690427</v>
      </c>
      <c r="E39" s="673">
        <v>2541.5109079535623</v>
      </c>
      <c r="F39" s="678">
        <v>744.04622900062918</v>
      </c>
      <c r="G39" s="673">
        <v>3457.6750568250472</v>
      </c>
      <c r="H39" s="728">
        <v>171.07456758325992</v>
      </c>
      <c r="I39" s="640">
        <v>4924.3928911142866</v>
      </c>
      <c r="J39" s="673">
        <v>2220.0068885687342</v>
      </c>
      <c r="K39" s="640">
        <v>12764.012073335916</v>
      </c>
      <c r="L39" s="673">
        <v>4013.3066722395274</v>
      </c>
      <c r="M39" s="728">
        <v>292.76948178549731</v>
      </c>
      <c r="N39" s="659">
        <v>5275.9519714437556</v>
      </c>
      <c r="O39" s="643">
        <v>13056.781555121413</v>
      </c>
      <c r="P39" s="643">
        <v>9289.2586436832826</v>
      </c>
      <c r="Q39" s="659">
        <v>22346.060198804698</v>
      </c>
    </row>
    <row r="40" spans="1:17" s="306" customFormat="1" ht="16.5" customHeight="1">
      <c r="A40" s="405"/>
      <c r="B40" s="497" t="s">
        <v>417</v>
      </c>
      <c r="C40" s="795">
        <v>1740.3644881544342</v>
      </c>
      <c r="D40" s="673">
        <v>1023.2248765638312</v>
      </c>
      <c r="E40" s="673">
        <v>2851.128164927773</v>
      </c>
      <c r="F40" s="678">
        <v>816.39303342653875</v>
      </c>
      <c r="G40" s="673">
        <v>3571.1907708120007</v>
      </c>
      <c r="H40" s="728">
        <v>209.90364910643194</v>
      </c>
      <c r="I40" s="640">
        <v>4903.8073242508526</v>
      </c>
      <c r="J40" s="673">
        <v>2387.9479850726179</v>
      </c>
      <c r="K40" s="640">
        <v>13066.490748145061</v>
      </c>
      <c r="L40" s="673">
        <v>4437.4495441694198</v>
      </c>
      <c r="M40" s="728">
        <v>297.92529833306099</v>
      </c>
      <c r="N40" s="659">
        <v>5024.5142711003309</v>
      </c>
      <c r="O40" s="643">
        <v>13364.416046478122</v>
      </c>
      <c r="P40" s="643">
        <v>9461.9438152697512</v>
      </c>
      <c r="Q40" s="659">
        <v>22826.299861747877</v>
      </c>
    </row>
    <row r="41" spans="1:17" s="306" customFormat="1" ht="16.5" customHeight="1">
      <c r="A41" s="405"/>
      <c r="B41" s="497" t="s">
        <v>418</v>
      </c>
      <c r="C41" s="795">
        <v>1790.0269004263068</v>
      </c>
      <c r="D41" s="673">
        <v>1038.873507491332</v>
      </c>
      <c r="E41" s="673">
        <v>2841.9731544397018</v>
      </c>
      <c r="F41" s="678">
        <v>800.29996891405972</v>
      </c>
      <c r="G41" s="673">
        <v>3482.6601697930755</v>
      </c>
      <c r="H41" s="728">
        <v>176.40755832669424</v>
      </c>
      <c r="I41" s="640">
        <v>4930.8118913283943</v>
      </c>
      <c r="J41" s="673">
        <v>2457.5380083128875</v>
      </c>
      <c r="K41" s="640">
        <v>13045.472115987479</v>
      </c>
      <c r="L41" s="673">
        <v>4473.1190430449742</v>
      </c>
      <c r="M41" s="728">
        <v>303.14220092853219</v>
      </c>
      <c r="N41" s="659">
        <v>5045.1933185499183</v>
      </c>
      <c r="O41" s="643">
        <v>13348.634316916012</v>
      </c>
      <c r="P41" s="643">
        <v>9518.3123615948934</v>
      </c>
      <c r="Q41" s="659">
        <v>22866.946678510903</v>
      </c>
    </row>
    <row r="42" spans="1:17" s="306" customFormat="1" ht="16.5" customHeight="1">
      <c r="A42" s="405"/>
      <c r="B42" s="497" t="s">
        <v>419</v>
      </c>
      <c r="C42" s="795">
        <v>1676.4892092755299</v>
      </c>
      <c r="D42" s="673">
        <v>1051.9595160254669</v>
      </c>
      <c r="E42" s="673">
        <v>2620.2354616600169</v>
      </c>
      <c r="F42" s="678">
        <v>756.73634149492398</v>
      </c>
      <c r="G42" s="673">
        <v>3710.9905392548526</v>
      </c>
      <c r="H42" s="728">
        <v>177.86260884000387</v>
      </c>
      <c r="I42" s="640">
        <v>4983.8071035819821</v>
      </c>
      <c r="J42" s="673">
        <v>2609.2643408682534</v>
      </c>
      <c r="K42" s="640">
        <v>12991.522313772381</v>
      </c>
      <c r="L42" s="673">
        <v>4595.8728072286476</v>
      </c>
      <c r="M42" s="728">
        <v>276.3024848160801</v>
      </c>
      <c r="N42" s="659">
        <v>5144.4446841227182</v>
      </c>
      <c r="O42" s="643">
        <v>13267.824798588461</v>
      </c>
      <c r="P42" s="643">
        <v>9740.2674913513656</v>
      </c>
      <c r="Q42" s="659">
        <v>23008.092289939828</v>
      </c>
    </row>
    <row r="43" spans="1:17" s="306" customFormat="1" ht="16.5" customHeight="1">
      <c r="A43" s="405"/>
      <c r="B43" s="497" t="s">
        <v>420</v>
      </c>
      <c r="C43" s="795">
        <v>1632.708249522509</v>
      </c>
      <c r="D43" s="673">
        <v>969.55821161376161</v>
      </c>
      <c r="E43" s="673">
        <v>2535.3356070950986</v>
      </c>
      <c r="F43" s="678">
        <v>748.43026295896846</v>
      </c>
      <c r="G43" s="673">
        <v>3681.1816920613292</v>
      </c>
      <c r="H43" s="728">
        <v>181.80056669904286</v>
      </c>
      <c r="I43" s="640">
        <v>5042.5878202342747</v>
      </c>
      <c r="J43" s="673">
        <v>2566.3236290914492</v>
      </c>
      <c r="K43" s="640">
        <v>12891.833368913211</v>
      </c>
      <c r="L43" s="673">
        <v>4466.1126703632217</v>
      </c>
      <c r="M43" s="728">
        <v>265.75420252534832</v>
      </c>
      <c r="N43" s="659">
        <v>4968.2353800343171</v>
      </c>
      <c r="O43" s="643">
        <v>13157.587571438558</v>
      </c>
      <c r="P43" s="643">
        <v>9434.3480503975388</v>
      </c>
      <c r="Q43" s="659">
        <v>22591.935621836099</v>
      </c>
    </row>
    <row r="44" spans="1:17" ht="20.25" customHeight="1">
      <c r="A44" s="215" t="s">
        <v>835</v>
      </c>
      <c r="B44" s="217"/>
      <c r="C44" s="215"/>
      <c r="D44" s="215"/>
      <c r="E44" s="215"/>
      <c r="F44" s="251"/>
      <c r="G44" s="292"/>
      <c r="H44" s="215"/>
      <c r="I44" s="215"/>
      <c r="J44" s="215"/>
      <c r="K44" s="215"/>
      <c r="L44" s="215"/>
      <c r="M44" s="215"/>
      <c r="N44" s="215"/>
      <c r="O44" s="218"/>
      <c r="P44" s="293"/>
      <c r="Q44" s="294" t="s">
        <v>836</v>
      </c>
    </row>
    <row r="45" spans="1:17">
      <c r="C45" s="636"/>
      <c r="D45" s="636"/>
      <c r="E45" s="636"/>
      <c r="F45" s="636"/>
      <c r="G45" s="636"/>
      <c r="H45" s="636"/>
      <c r="I45" s="636"/>
      <c r="J45" s="636"/>
      <c r="K45" s="636"/>
      <c r="L45" s="636"/>
      <c r="M45" s="636"/>
      <c r="N45" s="636"/>
      <c r="O45" s="636"/>
      <c r="P45" s="636"/>
      <c r="Q45" s="636"/>
    </row>
    <row r="46" spans="1:17">
      <c r="B46" s="146"/>
      <c r="C46" s="636"/>
      <c r="D46" s="636"/>
      <c r="E46" s="636"/>
      <c r="F46" s="636"/>
      <c r="G46" s="636"/>
      <c r="H46" s="636"/>
      <c r="I46" s="636"/>
      <c r="J46" s="636"/>
      <c r="K46" s="636"/>
      <c r="L46" s="636"/>
      <c r="M46" s="636"/>
      <c r="N46" s="636"/>
      <c r="O46" s="636"/>
      <c r="P46" s="636"/>
      <c r="Q46" s="636"/>
    </row>
    <row r="47" spans="1:17" s="38" customFormat="1" ht="13.8">
      <c r="A47" s="317" t="s">
        <v>837</v>
      </c>
      <c r="B47" s="317"/>
      <c r="C47" s="317"/>
      <c r="D47" s="317"/>
      <c r="E47" s="317"/>
      <c r="F47" s="317"/>
      <c r="G47" s="317"/>
      <c r="H47" s="317"/>
      <c r="I47" s="317"/>
      <c r="J47" s="317"/>
      <c r="K47" s="317"/>
      <c r="L47" s="317"/>
      <c r="M47" s="317"/>
      <c r="N47" s="317"/>
      <c r="O47" s="317"/>
      <c r="P47" s="317"/>
      <c r="Q47" s="317"/>
    </row>
    <row r="48" spans="1:17">
      <c r="I48" s="580"/>
      <c r="J48" s="580"/>
      <c r="K48" s="580"/>
      <c r="L48" s="580"/>
    </row>
    <row r="49" spans="1:12">
      <c r="A49" s="17"/>
      <c r="I49" s="580"/>
      <c r="J49" s="580"/>
      <c r="K49" s="580"/>
      <c r="L49" s="580"/>
    </row>
    <row r="50" spans="1:12">
      <c r="A50" s="9"/>
      <c r="B50" s="7"/>
      <c r="C50" s="7"/>
      <c r="I50" s="580"/>
      <c r="J50" s="580"/>
      <c r="K50" s="580"/>
      <c r="L50" s="580"/>
    </row>
    <row r="51" spans="1:12">
      <c r="I51" s="580"/>
      <c r="J51" s="580"/>
      <c r="K51" s="580"/>
      <c r="L51" s="580"/>
    </row>
    <row r="52" spans="1:12">
      <c r="I52" s="580"/>
      <c r="J52" s="580"/>
      <c r="K52" s="580"/>
      <c r="L52" s="580"/>
    </row>
    <row r="53" spans="1:12">
      <c r="I53" s="580"/>
      <c r="J53" s="580"/>
      <c r="K53" s="580"/>
      <c r="L53" s="580"/>
    </row>
    <row r="54" spans="1:12">
      <c r="I54" s="580"/>
      <c r="J54" s="580"/>
      <c r="K54" s="580"/>
      <c r="L54" s="580"/>
    </row>
    <row r="55" spans="1:12">
      <c r="I55" s="580"/>
      <c r="J55" s="580"/>
      <c r="K55" s="580"/>
      <c r="L55" s="580"/>
    </row>
    <row r="56" spans="1:12">
      <c r="I56" s="580"/>
      <c r="J56" s="580"/>
      <c r="K56" s="580"/>
      <c r="L56" s="580"/>
    </row>
  </sheetData>
  <phoneticPr fontId="0" type="noConversion"/>
  <printOptions horizontalCentered="1" verticalCentered="1"/>
  <pageMargins left="0" right="0" top="0" bottom="0" header="0.511811023622047" footer="0.511811023622047"/>
  <pageSetup paperSize="9" scale="7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5">
    <pageSetUpPr fitToPage="1"/>
  </sheetPr>
  <dimension ref="A1:L53"/>
  <sheetViews>
    <sheetView zoomScale="80" zoomScaleNormal="80" workbookViewId="0">
      <pane ySplit="12" topLeftCell="A28" activePane="bottomLeft" state="frozen"/>
      <selection activeCell="B2" sqref="B2"/>
      <selection pane="bottomLeft" activeCell="N37" sqref="N37"/>
    </sheetView>
  </sheetViews>
  <sheetFormatPr defaultColWidth="9.21875" defaultRowHeight="15"/>
  <cols>
    <col min="1" max="1" width="8.44140625" style="148" customWidth="1"/>
    <col min="2" max="2" width="7.21875" style="148" customWidth="1"/>
    <col min="3" max="4" width="15.77734375" style="148" customWidth="1"/>
    <col min="5" max="5" width="12.77734375" style="148" customWidth="1"/>
    <col min="6" max="6" width="9.77734375" style="148" customWidth="1"/>
    <col min="7" max="7" width="10.77734375" style="148" customWidth="1"/>
    <col min="8" max="8" width="13.44140625" style="148" bestFit="1" customWidth="1"/>
    <col min="9" max="9" width="13.77734375" style="148" customWidth="1"/>
    <col min="10" max="10" width="9.44140625" style="148" customWidth="1"/>
    <col min="11" max="11" width="15.77734375" style="148" customWidth="1"/>
    <col min="12" max="12" width="15.77734375" style="1402" customWidth="1"/>
    <col min="13" max="16384" width="9.21875" style="148"/>
  </cols>
  <sheetData>
    <row r="1" spans="1:12" s="416" customFormat="1" ht="17.399999999999999">
      <c r="A1" s="277" t="s">
        <v>1766</v>
      </c>
      <c r="B1" s="277"/>
      <c r="C1" s="415"/>
      <c r="D1" s="415"/>
      <c r="E1" s="415"/>
      <c r="F1" s="415"/>
      <c r="G1" s="415"/>
      <c r="H1" s="415"/>
      <c r="I1" s="415"/>
      <c r="J1" s="415"/>
      <c r="K1" s="415"/>
      <c r="L1" s="382"/>
    </row>
    <row r="2" spans="1:12" s="381" customFormat="1" ht="21.3" customHeight="1">
      <c r="A2" s="1660" t="s">
        <v>766</v>
      </c>
      <c r="B2" s="1710"/>
      <c r="C2" s="1710"/>
      <c r="D2" s="1710"/>
      <c r="E2" s="1710"/>
      <c r="F2" s="1710"/>
      <c r="G2" s="1710"/>
      <c r="H2" s="1710"/>
      <c r="I2" s="1710"/>
      <c r="J2" s="1710"/>
      <c r="K2" s="1710"/>
      <c r="L2" s="382"/>
    </row>
    <row r="3" spans="1:12" s="381" customFormat="1" ht="21.3" customHeight="1">
      <c r="A3" s="277" t="s">
        <v>767</v>
      </c>
      <c r="B3" s="1710"/>
      <c r="C3" s="1710"/>
      <c r="D3" s="1710"/>
      <c r="E3" s="1710"/>
      <c r="F3" s="1710"/>
      <c r="G3" s="1710"/>
      <c r="H3" s="1710"/>
      <c r="I3" s="1710"/>
      <c r="J3" s="1710"/>
      <c r="K3" s="1710"/>
      <c r="L3" s="382"/>
    </row>
    <row r="4" spans="1:12" s="381" customFormat="1" ht="21.3" customHeight="1">
      <c r="A4" s="1660" t="s">
        <v>838</v>
      </c>
      <c r="B4" s="1710"/>
      <c r="C4" s="1710"/>
      <c r="D4" s="1710"/>
      <c r="E4" s="1710"/>
      <c r="F4" s="1710"/>
      <c r="G4" s="1710"/>
      <c r="H4" s="1710"/>
      <c r="I4" s="1710"/>
      <c r="J4" s="1710"/>
      <c r="K4" s="1710"/>
      <c r="L4" s="382"/>
    </row>
    <row r="5" spans="1:12" s="381" customFormat="1" ht="17.399999999999999">
      <c r="A5" s="277" t="s">
        <v>839</v>
      </c>
      <c r="B5" s="1710"/>
      <c r="C5" s="1710"/>
      <c r="D5" s="1710"/>
      <c r="E5" s="1710"/>
      <c r="F5" s="1710"/>
      <c r="G5" s="1710"/>
      <c r="H5" s="1710"/>
      <c r="I5" s="1710"/>
      <c r="J5" s="1710"/>
      <c r="K5" s="1710"/>
      <c r="L5" s="382"/>
    </row>
    <row r="6" spans="1:12" s="416" customFormat="1" ht="17.399999999999999" hidden="1">
      <c r="A6" s="277"/>
      <c r="B6" s="277"/>
      <c r="C6" s="415"/>
      <c r="D6" s="415"/>
      <c r="E6" s="415"/>
      <c r="F6" s="415"/>
      <c r="G6" s="415"/>
      <c r="H6" s="415"/>
      <c r="I6" s="415"/>
      <c r="J6" s="415"/>
      <c r="K6" s="415"/>
      <c r="L6" s="1402"/>
    </row>
    <row r="7" spans="1:12" s="416" customFormat="1" ht="17.399999999999999" hidden="1">
      <c r="A7" s="277"/>
      <c r="B7" s="277"/>
      <c r="C7" s="415"/>
      <c r="D7" s="415"/>
      <c r="E7" s="415"/>
      <c r="F7" s="415"/>
      <c r="G7" s="415"/>
      <c r="H7" s="415"/>
      <c r="I7" s="415"/>
      <c r="J7" s="415"/>
      <c r="K7" s="415"/>
      <c r="L7" s="589" t="s">
        <v>370</v>
      </c>
    </row>
    <row r="8" spans="1:12" s="416" customFormat="1">
      <c r="A8" s="417" t="s">
        <v>369</v>
      </c>
      <c r="B8" s="418"/>
      <c r="C8" s="415"/>
      <c r="D8" s="415"/>
      <c r="K8" s="419"/>
      <c r="L8" s="246" t="s">
        <v>370</v>
      </c>
    </row>
    <row r="9" spans="1:12" s="161" customFormat="1" ht="23.85" customHeight="1">
      <c r="A9" s="1234" t="s">
        <v>379</v>
      </c>
      <c r="B9" s="1235"/>
      <c r="C9" s="718" t="s">
        <v>840</v>
      </c>
      <c r="D9" s="718" t="s">
        <v>840</v>
      </c>
      <c r="E9" s="420" t="s">
        <v>841</v>
      </c>
      <c r="F9" s="425"/>
      <c r="G9" s="425"/>
      <c r="H9" s="174"/>
      <c r="I9" s="426"/>
      <c r="J9" s="426"/>
      <c r="K9" s="424" t="s">
        <v>842</v>
      </c>
      <c r="L9" s="865"/>
    </row>
    <row r="10" spans="1:12" s="404" customFormat="1" ht="20.25" customHeight="1">
      <c r="A10" s="1236"/>
      <c r="B10" s="1237"/>
      <c r="C10" s="717" t="s">
        <v>843</v>
      </c>
      <c r="D10" s="717" t="s">
        <v>844</v>
      </c>
      <c r="E10" s="420" t="s">
        <v>561</v>
      </c>
      <c r="F10" s="181"/>
      <c r="H10" s="586" t="s">
        <v>562</v>
      </c>
      <c r="I10" s="588"/>
      <c r="K10" s="432"/>
      <c r="L10" s="612"/>
    </row>
    <row r="11" spans="1:12" s="404" customFormat="1" ht="15.6">
      <c r="A11" s="1236"/>
      <c r="B11" s="1237"/>
      <c r="C11" s="1248" t="s">
        <v>845</v>
      </c>
      <c r="D11" s="1246" t="s">
        <v>846</v>
      </c>
      <c r="E11" s="427" t="s">
        <v>572</v>
      </c>
      <c r="F11" s="435" t="s">
        <v>573</v>
      </c>
      <c r="G11" s="587" t="s">
        <v>574</v>
      </c>
      <c r="H11" s="435" t="s">
        <v>575</v>
      </c>
      <c r="I11" s="435" t="s">
        <v>576</v>
      </c>
      <c r="J11" s="435" t="s">
        <v>391</v>
      </c>
      <c r="K11" s="435" t="s">
        <v>382</v>
      </c>
      <c r="L11" s="612" t="s">
        <v>382</v>
      </c>
    </row>
    <row r="12" spans="1:12" s="404" customFormat="1" ht="46.8">
      <c r="A12" s="179" t="s">
        <v>387</v>
      </c>
      <c r="B12" s="436"/>
      <c r="C12" s="1249"/>
      <c r="D12" s="1247"/>
      <c r="E12" s="403" t="s">
        <v>586</v>
      </c>
      <c r="F12" s="402" t="s">
        <v>587</v>
      </c>
      <c r="G12" s="402" t="s">
        <v>588</v>
      </c>
      <c r="H12" s="402" t="s">
        <v>589</v>
      </c>
      <c r="I12" s="402" t="s">
        <v>847</v>
      </c>
      <c r="J12" s="402" t="s">
        <v>399</v>
      </c>
      <c r="K12" s="402" t="s">
        <v>392</v>
      </c>
      <c r="L12" s="402" t="s">
        <v>737</v>
      </c>
    </row>
    <row r="13" spans="1:12" ht="23.85" customHeight="1">
      <c r="A13" s="719">
        <v>2016</v>
      </c>
      <c r="B13" s="722"/>
      <c r="C13" s="724">
        <v>4161.5844857569446</v>
      </c>
      <c r="D13" s="724">
        <v>293.393422171</v>
      </c>
      <c r="E13" s="664">
        <v>1512.4267565786529</v>
      </c>
      <c r="F13" s="664">
        <v>124.91570434644558</v>
      </c>
      <c r="G13" s="664">
        <v>47.456477877223094</v>
      </c>
      <c r="H13" s="664">
        <v>1211.603801150909</v>
      </c>
      <c r="I13" s="664">
        <v>80.624415123407729</v>
      </c>
      <c r="J13" s="664">
        <v>630.70100148055405</v>
      </c>
      <c r="K13" s="724">
        <v>3607.708156557193</v>
      </c>
      <c r="L13" s="1123">
        <v>8062.6885616301388</v>
      </c>
    </row>
    <row r="14" spans="1:12" ht="17.55" customHeight="1">
      <c r="A14" s="720">
        <v>2017</v>
      </c>
      <c r="B14" s="497"/>
      <c r="C14" s="724">
        <v>4630.6180919492481</v>
      </c>
      <c r="D14" s="724">
        <v>333.20340702185467</v>
      </c>
      <c r="E14" s="664">
        <v>1613.5704755808929</v>
      </c>
      <c r="F14" s="664">
        <v>114.92558106559665</v>
      </c>
      <c r="G14" s="664">
        <v>52.880254186261901</v>
      </c>
      <c r="H14" s="664">
        <v>1278.2919015809598</v>
      </c>
      <c r="I14" s="664">
        <v>86.088649882896917</v>
      </c>
      <c r="J14" s="664">
        <v>589.5464118674613</v>
      </c>
      <c r="K14" s="724">
        <v>3735.3002741640694</v>
      </c>
      <c r="L14" s="1123">
        <v>8699.1442794191717</v>
      </c>
    </row>
    <row r="15" spans="1:12" ht="17.25" customHeight="1">
      <c r="A15" s="720">
        <v>2018</v>
      </c>
      <c r="B15" s="497"/>
      <c r="C15" s="724">
        <v>5096.3999941671809</v>
      </c>
      <c r="D15" s="724">
        <v>261.14266266389723</v>
      </c>
      <c r="E15" s="664">
        <v>1796.6556200730508</v>
      </c>
      <c r="F15" s="664">
        <v>103.01312042745215</v>
      </c>
      <c r="G15" s="664">
        <v>134.13652000812272</v>
      </c>
      <c r="H15" s="664">
        <v>1325.0552413339694</v>
      </c>
      <c r="I15" s="664">
        <v>72.527739006359454</v>
      </c>
      <c r="J15" s="664">
        <v>730.96027452571207</v>
      </c>
      <c r="K15" s="664">
        <v>4162.3585153746671</v>
      </c>
      <c r="L15" s="1123">
        <v>9519.8911722057455</v>
      </c>
    </row>
    <row r="16" spans="1:12" ht="17.25" customHeight="1">
      <c r="A16" s="720">
        <v>2019</v>
      </c>
      <c r="B16" s="497"/>
      <c r="C16" s="724">
        <v>5138.6018137726624</v>
      </c>
      <c r="D16" s="724">
        <v>301.55149023442948</v>
      </c>
      <c r="E16" s="664">
        <v>1953.1586812877845</v>
      </c>
      <c r="F16" s="664">
        <v>122.97281821996518</v>
      </c>
      <c r="G16" s="664">
        <v>140.10478611362126</v>
      </c>
      <c r="H16" s="664">
        <v>1577.4472417995232</v>
      </c>
      <c r="I16" s="664">
        <v>104.03196525536923</v>
      </c>
      <c r="J16" s="664">
        <v>398.52317546487865</v>
      </c>
      <c r="K16" s="664">
        <v>4296.1786681411422</v>
      </c>
      <c r="L16" s="1123">
        <v>9736.3989501659489</v>
      </c>
    </row>
    <row r="17" spans="1:12" ht="17.25" customHeight="1">
      <c r="A17" s="720">
        <v>2020</v>
      </c>
      <c r="B17" s="497"/>
      <c r="C17" s="724">
        <v>5326.8598116189005</v>
      </c>
      <c r="D17" s="724">
        <v>369.62912362053709</v>
      </c>
      <c r="E17" s="664">
        <v>2197.9054834952717</v>
      </c>
      <c r="F17" s="664">
        <v>118.13864136425786</v>
      </c>
      <c r="G17" s="664">
        <v>187.6348313960944</v>
      </c>
      <c r="H17" s="664">
        <v>1700.3500544124508</v>
      </c>
      <c r="I17" s="664">
        <v>92.176158572542974</v>
      </c>
      <c r="J17" s="664">
        <v>421.12282458665271</v>
      </c>
      <c r="K17" s="664">
        <v>4717.3279938272699</v>
      </c>
      <c r="L17" s="1123">
        <v>10413.786929066708</v>
      </c>
    </row>
    <row r="18" spans="1:12" ht="17.25" customHeight="1">
      <c r="A18" s="720">
        <v>2021</v>
      </c>
      <c r="B18" s="497"/>
      <c r="C18" s="724">
        <v>5341.1725163365518</v>
      </c>
      <c r="D18" s="724">
        <v>454.44253734746621</v>
      </c>
      <c r="E18" s="664">
        <v>2261.5450850151483</v>
      </c>
      <c r="F18" s="664">
        <v>109.1633888960915</v>
      </c>
      <c r="G18" s="664">
        <v>133.67238106277776</v>
      </c>
      <c r="H18" s="664">
        <v>1933.0181037870075</v>
      </c>
      <c r="I18" s="664">
        <v>99.499513170784923</v>
      </c>
      <c r="J18" s="664">
        <v>573.78981344844533</v>
      </c>
      <c r="K18" s="664">
        <v>5110.6882853802545</v>
      </c>
      <c r="L18" s="1123">
        <v>10906.303339064274</v>
      </c>
    </row>
    <row r="19" spans="1:12" ht="17.25" customHeight="1">
      <c r="A19" s="720">
        <v>2022</v>
      </c>
      <c r="B19" s="497"/>
      <c r="C19" s="724">
        <v>4951.476040089975</v>
      </c>
      <c r="D19" s="724">
        <v>629.84264341138123</v>
      </c>
      <c r="E19" s="664">
        <v>2760.8255985808432</v>
      </c>
      <c r="F19" s="664">
        <v>106.64121251771931</v>
      </c>
      <c r="G19" s="664">
        <v>129.35406667947981</v>
      </c>
      <c r="H19" s="664">
        <v>1915.0087582619517</v>
      </c>
      <c r="I19" s="664">
        <v>84.170806942194645</v>
      </c>
      <c r="J19" s="664">
        <v>720.76908296040074</v>
      </c>
      <c r="K19" s="664">
        <v>5716.7695259425891</v>
      </c>
      <c r="L19" s="1123">
        <v>11298.088209443948</v>
      </c>
    </row>
    <row r="20" spans="1:12" ht="17.25" customHeight="1">
      <c r="A20" s="720">
        <v>2023</v>
      </c>
      <c r="B20" s="497"/>
      <c r="C20" s="724">
        <v>5019.3357399331735</v>
      </c>
      <c r="D20" s="724">
        <v>925.35749810301661</v>
      </c>
      <c r="E20" s="664">
        <v>2880.3015089492378</v>
      </c>
      <c r="F20" s="664">
        <v>97.070687621000133</v>
      </c>
      <c r="G20" s="664">
        <v>236.92422206352998</v>
      </c>
      <c r="H20" s="664">
        <v>1778.4750856533999</v>
      </c>
      <c r="I20" s="664">
        <v>119.86694933148686</v>
      </c>
      <c r="J20" s="664">
        <v>721.92946302158475</v>
      </c>
      <c r="K20" s="664">
        <v>5834.5979166402394</v>
      </c>
      <c r="L20" s="1123">
        <v>11779.271154676429</v>
      </c>
    </row>
    <row r="21" spans="1:12" ht="17.25" customHeight="1">
      <c r="A21" s="720">
        <v>2024</v>
      </c>
      <c r="B21" s="497"/>
      <c r="C21" s="724">
        <v>5211.7368259243813</v>
      </c>
      <c r="D21" s="724">
        <v>1160.0531715063664</v>
      </c>
      <c r="E21" s="664">
        <v>3030.3459715256877</v>
      </c>
      <c r="F21" s="664">
        <v>97.236608660279941</v>
      </c>
      <c r="G21" s="664">
        <v>209.65139991333962</v>
      </c>
      <c r="H21" s="664">
        <v>1775.714553265771</v>
      </c>
      <c r="I21" s="664">
        <v>133.86146642184696</v>
      </c>
      <c r="J21" s="664">
        <v>703.29004735939156</v>
      </c>
      <c r="K21" s="664">
        <v>5950.1000471463158</v>
      </c>
      <c r="L21" s="1123">
        <v>12321.880044577063</v>
      </c>
    </row>
    <row r="22" spans="1:12" ht="17.25" customHeight="1">
      <c r="A22" s="1033">
        <v>2025</v>
      </c>
      <c r="B22" s="750"/>
      <c r="C22" s="725">
        <f t="shared" ref="C22:L22" si="0">C28</f>
        <v>5276.1555041732627</v>
      </c>
      <c r="D22" s="725">
        <f t="shared" si="0"/>
        <v>1507.6479627709778</v>
      </c>
      <c r="E22" s="721">
        <f t="shared" si="0"/>
        <v>3194.0409247301518</v>
      </c>
      <c r="F22" s="721">
        <f t="shared" si="0"/>
        <v>93.773379612329194</v>
      </c>
      <c r="G22" s="721">
        <f t="shared" si="0"/>
        <v>187.36721536970668</v>
      </c>
      <c r="H22" s="721">
        <f t="shared" si="0"/>
        <v>1773.8931442692156</v>
      </c>
      <c r="I22" s="721">
        <f t="shared" si="0"/>
        <v>124.93470459513981</v>
      </c>
      <c r="J22" s="721">
        <f t="shared" si="0"/>
        <v>816.27727535004715</v>
      </c>
      <c r="K22" s="721">
        <f t="shared" si="0"/>
        <v>6190.2866439265899</v>
      </c>
      <c r="L22" s="1034">
        <f t="shared" si="0"/>
        <v>12974.080110870829</v>
      </c>
    </row>
    <row r="23" spans="1:12" ht="21" customHeight="1">
      <c r="A23" s="720">
        <v>2024</v>
      </c>
      <c r="B23" s="497" t="s">
        <v>237</v>
      </c>
      <c r="C23" s="724">
        <v>5211.6297925814106</v>
      </c>
      <c r="D23" s="724">
        <v>1059.065069696474</v>
      </c>
      <c r="E23" s="664">
        <v>3002.6821508929684</v>
      </c>
      <c r="F23" s="664">
        <v>99.64096807299984</v>
      </c>
      <c r="G23" s="664">
        <v>250.67040294889802</v>
      </c>
      <c r="H23" s="664">
        <v>1757.8691216852019</v>
      </c>
      <c r="I23" s="664">
        <v>122.30917089341021</v>
      </c>
      <c r="J23" s="664">
        <v>660.79056905889718</v>
      </c>
      <c r="K23" s="664">
        <v>5893.9823835523748</v>
      </c>
      <c r="L23" s="1123">
        <v>12164.677245830258</v>
      </c>
    </row>
    <row r="24" spans="1:12" ht="15" customHeight="1">
      <c r="A24" s="720"/>
      <c r="B24" s="497" t="s">
        <v>238</v>
      </c>
      <c r="C24" s="724">
        <v>5211.7368259243813</v>
      </c>
      <c r="D24" s="724">
        <v>1160.0531715063664</v>
      </c>
      <c r="E24" s="664">
        <v>3030.3459715256877</v>
      </c>
      <c r="F24" s="664">
        <v>97.236608660279941</v>
      </c>
      <c r="G24" s="664">
        <v>209.65139991333962</v>
      </c>
      <c r="H24" s="664">
        <v>1775.714553265771</v>
      </c>
      <c r="I24" s="664">
        <v>133.86146642184696</v>
      </c>
      <c r="J24" s="664">
        <v>703.29004735939156</v>
      </c>
      <c r="K24" s="664">
        <v>5950.1000471463158</v>
      </c>
      <c r="L24" s="1123">
        <v>12321.880044577063</v>
      </c>
    </row>
    <row r="25" spans="1:12" ht="21" customHeight="1">
      <c r="A25" s="720">
        <v>2025</v>
      </c>
      <c r="B25" s="497" t="s">
        <v>239</v>
      </c>
      <c r="C25" s="724">
        <v>5420.1308842272992</v>
      </c>
      <c r="D25" s="724">
        <v>1168.777867074474</v>
      </c>
      <c r="E25" s="664">
        <v>3057.556118823607</v>
      </c>
      <c r="F25" s="664">
        <v>96.929923448877631</v>
      </c>
      <c r="G25" s="664">
        <v>209.30938218725512</v>
      </c>
      <c r="H25" s="664">
        <v>1773.3579202030435</v>
      </c>
      <c r="I25" s="664">
        <v>129.53046176517535</v>
      </c>
      <c r="J25" s="664">
        <v>751.80673064117366</v>
      </c>
      <c r="K25" s="664">
        <v>6018.480537069132</v>
      </c>
      <c r="L25" s="1123">
        <v>12607.389288370905</v>
      </c>
    </row>
    <row r="26" spans="1:12" ht="15" customHeight="1">
      <c r="A26" s="720"/>
      <c r="B26" s="497" t="s">
        <v>240</v>
      </c>
      <c r="C26" s="724">
        <v>5363.2892695501778</v>
      </c>
      <c r="D26" s="724">
        <v>1010.7437151857915</v>
      </c>
      <c r="E26" s="664">
        <v>3093.8592211611513</v>
      </c>
      <c r="F26" s="664">
        <v>97.225197071025647</v>
      </c>
      <c r="G26" s="664">
        <v>212.96984374498405</v>
      </c>
      <c r="H26" s="664">
        <v>1813.9588949115157</v>
      </c>
      <c r="I26" s="664">
        <v>126.52311999544074</v>
      </c>
      <c r="J26" s="664">
        <v>758.93683913909035</v>
      </c>
      <c r="K26" s="664">
        <v>6103.4631160232075</v>
      </c>
      <c r="L26" s="1123">
        <v>12477.506100759178</v>
      </c>
    </row>
    <row r="27" spans="1:12" ht="15" customHeight="1">
      <c r="A27" s="720"/>
      <c r="B27" s="497" t="s">
        <v>237</v>
      </c>
      <c r="C27" s="724">
        <v>5194.9394012753892</v>
      </c>
      <c r="D27" s="724">
        <v>1427.2951288437189</v>
      </c>
      <c r="E27" s="664">
        <v>3135.080963337296</v>
      </c>
      <c r="F27" s="664">
        <v>95.718940315254002</v>
      </c>
      <c r="G27" s="664">
        <v>185.36023841480446</v>
      </c>
      <c r="H27" s="664">
        <v>1786.3176772417112</v>
      </c>
      <c r="I27" s="664">
        <v>125.33329381862335</v>
      </c>
      <c r="J27" s="664">
        <v>796.75991434383059</v>
      </c>
      <c r="K27" s="664">
        <v>6124.5510274715189</v>
      </c>
      <c r="L27" s="1123">
        <v>12746.785557590629</v>
      </c>
    </row>
    <row r="28" spans="1:12" ht="15" customHeight="1">
      <c r="A28" s="720"/>
      <c r="B28" s="497" t="s">
        <v>238</v>
      </c>
      <c r="C28" s="724">
        <f t="shared" ref="C28:L28" si="1">C36</f>
        <v>5276.1555041732627</v>
      </c>
      <c r="D28" s="724">
        <f t="shared" si="1"/>
        <v>1507.6479627709778</v>
      </c>
      <c r="E28" s="664">
        <f t="shared" si="1"/>
        <v>3194.0409247301518</v>
      </c>
      <c r="F28" s="664">
        <f t="shared" si="1"/>
        <v>93.773379612329194</v>
      </c>
      <c r="G28" s="664">
        <f t="shared" si="1"/>
        <v>187.36721536970668</v>
      </c>
      <c r="H28" s="664">
        <f t="shared" si="1"/>
        <v>1773.8931442692156</v>
      </c>
      <c r="I28" s="664">
        <f t="shared" si="1"/>
        <v>124.93470459513981</v>
      </c>
      <c r="J28" s="664">
        <f t="shared" si="1"/>
        <v>816.27727535004715</v>
      </c>
      <c r="K28" s="664">
        <f t="shared" si="1"/>
        <v>6190.2866439265899</v>
      </c>
      <c r="L28" s="1123">
        <f t="shared" si="1"/>
        <v>12974.080110870829</v>
      </c>
    </row>
    <row r="29" spans="1:12" ht="21" customHeight="1">
      <c r="A29" s="720">
        <v>2026</v>
      </c>
      <c r="B29" s="497" t="s">
        <v>239</v>
      </c>
      <c r="C29" s="724">
        <f t="shared" ref="C29:L29" si="2">C39</f>
        <v>5343.8891406394723</v>
      </c>
      <c r="D29" s="724">
        <f t="shared" si="2"/>
        <v>1667.9905686220291</v>
      </c>
      <c r="E29" s="664">
        <f t="shared" si="2"/>
        <v>3237.0904083058713</v>
      </c>
      <c r="F29" s="664">
        <f t="shared" si="2"/>
        <v>92.527283514092161</v>
      </c>
      <c r="G29" s="664">
        <f t="shared" si="2"/>
        <v>195.34646144166976</v>
      </c>
      <c r="H29" s="664">
        <f t="shared" si="2"/>
        <v>1770.4018047086461</v>
      </c>
      <c r="I29" s="664">
        <f t="shared" si="2"/>
        <v>116.38361534375952</v>
      </c>
      <c r="J29" s="664">
        <f t="shared" si="2"/>
        <v>811.69695214028366</v>
      </c>
      <c r="K29" s="664">
        <f t="shared" si="2"/>
        <v>6223.446525454322</v>
      </c>
      <c r="L29" s="1123">
        <f t="shared" si="2"/>
        <v>13235.326234715823</v>
      </c>
    </row>
    <row r="30" spans="1:12" ht="15" customHeight="1">
      <c r="A30" s="1033"/>
      <c r="B30" s="750" t="s">
        <v>240</v>
      </c>
      <c r="C30" s="725">
        <f t="shared" ref="C30:L30" si="3">C42</f>
        <v>5479.9631664940425</v>
      </c>
      <c r="D30" s="725">
        <f t="shared" si="3"/>
        <v>1727.3968203034251</v>
      </c>
      <c r="E30" s="721">
        <f t="shared" si="3"/>
        <v>3277.7409941568662</v>
      </c>
      <c r="F30" s="721">
        <f t="shared" si="3"/>
        <v>90.622064232400078</v>
      </c>
      <c r="G30" s="721">
        <f t="shared" si="3"/>
        <v>182.54010621006313</v>
      </c>
      <c r="H30" s="721">
        <f t="shared" si="3"/>
        <v>1763.6928614569667</v>
      </c>
      <c r="I30" s="721">
        <f t="shared" si="3"/>
        <v>122.78227203452802</v>
      </c>
      <c r="J30" s="721">
        <f t="shared" si="3"/>
        <v>898.65533920599171</v>
      </c>
      <c r="K30" s="721">
        <f t="shared" si="3"/>
        <v>6336.0336372968159</v>
      </c>
      <c r="L30" s="1034">
        <f t="shared" si="3"/>
        <v>13543.393624094284</v>
      </c>
    </row>
    <row r="31" spans="1:12" ht="21" customHeight="1">
      <c r="A31" s="720">
        <v>2025</v>
      </c>
      <c r="B31" s="497" t="s">
        <v>420</v>
      </c>
      <c r="C31" s="664">
        <v>5272.0058261838458</v>
      </c>
      <c r="D31" s="664">
        <v>1112.6430453317023</v>
      </c>
      <c r="E31" s="664">
        <v>3105.488396373255</v>
      </c>
      <c r="F31" s="664">
        <v>96.757096602209856</v>
      </c>
      <c r="G31" s="664">
        <v>214.00207613737166</v>
      </c>
      <c r="H31" s="664">
        <v>1817.0317475335639</v>
      </c>
      <c r="I31" s="664">
        <v>118.65953199660275</v>
      </c>
      <c r="J31" s="664">
        <v>788.23269521232021</v>
      </c>
      <c r="K31" s="664">
        <v>6140.1515438553233</v>
      </c>
      <c r="L31" s="798">
        <v>12524.83041537087</v>
      </c>
    </row>
    <row r="32" spans="1:12" ht="17.25" customHeight="1">
      <c r="A32" s="720"/>
      <c r="B32" s="497" t="s">
        <v>421</v>
      </c>
      <c r="C32" s="664">
        <v>5172.6781049010488</v>
      </c>
      <c r="D32" s="664">
        <v>1301.6699856150972</v>
      </c>
      <c r="E32" s="664">
        <v>3125.0546931772155</v>
      </c>
      <c r="F32" s="664">
        <v>95.79514366633714</v>
      </c>
      <c r="G32" s="664">
        <v>215.62445856626138</v>
      </c>
      <c r="H32" s="664">
        <v>1819.7043712316513</v>
      </c>
      <c r="I32" s="664">
        <v>125.72265947975004</v>
      </c>
      <c r="J32" s="664">
        <v>790.50925408794672</v>
      </c>
      <c r="K32" s="664">
        <v>6172.4105802091626</v>
      </c>
      <c r="L32" s="798">
        <v>12646.758670725307</v>
      </c>
    </row>
    <row r="33" spans="1:12" ht="17.25" customHeight="1">
      <c r="A33" s="720"/>
      <c r="B33" s="497" t="s">
        <v>422</v>
      </c>
      <c r="C33" s="664">
        <v>5194.9394012753892</v>
      </c>
      <c r="D33" s="664">
        <v>1427.2951288437189</v>
      </c>
      <c r="E33" s="664">
        <v>3135.080963337296</v>
      </c>
      <c r="F33" s="664">
        <v>95.718940315254002</v>
      </c>
      <c r="G33" s="664">
        <v>185.36023841480446</v>
      </c>
      <c r="H33" s="664">
        <v>1786.3176772417112</v>
      </c>
      <c r="I33" s="664">
        <v>125.33329381862335</v>
      </c>
      <c r="J33" s="664">
        <v>796.75991434383059</v>
      </c>
      <c r="K33" s="664">
        <v>6124.5510274715189</v>
      </c>
      <c r="L33" s="798">
        <v>12746.785557590629</v>
      </c>
    </row>
    <row r="34" spans="1:12" ht="17.25" customHeight="1">
      <c r="A34" s="720"/>
      <c r="B34" s="497" t="s">
        <v>411</v>
      </c>
      <c r="C34" s="664">
        <v>5182.1028869565325</v>
      </c>
      <c r="D34" s="664">
        <v>1437.4579156422362</v>
      </c>
      <c r="E34" s="664">
        <v>3155.459272017129</v>
      </c>
      <c r="F34" s="664">
        <v>95.541981788001337</v>
      </c>
      <c r="G34" s="664">
        <v>189.20467699921545</v>
      </c>
      <c r="H34" s="664">
        <v>1785.6100100074857</v>
      </c>
      <c r="I34" s="664">
        <v>126.79336461589878</v>
      </c>
      <c r="J34" s="664">
        <v>805.87571089479354</v>
      </c>
      <c r="K34" s="664">
        <v>6158.5050163225242</v>
      </c>
      <c r="L34" s="798">
        <v>12778.065818921294</v>
      </c>
    </row>
    <row r="35" spans="1:12" ht="17.25" customHeight="1">
      <c r="A35" s="720"/>
      <c r="B35" s="497" t="s">
        <v>412</v>
      </c>
      <c r="C35" s="664">
        <v>5133.2240665006202</v>
      </c>
      <c r="D35" s="664">
        <v>1483.3147907118087</v>
      </c>
      <c r="E35" s="664">
        <v>3184.7985890453579</v>
      </c>
      <c r="F35" s="664">
        <v>94.553600734379145</v>
      </c>
      <c r="G35" s="664">
        <v>186.54313307844478</v>
      </c>
      <c r="H35" s="664">
        <v>1793.9612103133434</v>
      </c>
      <c r="I35" s="664">
        <v>125.92092779395928</v>
      </c>
      <c r="J35" s="664">
        <v>805.81038294092264</v>
      </c>
      <c r="K35" s="664">
        <v>6191.5878439064072</v>
      </c>
      <c r="L35" s="798">
        <v>12808.126701118836</v>
      </c>
    </row>
    <row r="36" spans="1:12" ht="17.25" customHeight="1">
      <c r="A36" s="720"/>
      <c r="B36" s="497" t="s">
        <v>413</v>
      </c>
      <c r="C36" s="664">
        <v>5276.1555041732627</v>
      </c>
      <c r="D36" s="664">
        <v>1507.6479627709778</v>
      </c>
      <c r="E36" s="664">
        <v>3194.0409247301518</v>
      </c>
      <c r="F36" s="664">
        <v>93.773379612329194</v>
      </c>
      <c r="G36" s="664">
        <v>187.36721536970668</v>
      </c>
      <c r="H36" s="664">
        <v>1773.8931442692156</v>
      </c>
      <c r="I36" s="664">
        <v>124.93470459513981</v>
      </c>
      <c r="J36" s="664">
        <v>816.27727535004715</v>
      </c>
      <c r="K36" s="664">
        <v>6190.2866439265899</v>
      </c>
      <c r="L36" s="798">
        <v>12974.080110870829</v>
      </c>
    </row>
    <row r="37" spans="1:12" ht="21" customHeight="1">
      <c r="A37" s="720">
        <v>2026</v>
      </c>
      <c r="B37" s="497" t="s">
        <v>414</v>
      </c>
      <c r="C37" s="664">
        <v>5108.6643434659436</v>
      </c>
      <c r="D37" s="664">
        <v>1527.1489902619271</v>
      </c>
      <c r="E37" s="664">
        <v>3218.1217342149571</v>
      </c>
      <c r="F37" s="664">
        <v>93.217495130068457</v>
      </c>
      <c r="G37" s="664">
        <v>189.8295493912311</v>
      </c>
      <c r="H37" s="664">
        <v>1779.4985883623642</v>
      </c>
      <c r="I37" s="664">
        <v>125.55131174651295</v>
      </c>
      <c r="J37" s="664">
        <v>823.95534362875821</v>
      </c>
      <c r="K37" s="664">
        <v>6230.1540224738919</v>
      </c>
      <c r="L37" s="798">
        <v>12865.977356201764</v>
      </c>
    </row>
    <row r="38" spans="1:12" ht="17.25" customHeight="1">
      <c r="A38" s="720"/>
      <c r="B38" s="497" t="s">
        <v>415</v>
      </c>
      <c r="C38" s="664">
        <v>5075.9196525177776</v>
      </c>
      <c r="D38" s="664">
        <v>1597.5575825720748</v>
      </c>
      <c r="E38" s="664">
        <v>3232.242842137985</v>
      </c>
      <c r="F38" s="664">
        <v>93.105461177317537</v>
      </c>
      <c r="G38" s="664">
        <v>187.77083287395408</v>
      </c>
      <c r="H38" s="664">
        <v>1782.8508528333709</v>
      </c>
      <c r="I38" s="664">
        <v>128.8074119319229</v>
      </c>
      <c r="J38" s="664">
        <v>812.24302329079364</v>
      </c>
      <c r="K38" s="664">
        <v>6237.0304242453431</v>
      </c>
      <c r="L38" s="798">
        <v>12910.507659335195</v>
      </c>
    </row>
    <row r="39" spans="1:12" ht="17.25" customHeight="1">
      <c r="A39" s="720"/>
      <c r="B39" s="497" t="s">
        <v>416</v>
      </c>
      <c r="C39" s="664">
        <v>5343.8891406394723</v>
      </c>
      <c r="D39" s="664">
        <v>1667.9905686220291</v>
      </c>
      <c r="E39" s="664">
        <v>3237.0904083058713</v>
      </c>
      <c r="F39" s="664">
        <v>92.527283514092161</v>
      </c>
      <c r="G39" s="664">
        <v>195.34646144166976</v>
      </c>
      <c r="H39" s="664">
        <v>1770.4018047086461</v>
      </c>
      <c r="I39" s="664">
        <v>116.38361534375952</v>
      </c>
      <c r="J39" s="664">
        <v>811.69695214028366</v>
      </c>
      <c r="K39" s="664">
        <v>6223.446525454322</v>
      </c>
      <c r="L39" s="798">
        <v>13235.326234715823</v>
      </c>
    </row>
    <row r="40" spans="1:12" ht="17.25" customHeight="1">
      <c r="A40" s="720"/>
      <c r="B40" s="497" t="s">
        <v>417</v>
      </c>
      <c r="C40" s="664">
        <v>5481.6750776174067</v>
      </c>
      <c r="D40" s="664">
        <v>1681.7340780914819</v>
      </c>
      <c r="E40" s="664">
        <v>3239.457883219945</v>
      </c>
      <c r="F40" s="664">
        <v>91.237511691619403</v>
      </c>
      <c r="G40" s="664">
        <v>198.5620805291334</v>
      </c>
      <c r="H40" s="664">
        <v>1755.0926727060571</v>
      </c>
      <c r="I40" s="664">
        <v>115.29061393478158</v>
      </c>
      <c r="J40" s="664">
        <v>862.0493934639162</v>
      </c>
      <c r="K40" s="664">
        <v>6261.7301555454515</v>
      </c>
      <c r="L40" s="798">
        <v>13425.139311254341</v>
      </c>
    </row>
    <row r="41" spans="1:12" ht="17.25" customHeight="1">
      <c r="A41" s="720"/>
      <c r="B41" s="497" t="s">
        <v>418</v>
      </c>
      <c r="C41" s="664">
        <v>5424.3590585852253</v>
      </c>
      <c r="D41" s="664">
        <v>1691.3949895626502</v>
      </c>
      <c r="E41" s="664">
        <v>3262.4410355428663</v>
      </c>
      <c r="F41" s="664">
        <v>91.229336750800201</v>
      </c>
      <c r="G41" s="664">
        <v>185.2698021575888</v>
      </c>
      <c r="H41" s="664">
        <v>1757.7705677660203</v>
      </c>
      <c r="I41" s="664">
        <v>124.91508135623411</v>
      </c>
      <c r="J41" s="664">
        <v>878.40532739406035</v>
      </c>
      <c r="K41" s="664">
        <v>6300.0311509675703</v>
      </c>
      <c r="L41" s="798">
        <v>13415.775199115447</v>
      </c>
    </row>
    <row r="42" spans="1:12" ht="17.25" customHeight="1">
      <c r="A42" s="720"/>
      <c r="B42" s="497" t="s">
        <v>419</v>
      </c>
      <c r="C42" s="664">
        <v>5479.9631664940425</v>
      </c>
      <c r="D42" s="664">
        <v>1727.3968203034251</v>
      </c>
      <c r="E42" s="664">
        <v>3277.7409941568662</v>
      </c>
      <c r="F42" s="664">
        <v>90.622064232400078</v>
      </c>
      <c r="G42" s="664">
        <v>182.54010621006313</v>
      </c>
      <c r="H42" s="664">
        <v>1763.6928614569667</v>
      </c>
      <c r="I42" s="664">
        <v>122.78227203452802</v>
      </c>
      <c r="J42" s="664">
        <v>898.65533920599171</v>
      </c>
      <c r="K42" s="664">
        <v>6336.0336372968159</v>
      </c>
      <c r="L42" s="798">
        <v>13543.393624094284</v>
      </c>
    </row>
    <row r="43" spans="1:12" ht="17.25" customHeight="1">
      <c r="A43" s="720"/>
      <c r="B43" s="497" t="s">
        <v>420</v>
      </c>
      <c r="C43" s="664">
        <v>5411.491119287386</v>
      </c>
      <c r="D43" s="664">
        <v>1729.9247984273043</v>
      </c>
      <c r="E43" s="664">
        <v>3296.4172895629331</v>
      </c>
      <c r="F43" s="664">
        <v>90.372518421602692</v>
      </c>
      <c r="G43" s="664">
        <v>182.89556070422498</v>
      </c>
      <c r="H43" s="664">
        <v>1799.4122178656014</v>
      </c>
      <c r="I43" s="664">
        <v>116.85704272527403</v>
      </c>
      <c r="J43" s="664">
        <v>918.19508791922965</v>
      </c>
      <c r="K43" s="664">
        <v>6404.1597171988651</v>
      </c>
      <c r="L43" s="798">
        <v>13545.565634913555</v>
      </c>
    </row>
    <row r="44" spans="1:12" s="306" customFormat="1" ht="20.25" customHeight="1">
      <c r="A44" s="253" t="s">
        <v>848</v>
      </c>
      <c r="B44" s="253"/>
      <c r="C44" s="253"/>
      <c r="D44" s="253"/>
      <c r="E44" s="253"/>
      <c r="F44" s="253"/>
      <c r="G44" s="253"/>
      <c r="H44" s="253"/>
      <c r="I44" s="253"/>
      <c r="J44" s="253"/>
      <c r="K44" s="1863"/>
      <c r="L44" s="1863" t="s">
        <v>849</v>
      </c>
    </row>
    <row r="45" spans="1:12" s="416" customFormat="1">
      <c r="A45" s="306" t="s">
        <v>850</v>
      </c>
      <c r="C45" s="414"/>
      <c r="E45" s="413"/>
      <c r="F45" s="413"/>
      <c r="G45" s="413"/>
      <c r="L45" s="1864" t="s">
        <v>851</v>
      </c>
    </row>
    <row r="46" spans="1:12" s="416" customFormat="1">
      <c r="A46" s="306" t="s">
        <v>852</v>
      </c>
      <c r="C46" s="414"/>
      <c r="E46" s="413"/>
      <c r="F46" s="413"/>
      <c r="G46" s="413"/>
      <c r="L46" s="1864"/>
    </row>
    <row r="47" spans="1:12">
      <c r="A47" s="387" t="s">
        <v>853</v>
      </c>
      <c r="B47" s="387"/>
      <c r="C47" s="387"/>
      <c r="D47" s="387"/>
      <c r="E47" s="387"/>
      <c r="F47" s="387"/>
      <c r="G47" s="387"/>
      <c r="H47" s="387"/>
      <c r="I47" s="387"/>
      <c r="J47" s="387"/>
      <c r="K47" s="387"/>
      <c r="L47" s="1865"/>
    </row>
    <row r="48" spans="1:12" ht="14.85" customHeight="1">
      <c r="C48" s="443"/>
      <c r="D48" s="443"/>
      <c r="E48" s="443"/>
      <c r="F48" s="443"/>
      <c r="G48" s="443"/>
      <c r="H48" s="443"/>
      <c r="I48" s="443"/>
      <c r="J48" s="443"/>
      <c r="K48" s="443"/>
      <c r="L48" s="1864"/>
    </row>
    <row r="49" spans="12:12" ht="14.85" customHeight="1">
      <c r="L49" s="1864"/>
    </row>
    <row r="50" spans="12:12">
      <c r="L50" s="1864"/>
    </row>
    <row r="51" spans="12:12">
      <c r="L51" s="321"/>
    </row>
    <row r="53" spans="12:12">
      <c r="L53" s="1401"/>
    </row>
  </sheetData>
  <mergeCells count="3">
    <mergeCell ref="A9:B11"/>
    <mergeCell ref="D11:D12"/>
    <mergeCell ref="C11:C12"/>
  </mergeCells>
  <printOptions horizontalCentered="1" verticalCentered="1"/>
  <pageMargins left="0" right="0" top="0" bottom="0" header="0.3" footer="0.3"/>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topLeftCell="A19" zoomScale="60" zoomScaleNormal="60" workbookViewId="0">
      <pane xSplit="2" topLeftCell="C1" activePane="topRight" state="frozen"/>
      <selection activeCell="B2" sqref="B2"/>
      <selection pane="topRight" activeCell="C38" sqref="C38"/>
    </sheetView>
  </sheetViews>
  <sheetFormatPr defaultColWidth="18.21875" defaultRowHeight="15"/>
  <cols>
    <col min="1" max="1" width="6.21875" style="1860" customWidth="1"/>
    <col min="2" max="2" width="46.44140625" style="1528" customWidth="1"/>
    <col min="3" max="14" width="15.44140625" style="1528" customWidth="1"/>
    <col min="15" max="15" width="46.77734375" style="1528" customWidth="1"/>
    <col min="16" max="16" width="18.21875" style="1528" bestFit="1"/>
    <col min="17" max="17" width="0" style="1528" hidden="1" customWidth="1"/>
    <col min="18" max="16384" width="18.21875" style="1528"/>
  </cols>
  <sheetData>
    <row r="1" spans="1:17" ht="18" customHeight="1">
      <c r="A1" s="807" t="s">
        <v>1765</v>
      </c>
      <c r="B1" s="951"/>
      <c r="C1" s="951"/>
      <c r="D1" s="951"/>
      <c r="E1" s="951"/>
      <c r="F1" s="951"/>
      <c r="G1" s="951"/>
      <c r="H1" s="951"/>
      <c r="I1" s="951"/>
      <c r="J1" s="951"/>
      <c r="K1" s="951"/>
      <c r="L1" s="951"/>
      <c r="M1" s="951"/>
      <c r="N1" s="951"/>
      <c r="O1" s="1827"/>
    </row>
    <row r="2" spans="1:17" ht="18" customHeight="1">
      <c r="A2" s="277" t="s">
        <v>767</v>
      </c>
      <c r="B2" s="1828"/>
      <c r="C2" s="1828"/>
      <c r="D2" s="1828"/>
      <c r="E2" s="1828"/>
      <c r="F2" s="1828"/>
      <c r="G2" s="1828"/>
      <c r="H2" s="1828"/>
      <c r="I2" s="1828"/>
      <c r="J2" s="1828"/>
      <c r="K2" s="1828"/>
      <c r="L2" s="1828"/>
      <c r="M2" s="1828"/>
      <c r="N2" s="1828"/>
      <c r="O2" s="1829"/>
    </row>
    <row r="3" spans="1:17" ht="17.399999999999999">
      <c r="A3" s="1830" t="s">
        <v>854</v>
      </c>
      <c r="B3" s="951"/>
      <c r="C3" s="951"/>
      <c r="D3" s="951"/>
      <c r="E3" s="951"/>
      <c r="F3" s="951"/>
      <c r="G3" s="951"/>
      <c r="H3" s="951"/>
      <c r="I3" s="951"/>
      <c r="J3" s="951"/>
      <c r="K3" s="951"/>
      <c r="L3" s="951"/>
      <c r="M3" s="951"/>
      <c r="N3" s="951"/>
      <c r="O3" s="1827"/>
    </row>
    <row r="4" spans="1:17" ht="17.399999999999999">
      <c r="A4" s="277" t="s">
        <v>855</v>
      </c>
      <c r="B4" s="951"/>
      <c r="C4" s="951"/>
      <c r="D4" s="951"/>
      <c r="E4" s="951"/>
      <c r="F4" s="951"/>
      <c r="G4" s="951"/>
      <c r="H4" s="951"/>
      <c r="I4" s="951"/>
      <c r="J4" s="951"/>
      <c r="K4" s="951"/>
      <c r="L4" s="951"/>
      <c r="M4" s="951"/>
      <c r="N4" s="951"/>
      <c r="O4" s="1827"/>
    </row>
    <row r="5" spans="1:17" ht="15.75" customHeight="1">
      <c r="A5" s="951"/>
      <c r="B5" s="951"/>
      <c r="C5" s="1827"/>
      <c r="D5" s="1827"/>
      <c r="E5" s="1827"/>
      <c r="F5" s="1827"/>
      <c r="G5" s="1827"/>
      <c r="H5" s="1827"/>
      <c r="I5" s="1827"/>
      <c r="J5" s="1827"/>
      <c r="K5" s="1827"/>
      <c r="L5" s="1827"/>
      <c r="M5" s="1827"/>
      <c r="N5" s="1827"/>
      <c r="O5" s="1827"/>
    </row>
    <row r="6" spans="1:17" ht="15.75" customHeight="1">
      <c r="A6" s="951"/>
      <c r="B6" s="951"/>
      <c r="C6" s="1827"/>
      <c r="D6" s="1827"/>
      <c r="E6" s="1827"/>
      <c r="F6" s="1827"/>
      <c r="G6" s="1827"/>
      <c r="H6" s="1827"/>
      <c r="I6" s="1827"/>
      <c r="J6" s="1827"/>
      <c r="K6" s="1827"/>
      <c r="L6" s="1827"/>
      <c r="M6" s="1827"/>
      <c r="N6" s="1827"/>
      <c r="O6" s="1827"/>
    </row>
    <row r="7" spans="1:17">
      <c r="A7" s="417" t="s">
        <v>369</v>
      </c>
      <c r="C7" s="829"/>
      <c r="D7" s="829"/>
      <c r="E7" s="829"/>
      <c r="F7" s="829"/>
      <c r="G7" s="829"/>
      <c r="H7" s="829"/>
      <c r="I7" s="829"/>
      <c r="J7" s="829"/>
      <c r="K7" s="829"/>
      <c r="L7" s="829"/>
      <c r="M7" s="829"/>
      <c r="N7" s="829"/>
      <c r="O7" s="246" t="s">
        <v>370</v>
      </c>
    </row>
    <row r="8" spans="1:17" s="1834" customFormat="1" ht="20.25" customHeight="1">
      <c r="A8" s="1831"/>
      <c r="B8" s="1831" t="s">
        <v>856</v>
      </c>
      <c r="C8" s="1832">
        <v>2026</v>
      </c>
      <c r="D8" s="1832"/>
      <c r="E8" s="1832"/>
      <c r="F8" s="1833"/>
      <c r="G8" s="1832"/>
      <c r="H8" s="1833"/>
      <c r="I8" s="1832"/>
      <c r="J8" s="1833"/>
      <c r="K8" s="1832"/>
      <c r="L8" s="1833"/>
      <c r="M8" s="1832"/>
      <c r="N8" s="1833"/>
      <c r="O8" s="1831" t="s">
        <v>857</v>
      </c>
    </row>
    <row r="9" spans="1:17" s="1834" customFormat="1" ht="15.6">
      <c r="A9" s="1835"/>
      <c r="B9" s="1835"/>
      <c r="C9" s="1836" t="s">
        <v>1657</v>
      </c>
      <c r="D9" s="1837"/>
      <c r="E9" s="1836" t="s">
        <v>1678</v>
      </c>
      <c r="F9" s="1837"/>
      <c r="G9" s="1836" t="s">
        <v>1696</v>
      </c>
      <c r="H9" s="1837"/>
      <c r="I9" s="1836" t="s">
        <v>418</v>
      </c>
      <c r="J9" s="1837"/>
      <c r="K9" s="1836" t="s">
        <v>1708</v>
      </c>
      <c r="L9" s="1837"/>
      <c r="M9" s="1836" t="s">
        <v>1716</v>
      </c>
      <c r="N9" s="1837"/>
      <c r="O9" s="1835"/>
    </row>
    <row r="10" spans="1:17" s="1834" customFormat="1" ht="46.8">
      <c r="A10" s="1835"/>
      <c r="B10" s="1835"/>
      <c r="C10" s="1838" t="s">
        <v>858</v>
      </c>
      <c r="D10" s="1838" t="s">
        <v>859</v>
      </c>
      <c r="E10" s="1838" t="s">
        <v>858</v>
      </c>
      <c r="F10" s="1838" t="s">
        <v>859</v>
      </c>
      <c r="G10" s="1838" t="s">
        <v>858</v>
      </c>
      <c r="H10" s="1838" t="s">
        <v>859</v>
      </c>
      <c r="I10" s="1838" t="s">
        <v>858</v>
      </c>
      <c r="J10" s="1838" t="s">
        <v>859</v>
      </c>
      <c r="K10" s="1838" t="s">
        <v>858</v>
      </c>
      <c r="L10" s="1838" t="s">
        <v>859</v>
      </c>
      <c r="M10" s="1838" t="s">
        <v>858</v>
      </c>
      <c r="N10" s="1838" t="s">
        <v>859</v>
      </c>
      <c r="O10" s="1835"/>
    </row>
    <row r="11" spans="1:17" s="1841" customFormat="1" ht="46.8">
      <c r="A11" s="1839"/>
      <c r="B11" s="1839"/>
      <c r="C11" s="1840" t="s">
        <v>860</v>
      </c>
      <c r="D11" s="1840" t="s">
        <v>861</v>
      </c>
      <c r="E11" s="1840" t="s">
        <v>860</v>
      </c>
      <c r="F11" s="1840" t="s">
        <v>861</v>
      </c>
      <c r="G11" s="1840" t="s">
        <v>860</v>
      </c>
      <c r="H11" s="1840" t="s">
        <v>861</v>
      </c>
      <c r="I11" s="1840" t="s">
        <v>860</v>
      </c>
      <c r="J11" s="1840" t="s">
        <v>861</v>
      </c>
      <c r="K11" s="1840" t="s">
        <v>860</v>
      </c>
      <c r="L11" s="1840" t="s">
        <v>861</v>
      </c>
      <c r="M11" s="1840" t="s">
        <v>860</v>
      </c>
      <c r="N11" s="1840" t="s">
        <v>861</v>
      </c>
      <c r="O11" s="1839"/>
    </row>
    <row r="12" spans="1:17" ht="21" customHeight="1">
      <c r="A12" s="1842">
        <v>1</v>
      </c>
      <c r="B12" s="1843" t="s">
        <v>862</v>
      </c>
      <c r="C12" s="1098">
        <v>34.53480555185466</v>
      </c>
      <c r="D12" s="1098">
        <v>1.4909770869999999</v>
      </c>
      <c r="E12" s="1098">
        <v>34.002224542662432</v>
      </c>
      <c r="F12" s="1098">
        <v>1.0632636349999998</v>
      </c>
      <c r="G12" s="1098">
        <v>33.861617776180267</v>
      </c>
      <c r="H12" s="1098">
        <v>0.93668110899999968</v>
      </c>
      <c r="I12" s="1098">
        <v>34.07791598613953</v>
      </c>
      <c r="J12" s="1098">
        <v>2.7307196939999998</v>
      </c>
      <c r="K12" s="1098">
        <v>33.87789758567169</v>
      </c>
      <c r="L12" s="1098">
        <v>0.95660170199999994</v>
      </c>
      <c r="M12" s="1098">
        <v>32.720010366431268</v>
      </c>
      <c r="N12" s="1098">
        <v>0.9322633389999998</v>
      </c>
      <c r="O12" s="1844" t="s">
        <v>863</v>
      </c>
      <c r="Q12" s="1845" t="e">
        <f>ROUND(#REF!,0)</f>
        <v>#REF!</v>
      </c>
    </row>
    <row r="13" spans="1:17" ht="21" customHeight="1">
      <c r="A13" s="1842">
        <v>2</v>
      </c>
      <c r="B13" s="1846" t="s">
        <v>864</v>
      </c>
      <c r="C13" s="1099">
        <v>76.090747768779465</v>
      </c>
      <c r="D13" s="1099">
        <v>0</v>
      </c>
      <c r="E13" s="1099">
        <v>76.184285915287489</v>
      </c>
      <c r="F13" s="1099">
        <v>0</v>
      </c>
      <c r="G13" s="1099">
        <v>76.445135405246148</v>
      </c>
      <c r="H13" s="1099">
        <v>0</v>
      </c>
      <c r="I13" s="1099">
        <v>74.45054623411805</v>
      </c>
      <c r="J13" s="1099">
        <v>0</v>
      </c>
      <c r="K13" s="1099">
        <v>92.599890543015022</v>
      </c>
      <c r="L13" s="1099">
        <v>0</v>
      </c>
      <c r="M13" s="1099">
        <v>93.000150687852312</v>
      </c>
      <c r="N13" s="1099">
        <v>0</v>
      </c>
      <c r="O13" s="1847" t="s">
        <v>865</v>
      </c>
      <c r="Q13" s="1845" t="e">
        <f>ROUND(#REF!,0)</f>
        <v>#REF!</v>
      </c>
    </row>
    <row r="14" spans="1:17" ht="21" customHeight="1">
      <c r="A14" s="1842">
        <v>3</v>
      </c>
      <c r="B14" s="1846" t="s">
        <v>581</v>
      </c>
      <c r="C14" s="1099">
        <v>1075.9160977788147</v>
      </c>
      <c r="D14" s="1099">
        <v>28.402431345515133</v>
      </c>
      <c r="E14" s="1099">
        <v>1260.2781985316306</v>
      </c>
      <c r="F14" s="1099">
        <v>28.845185369877154</v>
      </c>
      <c r="G14" s="1099">
        <v>1347.8604010479312</v>
      </c>
      <c r="H14" s="1099">
        <v>28.683661232844706</v>
      </c>
      <c r="I14" s="1099">
        <v>1284.2465579808597</v>
      </c>
      <c r="J14" s="1099">
        <v>29.059335359903734</v>
      </c>
      <c r="K14" s="1099">
        <v>1301.5605795345796</v>
      </c>
      <c r="L14" s="1099">
        <v>28.582858617887908</v>
      </c>
      <c r="M14" s="1099">
        <v>1254.230686990109</v>
      </c>
      <c r="N14" s="1099">
        <v>27.522022232488254</v>
      </c>
      <c r="O14" s="1847" t="s">
        <v>866</v>
      </c>
      <c r="Q14" s="1845" t="e">
        <f>ROUND(#REF!,0)</f>
        <v>#REF!</v>
      </c>
    </row>
    <row r="15" spans="1:17" ht="33.75" customHeight="1">
      <c r="A15" s="1842">
        <v>4</v>
      </c>
      <c r="B15" s="1846" t="s">
        <v>867</v>
      </c>
      <c r="C15" s="1099">
        <v>239.87108823289876</v>
      </c>
      <c r="D15" s="1099">
        <v>0.86853567700000012</v>
      </c>
      <c r="E15" s="1099">
        <v>269.70530874790677</v>
      </c>
      <c r="F15" s="1099">
        <v>0.85638725000000004</v>
      </c>
      <c r="G15" s="1099">
        <v>302.34675534229336</v>
      </c>
      <c r="H15" s="1099">
        <v>0.84423882299999997</v>
      </c>
      <c r="I15" s="1099">
        <v>296.34331107441847</v>
      </c>
      <c r="J15" s="1099">
        <v>0.83209040499999998</v>
      </c>
      <c r="K15" s="1099">
        <v>309.5116395758987</v>
      </c>
      <c r="L15" s="1099">
        <v>0.82038352399999992</v>
      </c>
      <c r="M15" s="1099">
        <v>320.20689696884301</v>
      </c>
      <c r="N15" s="1099">
        <v>0.80867664300000008</v>
      </c>
      <c r="O15" s="1847" t="s">
        <v>868</v>
      </c>
      <c r="Q15" s="1845" t="e">
        <f>ROUND(#REF!,0)</f>
        <v>#REF!</v>
      </c>
    </row>
    <row r="16" spans="1:17" ht="33.6">
      <c r="A16" s="1842">
        <v>5</v>
      </c>
      <c r="B16" s="1846" t="s">
        <v>869</v>
      </c>
      <c r="C16" s="1099">
        <v>43.843043459229747</v>
      </c>
      <c r="D16" s="1099">
        <v>0</v>
      </c>
      <c r="E16" s="1099">
        <v>44.291999766201066</v>
      </c>
      <c r="F16" s="1099">
        <v>0</v>
      </c>
      <c r="G16" s="1099">
        <v>42.50172362173651</v>
      </c>
      <c r="H16" s="1099">
        <v>0</v>
      </c>
      <c r="I16" s="1099">
        <v>42.856731809387753</v>
      </c>
      <c r="J16" s="1099">
        <v>0</v>
      </c>
      <c r="K16" s="1099">
        <v>54.062325234660676</v>
      </c>
      <c r="L16" s="1099">
        <v>0</v>
      </c>
      <c r="M16" s="1099">
        <v>54.183417935250816</v>
      </c>
      <c r="N16" s="1099">
        <v>0</v>
      </c>
      <c r="O16" s="1848" t="s">
        <v>870</v>
      </c>
      <c r="Q16" s="1845" t="e">
        <f>ROUND(#REF!,0)</f>
        <v>#REF!</v>
      </c>
    </row>
    <row r="17" spans="1:17" ht="21" customHeight="1">
      <c r="A17" s="1842">
        <v>6</v>
      </c>
      <c r="B17" s="1846" t="s">
        <v>871</v>
      </c>
      <c r="C17" s="1099">
        <v>696.29280018452857</v>
      </c>
      <c r="D17" s="1099">
        <v>114.220088299</v>
      </c>
      <c r="E17" s="1099">
        <v>705.1762236847311</v>
      </c>
      <c r="F17" s="1099">
        <v>114.87902980402112</v>
      </c>
      <c r="G17" s="1099">
        <v>716.12346274053493</v>
      </c>
      <c r="H17" s="1099">
        <v>115.28242305402108</v>
      </c>
      <c r="I17" s="1099">
        <v>706.51009399645659</v>
      </c>
      <c r="J17" s="1099">
        <v>112.39910352024999</v>
      </c>
      <c r="K17" s="1099">
        <v>717.69893905522622</v>
      </c>
      <c r="L17" s="1099">
        <v>114.11674150628787</v>
      </c>
      <c r="M17" s="1099">
        <v>713.21658597310341</v>
      </c>
      <c r="N17" s="1099">
        <v>120.06171009028085</v>
      </c>
      <c r="O17" s="1848" t="s">
        <v>872</v>
      </c>
      <c r="Q17" s="1845" t="e">
        <f>ROUND(#REF!,0)</f>
        <v>#REF!</v>
      </c>
    </row>
    <row r="18" spans="1:17" ht="33.6">
      <c r="A18" s="1842">
        <v>7</v>
      </c>
      <c r="B18" s="1846" t="s">
        <v>873</v>
      </c>
      <c r="C18" s="1099">
        <v>570.06695056975695</v>
      </c>
      <c r="D18" s="1099">
        <v>101.17160031897228</v>
      </c>
      <c r="E18" s="1099">
        <v>601.8225625093072</v>
      </c>
      <c r="F18" s="1099">
        <v>98.119915003086987</v>
      </c>
      <c r="G18" s="1099">
        <v>598.01120651710733</v>
      </c>
      <c r="H18" s="1099">
        <v>97.721835673248691</v>
      </c>
      <c r="I18" s="1099">
        <v>585.1207047581114</v>
      </c>
      <c r="J18" s="1099">
        <v>97.869080680546489</v>
      </c>
      <c r="K18" s="1099">
        <v>545.97794393861136</v>
      </c>
      <c r="L18" s="1099">
        <v>88.610914299041369</v>
      </c>
      <c r="M18" s="1099">
        <v>546.21686642532995</v>
      </c>
      <c r="N18" s="1099">
        <v>73.468982796098828</v>
      </c>
      <c r="O18" s="1848" t="s">
        <v>874</v>
      </c>
      <c r="Q18" s="1845" t="e">
        <f>ROUND(#REF!,0)</f>
        <v>#REF!</v>
      </c>
    </row>
    <row r="19" spans="1:17" ht="21" customHeight="1">
      <c r="A19" s="1842">
        <v>8</v>
      </c>
      <c r="B19" s="1846" t="s">
        <v>875</v>
      </c>
      <c r="C19" s="1099">
        <v>62.673111181213145</v>
      </c>
      <c r="D19" s="1099">
        <v>6.4438968659999976</v>
      </c>
      <c r="E19" s="1099">
        <v>61.240414564884077</v>
      </c>
      <c r="F19" s="1099">
        <v>6.3991785029999999</v>
      </c>
      <c r="G19" s="1099">
        <v>65.023774788056841</v>
      </c>
      <c r="H19" s="1099">
        <v>7.4298804360000013</v>
      </c>
      <c r="I19" s="1099">
        <v>94.621220276344332</v>
      </c>
      <c r="J19" s="1099">
        <v>7.7225444910606988</v>
      </c>
      <c r="K19" s="1099">
        <v>93.720660346154858</v>
      </c>
      <c r="L19" s="1099">
        <v>8.261824378</v>
      </c>
      <c r="M19" s="1099">
        <v>93.140203218976239</v>
      </c>
      <c r="N19" s="1099">
        <v>3.6553614010000013</v>
      </c>
      <c r="O19" s="1847" t="s">
        <v>876</v>
      </c>
      <c r="Q19" s="1845" t="e">
        <f>ROUND(#REF!,0)</f>
        <v>#REF!</v>
      </c>
    </row>
    <row r="20" spans="1:17" ht="33.75" customHeight="1">
      <c r="A20" s="1842">
        <v>9</v>
      </c>
      <c r="B20" s="1846" t="s">
        <v>877</v>
      </c>
      <c r="C20" s="1099">
        <v>199.20890957481311</v>
      </c>
      <c r="D20" s="1099">
        <v>25.583463386000002</v>
      </c>
      <c r="E20" s="1099">
        <v>198.49357589193474</v>
      </c>
      <c r="F20" s="1099">
        <v>32.179514147000006</v>
      </c>
      <c r="G20" s="1099">
        <v>198.74795174553529</v>
      </c>
      <c r="H20" s="1099">
        <v>32.055222219000001</v>
      </c>
      <c r="I20" s="1099">
        <v>198.87370171154831</v>
      </c>
      <c r="J20" s="1099">
        <v>32.220915549999994</v>
      </c>
      <c r="K20" s="1099">
        <v>196.75918858639915</v>
      </c>
      <c r="L20" s="1099">
        <v>31.187885582</v>
      </c>
      <c r="M20" s="1099">
        <v>196.72514597674217</v>
      </c>
      <c r="N20" s="1099">
        <v>27.571585790925553</v>
      </c>
      <c r="O20" s="1847" t="s">
        <v>878</v>
      </c>
      <c r="Q20" s="1845" t="e">
        <f>ROUND(#REF!,0)</f>
        <v>#REF!</v>
      </c>
    </row>
    <row r="21" spans="1:17" ht="21" customHeight="1">
      <c r="A21" s="1842">
        <v>10</v>
      </c>
      <c r="B21" s="1846" t="s">
        <v>879</v>
      </c>
      <c r="C21" s="1099">
        <v>134.64026126885483</v>
      </c>
      <c r="D21" s="1099">
        <v>1.0702306439999993</v>
      </c>
      <c r="E21" s="1099">
        <v>134.59535310670981</v>
      </c>
      <c r="F21" s="1099">
        <v>1.0596883049999999</v>
      </c>
      <c r="G21" s="1099">
        <v>134.90052439849973</v>
      </c>
      <c r="H21" s="1099">
        <v>1.1696532740000003</v>
      </c>
      <c r="I21" s="1099">
        <v>133.82703630507095</v>
      </c>
      <c r="J21" s="1099">
        <v>1.3011188150000002</v>
      </c>
      <c r="K21" s="1099">
        <v>145.0869292299781</v>
      </c>
      <c r="L21" s="1099">
        <v>1.0011360849999997</v>
      </c>
      <c r="M21" s="1099">
        <v>145.25744689411468</v>
      </c>
      <c r="N21" s="1099">
        <v>1.1204343869999995</v>
      </c>
      <c r="O21" s="1847" t="s">
        <v>880</v>
      </c>
      <c r="Q21" s="1845" t="e">
        <f>ROUND(#REF!,0)</f>
        <v>#REF!</v>
      </c>
    </row>
    <row r="22" spans="1:17" ht="21" customHeight="1">
      <c r="A22" s="1842">
        <v>11</v>
      </c>
      <c r="B22" s="1846" t="s">
        <v>881</v>
      </c>
      <c r="C22" s="1099">
        <v>224.48782085476111</v>
      </c>
      <c r="D22" s="1099">
        <v>13.175605287</v>
      </c>
      <c r="E22" s="1099">
        <v>224.90682399524437</v>
      </c>
      <c r="F22" s="1099">
        <v>12.543686269000002</v>
      </c>
      <c r="G22" s="1099">
        <v>235.28019359531945</v>
      </c>
      <c r="H22" s="1099">
        <v>11.639373101</v>
      </c>
      <c r="I22" s="1099">
        <v>243.07503015228875</v>
      </c>
      <c r="J22" s="1099">
        <v>13.111575918</v>
      </c>
      <c r="K22" s="1099">
        <v>232.04498943040977</v>
      </c>
      <c r="L22" s="1099">
        <v>13.013742444999998</v>
      </c>
      <c r="M22" s="1099">
        <v>232.99008615784135</v>
      </c>
      <c r="N22" s="1099">
        <v>12.868276459999999</v>
      </c>
      <c r="O22" s="1847" t="s">
        <v>882</v>
      </c>
      <c r="Q22" s="1845" t="e">
        <f>ROUND(#REF!,0)</f>
        <v>#REF!</v>
      </c>
    </row>
    <row r="23" spans="1:17" ht="21" customHeight="1">
      <c r="A23" s="1842">
        <v>12</v>
      </c>
      <c r="B23" s="1846" t="s">
        <v>883</v>
      </c>
      <c r="C23" s="1099">
        <v>725.01597621177211</v>
      </c>
      <c r="D23" s="1099">
        <v>36.037224465150004</v>
      </c>
      <c r="E23" s="1099">
        <v>739.05829693695966</v>
      </c>
      <c r="F23" s="1099">
        <v>35.892722907740001</v>
      </c>
      <c r="G23" s="1099">
        <v>738.65640304569013</v>
      </c>
      <c r="H23" s="1099">
        <v>28.944231570529997</v>
      </c>
      <c r="I23" s="1099">
        <v>749.57881995022785</v>
      </c>
      <c r="J23" s="1099">
        <v>29.416684730650001</v>
      </c>
      <c r="K23" s="1099">
        <v>758.27642421000564</v>
      </c>
      <c r="L23" s="1099">
        <v>34.968456718829998</v>
      </c>
      <c r="M23" s="1099">
        <v>758.06159004431174</v>
      </c>
      <c r="N23" s="1099">
        <v>25.112182652168755</v>
      </c>
      <c r="O23" s="1847" t="s">
        <v>884</v>
      </c>
      <c r="Q23" s="1845" t="e">
        <f>ROUND(#REF!,0)</f>
        <v>#REF!</v>
      </c>
    </row>
    <row r="24" spans="1:17" ht="33.75" customHeight="1">
      <c r="A24" s="1842">
        <v>13</v>
      </c>
      <c r="B24" s="1846" t="s">
        <v>885</v>
      </c>
      <c r="C24" s="1099">
        <v>18.09441083514756</v>
      </c>
      <c r="D24" s="1099">
        <v>4.855802828829999</v>
      </c>
      <c r="E24" s="1099">
        <v>18.445736504557221</v>
      </c>
      <c r="F24" s="1099">
        <v>4.8133859980810003</v>
      </c>
      <c r="G24" s="1099">
        <v>17.942622053992991</v>
      </c>
      <c r="H24" s="1099">
        <v>4.6870226230170005</v>
      </c>
      <c r="I24" s="1099">
        <v>18.298305419224114</v>
      </c>
      <c r="J24" s="1099">
        <v>4.8397760729140007</v>
      </c>
      <c r="K24" s="1099">
        <v>21.030923425148067</v>
      </c>
      <c r="L24" s="1099">
        <v>4.9240395895439999</v>
      </c>
      <c r="M24" s="1099">
        <v>18.797307783269513</v>
      </c>
      <c r="N24" s="1099">
        <v>4.7606193697249992</v>
      </c>
      <c r="O24" s="1847" t="s">
        <v>886</v>
      </c>
      <c r="Q24" s="1845" t="e">
        <f>ROUND(#REF!,0)</f>
        <v>#REF!</v>
      </c>
    </row>
    <row r="25" spans="1:17" ht="33.75" customHeight="1">
      <c r="A25" s="1842">
        <v>14</v>
      </c>
      <c r="B25" s="1846" t="s">
        <v>887</v>
      </c>
      <c r="C25" s="1099">
        <v>0.4</v>
      </c>
      <c r="D25" s="1099">
        <v>0.4</v>
      </c>
      <c r="E25" s="1099">
        <v>0.5</v>
      </c>
      <c r="F25" s="1099">
        <v>0.3</v>
      </c>
      <c r="G25" s="1099">
        <v>0.4</v>
      </c>
      <c r="H25" s="1099">
        <v>0.3</v>
      </c>
      <c r="I25" s="1099">
        <v>0.3</v>
      </c>
      <c r="J25" s="1099">
        <v>0.3</v>
      </c>
      <c r="K25" s="1099">
        <v>0.4</v>
      </c>
      <c r="L25" s="1099">
        <v>0.4</v>
      </c>
      <c r="M25" s="1099">
        <v>0.3</v>
      </c>
      <c r="N25" s="1099">
        <v>0.3</v>
      </c>
      <c r="O25" s="1847" t="s">
        <v>888</v>
      </c>
      <c r="Q25" s="1845" t="e">
        <f>ROUND(#REF!,0)</f>
        <v>#REF!</v>
      </c>
    </row>
    <row r="26" spans="1:17" ht="33.75" customHeight="1">
      <c r="A26" s="1842">
        <v>15</v>
      </c>
      <c r="B26" s="1846" t="s">
        <v>889</v>
      </c>
      <c r="C26" s="1099">
        <v>36.07</v>
      </c>
      <c r="D26" s="1099">
        <v>0</v>
      </c>
      <c r="E26" s="1099">
        <v>36.03</v>
      </c>
      <c r="F26" s="1099">
        <v>0</v>
      </c>
      <c r="G26" s="1099">
        <v>36.119999999999997</v>
      </c>
      <c r="H26" s="1099">
        <v>0</v>
      </c>
      <c r="I26" s="1099">
        <v>36.03</v>
      </c>
      <c r="J26" s="1099">
        <v>0</v>
      </c>
      <c r="K26" s="1099">
        <v>36.19</v>
      </c>
      <c r="L26" s="1099">
        <v>0</v>
      </c>
      <c r="M26" s="1099">
        <v>36.28</v>
      </c>
      <c r="N26" s="1099">
        <v>0</v>
      </c>
      <c r="O26" s="1847" t="s">
        <v>890</v>
      </c>
      <c r="Q26" s="1845" t="e">
        <f>ROUND(#REF!,0)</f>
        <v>#REF!</v>
      </c>
    </row>
    <row r="27" spans="1:17" ht="21" customHeight="1">
      <c r="A27" s="1842">
        <v>16</v>
      </c>
      <c r="B27" s="1846" t="s">
        <v>891</v>
      </c>
      <c r="C27" s="1099">
        <v>25.823773007000003</v>
      </c>
      <c r="D27" s="1099">
        <v>1.7288554009999999</v>
      </c>
      <c r="E27" s="1099">
        <v>29.246413539999985</v>
      </c>
      <c r="F27" s="1099">
        <v>1.2194730479999998</v>
      </c>
      <c r="G27" s="1099">
        <v>31.253795707999998</v>
      </c>
      <c r="H27" s="1099">
        <v>1.2207807679999998</v>
      </c>
      <c r="I27" s="1099">
        <v>32.731969644999992</v>
      </c>
      <c r="J27" s="1099">
        <v>1.1580783659999998</v>
      </c>
      <c r="K27" s="1099">
        <v>33.475186970000003</v>
      </c>
      <c r="L27" s="1099">
        <v>1.6410749319999998</v>
      </c>
      <c r="M27" s="1099">
        <v>33.999399943000007</v>
      </c>
      <c r="N27" s="1099">
        <v>14.242152208</v>
      </c>
      <c r="O27" s="1848" t="s">
        <v>892</v>
      </c>
      <c r="Q27" s="1845" t="e">
        <f>ROUND(#REF!,0)</f>
        <v>#REF!</v>
      </c>
    </row>
    <row r="28" spans="1:17" ht="21" customHeight="1">
      <c r="A28" s="1842">
        <v>17</v>
      </c>
      <c r="B28" s="1846" t="s">
        <v>893</v>
      </c>
      <c r="C28" s="1099">
        <v>41.394033702400009</v>
      </c>
      <c r="D28" s="1099">
        <v>2.2316378229999998</v>
      </c>
      <c r="E28" s="1099">
        <v>41.179281597199996</v>
      </c>
      <c r="F28" s="1099">
        <v>2.1972792079999999</v>
      </c>
      <c r="G28" s="1099">
        <v>41.528373451199997</v>
      </c>
      <c r="H28" s="1099">
        <v>2.0629205929999999</v>
      </c>
      <c r="I28" s="1099">
        <v>44.113545838199997</v>
      </c>
      <c r="J28" s="1099">
        <v>2.2265387240000001</v>
      </c>
      <c r="K28" s="1099">
        <v>43.924764783400001</v>
      </c>
      <c r="L28" s="1099">
        <v>2.3592943289999999</v>
      </c>
      <c r="M28" s="1099">
        <v>44.255275731107872</v>
      </c>
      <c r="N28" s="1099">
        <v>2.4389089197060501</v>
      </c>
      <c r="O28" s="1847" t="s">
        <v>894</v>
      </c>
      <c r="Q28" s="1845" t="e">
        <f>ROUND(#REF!,0)</f>
        <v>#REF!</v>
      </c>
    </row>
    <row r="29" spans="1:17" ht="21" customHeight="1">
      <c r="A29" s="1842">
        <v>18</v>
      </c>
      <c r="B29" s="1846" t="s">
        <v>895</v>
      </c>
      <c r="C29" s="1099">
        <v>8.7706346337326266</v>
      </c>
      <c r="D29" s="1099">
        <v>7.1892028149999998</v>
      </c>
      <c r="E29" s="1099">
        <v>10.409999442041508</v>
      </c>
      <c r="F29" s="1099">
        <v>7.2383148410000011</v>
      </c>
      <c r="G29" s="1099">
        <v>8.5548103650001543</v>
      </c>
      <c r="H29" s="1099">
        <v>7.2871661660000004</v>
      </c>
      <c r="I29" s="1099">
        <v>10.496179174716726</v>
      </c>
      <c r="J29" s="1099">
        <v>7.3375826550000021</v>
      </c>
      <c r="K29" s="1099">
        <v>10.597424014836543</v>
      </c>
      <c r="L29" s="1099">
        <v>7.3858236139999995</v>
      </c>
      <c r="M29" s="1099">
        <v>4.8331907650119392</v>
      </c>
      <c r="N29" s="1099">
        <v>2.0894406333043158</v>
      </c>
      <c r="O29" s="1847" t="s">
        <v>896</v>
      </c>
      <c r="Q29" s="1845" t="e">
        <f>ROUND(#REF!,0)</f>
        <v>#REF!</v>
      </c>
    </row>
    <row r="30" spans="1:17" ht="21" customHeight="1">
      <c r="A30" s="1842">
        <v>19</v>
      </c>
      <c r="B30" s="1846" t="s">
        <v>897</v>
      </c>
      <c r="C30" s="1099">
        <v>838.38719872248134</v>
      </c>
      <c r="D30" s="1099">
        <v>121.9487038903449</v>
      </c>
      <c r="E30" s="1099">
        <v>833.65916223901081</v>
      </c>
      <c r="F30" s="1099">
        <v>114.44337119808004</v>
      </c>
      <c r="G30" s="1099">
        <v>831.34941328866364</v>
      </c>
      <c r="H30" s="1099">
        <v>111.44882483357284</v>
      </c>
      <c r="I30" s="1099">
        <v>813.62837196443206</v>
      </c>
      <c r="J30" s="1099">
        <v>110.19131285896538</v>
      </c>
      <c r="K30" s="1099">
        <v>827.7311274507399</v>
      </c>
      <c r="L30" s="1099">
        <v>110.24376328327</v>
      </c>
      <c r="M30" s="1099">
        <v>807.69380256703664</v>
      </c>
      <c r="N30" s="1099">
        <v>113.59792564483359</v>
      </c>
      <c r="O30" s="1847" t="s">
        <v>898</v>
      </c>
      <c r="Q30" s="1845" t="e">
        <f>ROUND(#REF!,0)</f>
        <v>#REF!</v>
      </c>
    </row>
    <row r="31" spans="1:17" ht="62.4">
      <c r="A31" s="1842">
        <v>20</v>
      </c>
      <c r="B31" s="1846" t="s">
        <v>899</v>
      </c>
      <c r="C31" s="1099">
        <v>24.317988979738207</v>
      </c>
      <c r="D31" s="1099">
        <v>6.9104371999999942E-2</v>
      </c>
      <c r="E31" s="1099">
        <v>24.663279123203651</v>
      </c>
      <c r="F31" s="1099">
        <v>6.8937529999999914E-2</v>
      </c>
      <c r="G31" s="1099">
        <v>24.866912726418658</v>
      </c>
      <c r="H31" s="1099">
        <v>8.4942875999999903E-2</v>
      </c>
      <c r="I31" s="1099">
        <v>25.269016308680445</v>
      </c>
      <c r="J31" s="1099">
        <v>9.1624814999999915E-2</v>
      </c>
      <c r="K31" s="1099">
        <v>25.416332579306683</v>
      </c>
      <c r="L31" s="1099">
        <v>0.10323241899999992</v>
      </c>
      <c r="M31" s="1099">
        <v>25.383054859053484</v>
      </c>
      <c r="N31" s="1099">
        <v>0.10401428999999998</v>
      </c>
      <c r="O31" s="1848" t="s">
        <v>900</v>
      </c>
      <c r="Q31" s="1845" t="e">
        <f>ROUND(#REF!,0)</f>
        <v>#REF!</v>
      </c>
    </row>
    <row r="32" spans="1:17" ht="33.75" customHeight="1">
      <c r="A32" s="1842">
        <v>21</v>
      </c>
      <c r="B32" s="1846" t="s">
        <v>901</v>
      </c>
      <c r="C32" s="1099">
        <v>0</v>
      </c>
      <c r="D32" s="1099">
        <v>0</v>
      </c>
      <c r="E32" s="1099">
        <v>0</v>
      </c>
      <c r="F32" s="1099">
        <v>0</v>
      </c>
      <c r="G32" s="1099">
        <v>0</v>
      </c>
      <c r="H32" s="1099">
        <v>0</v>
      </c>
      <c r="I32" s="1099">
        <v>0</v>
      </c>
      <c r="J32" s="1099">
        <v>0</v>
      </c>
      <c r="K32" s="1099">
        <v>0</v>
      </c>
      <c r="L32" s="1099">
        <v>0</v>
      </c>
      <c r="M32" s="1099">
        <v>0</v>
      </c>
      <c r="N32" s="1099">
        <v>0</v>
      </c>
      <c r="O32" s="1847" t="s">
        <v>902</v>
      </c>
      <c r="Q32" s="1845" t="e">
        <f>ROUND(#REF!,0)</f>
        <v>#REF!</v>
      </c>
    </row>
    <row r="33" spans="1:17" s="1852" customFormat="1" ht="31.5" customHeight="1">
      <c r="A33" s="1849"/>
      <c r="B33" s="1850" t="s">
        <v>392</v>
      </c>
      <c r="C33" s="1095">
        <v>5075.9196525177776</v>
      </c>
      <c r="D33" s="1095">
        <v>466.87736050581231</v>
      </c>
      <c r="E33" s="1095">
        <v>5343.8891406394723</v>
      </c>
      <c r="F33" s="1095">
        <v>462.14933301688632</v>
      </c>
      <c r="G33" s="1095">
        <v>5481.6750776174067</v>
      </c>
      <c r="H33" s="1095">
        <v>451.69885835223437</v>
      </c>
      <c r="I33" s="1095">
        <v>5424.3590585852253</v>
      </c>
      <c r="J33" s="1095">
        <v>452.70808265629029</v>
      </c>
      <c r="K33" s="1095">
        <v>5479.9631664940425</v>
      </c>
      <c r="L33" s="1095">
        <v>448.58777302486106</v>
      </c>
      <c r="M33" s="1095">
        <v>5411.491119287386</v>
      </c>
      <c r="N33" s="1095">
        <v>430.65455685753119</v>
      </c>
      <c r="O33" s="1851" t="s">
        <v>382</v>
      </c>
      <c r="Q33" s="1845" t="e">
        <f>ROUND(#REF!,0)</f>
        <v>#REF!</v>
      </c>
    </row>
    <row r="34" spans="1:17" ht="27.75" customHeight="1">
      <c r="A34" s="253" t="s">
        <v>903</v>
      </c>
      <c r="B34" s="1853"/>
      <c r="C34" s="1854"/>
      <c r="D34" s="1854"/>
      <c r="E34" s="1854"/>
      <c r="F34" s="1854"/>
      <c r="G34" s="1854"/>
      <c r="H34" s="1854"/>
      <c r="I34" s="1854"/>
      <c r="J34" s="1854"/>
      <c r="K34" s="1854"/>
      <c r="L34" s="1854"/>
      <c r="M34" s="1854"/>
      <c r="N34" s="1854"/>
      <c r="O34" s="1855" t="s">
        <v>904</v>
      </c>
    </row>
    <row r="35" spans="1:17" ht="17.399999999999999">
      <c r="A35" s="1856"/>
      <c r="B35" s="1853"/>
      <c r="C35" s="1854"/>
      <c r="D35" s="1854"/>
      <c r="E35" s="1854"/>
      <c r="F35" s="1854"/>
      <c r="G35" s="1854"/>
      <c r="H35" s="1854"/>
      <c r="I35" s="1854"/>
      <c r="J35" s="1854"/>
      <c r="K35" s="1854"/>
      <c r="L35" s="1854"/>
      <c r="M35" s="1854"/>
      <c r="N35" s="1854"/>
      <c r="O35" s="1857"/>
    </row>
    <row r="36" spans="1:17">
      <c r="A36" s="1858"/>
      <c r="B36" s="1858"/>
      <c r="C36" s="1858"/>
      <c r="D36" s="1858"/>
      <c r="E36" s="1858"/>
      <c r="F36" s="1858"/>
      <c r="G36" s="1858"/>
      <c r="H36" s="1858"/>
      <c r="I36" s="1858"/>
      <c r="J36" s="1858"/>
      <c r="K36" s="1858"/>
      <c r="L36" s="1858"/>
      <c r="M36" s="1858"/>
      <c r="N36" s="1858"/>
    </row>
    <row r="37" spans="1:17" ht="19.95" customHeight="1">
      <c r="A37" s="1859" t="s">
        <v>905</v>
      </c>
      <c r="B37" s="1859"/>
      <c r="C37" s="1859"/>
      <c r="D37" s="1859"/>
      <c r="E37" s="1859"/>
      <c r="F37" s="1859"/>
      <c r="G37" s="1859"/>
      <c r="H37" s="1859"/>
      <c r="I37" s="1859"/>
      <c r="J37" s="1859"/>
      <c r="K37" s="1859"/>
      <c r="L37" s="1859"/>
      <c r="M37" s="1859"/>
      <c r="N37" s="1859"/>
      <c r="O37" s="1859"/>
    </row>
    <row r="38" spans="1:17">
      <c r="C38" s="1861"/>
      <c r="D38" s="1861"/>
      <c r="E38" s="1861"/>
      <c r="F38" s="1861"/>
      <c r="G38" s="1861"/>
      <c r="H38" s="1861"/>
      <c r="I38" s="1861"/>
      <c r="J38" s="1861"/>
      <c r="K38" s="1861"/>
      <c r="L38" s="1861"/>
      <c r="M38" s="1861"/>
      <c r="N38" s="1861"/>
    </row>
    <row r="39" spans="1:17">
      <c r="C39" s="1861"/>
      <c r="D39" s="1861"/>
      <c r="E39" s="1861"/>
      <c r="F39" s="1861"/>
      <c r="G39" s="1861"/>
      <c r="H39" s="1861"/>
      <c r="I39" s="1861"/>
      <c r="J39" s="1861"/>
      <c r="K39" s="1861"/>
      <c r="L39" s="1861"/>
      <c r="M39" s="1861"/>
      <c r="N39" s="1861"/>
    </row>
    <row r="41" spans="1:17">
      <c r="C41" s="1862"/>
      <c r="D41" s="1862"/>
      <c r="E41" s="1862"/>
      <c r="F41" s="1862"/>
      <c r="G41" s="1862"/>
      <c r="H41" s="1862"/>
      <c r="I41" s="1862"/>
      <c r="J41" s="1862"/>
      <c r="K41" s="1862"/>
      <c r="L41" s="1862"/>
      <c r="M41" s="1862"/>
      <c r="N41" s="1862"/>
      <c r="O41" s="1862"/>
    </row>
  </sheetData>
  <mergeCells count="10">
    <mergeCell ref="A37:O37"/>
    <mergeCell ref="A8:A11"/>
    <mergeCell ref="B8:B11"/>
    <mergeCell ref="O8:O11"/>
    <mergeCell ref="C9:D9"/>
    <mergeCell ref="E9:F9"/>
    <mergeCell ref="G9:H9"/>
    <mergeCell ref="I9:J9"/>
    <mergeCell ref="K9:L9"/>
    <mergeCell ref="M9:N9"/>
  </mergeCells>
  <printOptions horizontalCentered="1"/>
  <pageMargins left="0.25" right="0.25" top="0.75" bottom="0.75" header="0.3" footer="0.3"/>
  <pageSetup paperSize="9" scale="5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7">
    <pageSetUpPr fitToPage="1"/>
  </sheetPr>
  <dimension ref="A1:E45"/>
  <sheetViews>
    <sheetView zoomScale="80" zoomScaleNormal="80" workbookViewId="0">
      <pane ySplit="8" topLeftCell="A36" activePane="bottomLeft" state="frozen"/>
      <selection activeCell="B2" sqref="B2"/>
      <selection pane="bottomLeft" activeCell="B2" sqref="B2"/>
    </sheetView>
  </sheetViews>
  <sheetFormatPr defaultColWidth="19.77734375" defaultRowHeight="15"/>
  <cols>
    <col min="1" max="2" width="9.21875" style="8" customWidth="1"/>
    <col min="3" max="5" width="33.77734375" style="8" customWidth="1"/>
    <col min="6" max="219" width="7.77734375" style="8" customWidth="1"/>
    <col min="220" max="221" width="9.21875" style="8" customWidth="1"/>
    <col min="222" max="16384" width="19.77734375" style="8"/>
  </cols>
  <sheetData>
    <row r="1" spans="1:5" s="873" customFormat="1" ht="17.399999999999999">
      <c r="A1" s="16" t="s">
        <v>1764</v>
      </c>
      <c r="B1" s="1823"/>
      <c r="C1" s="1823"/>
      <c r="D1" s="1823"/>
      <c r="E1" s="1823"/>
    </row>
    <row r="2" spans="1:5" s="381" customFormat="1" ht="21.3" customHeight="1">
      <c r="A2" s="1660" t="s">
        <v>906</v>
      </c>
      <c r="B2" s="382"/>
      <c r="C2" s="382"/>
      <c r="D2" s="382"/>
      <c r="E2" s="382"/>
    </row>
    <row r="3" spans="1:5" s="381" customFormat="1" ht="21.3" customHeight="1">
      <c r="A3" s="1660" t="s">
        <v>907</v>
      </c>
      <c r="B3" s="382"/>
      <c r="C3" s="382"/>
      <c r="D3" s="382"/>
      <c r="E3" s="382"/>
    </row>
    <row r="4" spans="1:5" s="381" customFormat="1" ht="17.399999999999999">
      <c r="A4" s="277" t="s">
        <v>908</v>
      </c>
      <c r="B4" s="382"/>
      <c r="C4" s="382"/>
      <c r="D4" s="382"/>
      <c r="E4" s="382"/>
    </row>
    <row r="5" spans="1:5" s="381" customFormat="1" ht="17.399999999999999">
      <c r="A5" s="277" t="s">
        <v>909</v>
      </c>
      <c r="B5" s="382"/>
      <c r="C5" s="382"/>
      <c r="D5" s="382"/>
      <c r="E5" s="382"/>
    </row>
    <row r="6" spans="1:5" s="26" customFormat="1">
      <c r="A6" s="1824" t="s">
        <v>369</v>
      </c>
      <c r="C6" s="876"/>
      <c r="D6" s="877"/>
      <c r="E6" s="20" t="s">
        <v>370</v>
      </c>
    </row>
    <row r="7" spans="1:5" s="39" customFormat="1" ht="22.8" customHeight="1">
      <c r="A7" s="1825" t="s">
        <v>379</v>
      </c>
      <c r="B7" s="113"/>
      <c r="C7" s="72" t="s">
        <v>431</v>
      </c>
      <c r="D7" s="72" t="s">
        <v>910</v>
      </c>
      <c r="E7" s="94" t="s">
        <v>382</v>
      </c>
    </row>
    <row r="8" spans="1:5" s="39" customFormat="1" ht="22.8" customHeight="1">
      <c r="A8" s="87" t="s">
        <v>387</v>
      </c>
      <c r="B8" s="88"/>
      <c r="C8" s="90" t="s">
        <v>405</v>
      </c>
      <c r="D8" s="1826" t="s">
        <v>911</v>
      </c>
      <c r="E8" s="90" t="s">
        <v>392</v>
      </c>
    </row>
    <row r="9" spans="1:5" s="5" customFormat="1" ht="20.25" customHeight="1">
      <c r="A9" s="747">
        <v>2018</v>
      </c>
      <c r="B9" s="899" t="s">
        <v>239</v>
      </c>
      <c r="C9" s="652">
        <v>8986.7775897897918</v>
      </c>
      <c r="D9" s="652">
        <v>455.50196</v>
      </c>
      <c r="E9" s="652">
        <f>SUM(C9:D9)</f>
        <v>9442.2795497897914</v>
      </c>
    </row>
    <row r="10" spans="1:5" s="8" customFormat="1">
      <c r="A10" s="356"/>
      <c r="B10" s="407" t="s">
        <v>240</v>
      </c>
      <c r="C10" s="652">
        <v>9202.3386112149165</v>
      </c>
      <c r="D10" s="652">
        <v>463.52499999999998</v>
      </c>
      <c r="E10" s="651">
        <f>SUM(C10:D10)-0.02</f>
        <v>9665.8436112149157</v>
      </c>
    </row>
    <row r="11" spans="1:5" s="8" customFormat="1">
      <c r="A11" s="356"/>
      <c r="B11" s="407" t="s">
        <v>237</v>
      </c>
      <c r="C11" s="652">
        <v>9783.7296130007235</v>
      </c>
      <c r="D11" s="652">
        <v>474.12524999999999</v>
      </c>
      <c r="E11" s="651">
        <f>SUM(C11:D11)</f>
        <v>10257.854863000723</v>
      </c>
    </row>
    <row r="12" spans="1:5" s="8" customFormat="1">
      <c r="A12" s="356"/>
      <c r="B12" s="407" t="s">
        <v>238</v>
      </c>
      <c r="C12" s="652">
        <v>9519.8911722057455</v>
      </c>
      <c r="D12" s="652">
        <v>480.35700000000003</v>
      </c>
      <c r="E12" s="651">
        <f>SUM(C12:D12)+0.01</f>
        <v>10000.258172205746</v>
      </c>
    </row>
    <row r="13" spans="1:5" s="8" customFormat="1" ht="20.25" customHeight="1">
      <c r="A13" s="747">
        <v>2019</v>
      </c>
      <c r="B13" s="899" t="s">
        <v>239</v>
      </c>
      <c r="C13" s="652">
        <v>9623.1739906865823</v>
      </c>
      <c r="D13" s="652">
        <v>471.315</v>
      </c>
      <c r="E13" s="652">
        <f>SUM(C13:D13)+0.03</f>
        <v>10094.518990686583</v>
      </c>
    </row>
    <row r="14" spans="1:5" s="5" customFormat="1" ht="15" customHeight="1">
      <c r="A14" s="747"/>
      <c r="B14" s="899" t="s">
        <v>240</v>
      </c>
      <c r="C14" s="652">
        <v>9887.3332244197209</v>
      </c>
      <c r="D14" s="652">
        <v>469.25713807653727</v>
      </c>
      <c r="E14" s="652">
        <v>10356.590362496258</v>
      </c>
    </row>
    <row r="15" spans="1:5" s="5" customFormat="1" ht="15" customHeight="1">
      <c r="A15" s="747"/>
      <c r="B15" s="899" t="s">
        <v>237</v>
      </c>
      <c r="C15" s="652">
        <v>9783.7296130007235</v>
      </c>
      <c r="D15" s="652">
        <v>505.82149599999997</v>
      </c>
      <c r="E15" s="652">
        <f>SUM(C15:D15)-0.01</f>
        <v>10289.541109000724</v>
      </c>
    </row>
    <row r="16" spans="1:5" s="5" customFormat="1" ht="15" customHeight="1">
      <c r="A16" s="747"/>
      <c r="B16" s="899" t="s">
        <v>238</v>
      </c>
      <c r="C16" s="652">
        <v>9736.3989501659489</v>
      </c>
      <c r="D16" s="652">
        <v>508.60300000000001</v>
      </c>
      <c r="E16" s="652">
        <f>SUM(C16:D16)-0.01</f>
        <v>10244.991950165948</v>
      </c>
    </row>
    <row r="17" spans="1:5" s="5" customFormat="1" ht="21" customHeight="1">
      <c r="A17" s="747">
        <v>2020</v>
      </c>
      <c r="B17" s="899" t="s">
        <v>239</v>
      </c>
      <c r="C17" s="652">
        <v>10125.599310966511</v>
      </c>
      <c r="D17" s="652">
        <v>450.98899999999998</v>
      </c>
      <c r="E17" s="652">
        <f t="shared" ref="E17:E22" si="0">SUM(C17:D17)</f>
        <v>10576.58831096651</v>
      </c>
    </row>
    <row r="18" spans="1:5" s="8" customFormat="1">
      <c r="A18" s="356"/>
      <c r="B18" s="407" t="s">
        <v>240</v>
      </c>
      <c r="C18" s="652">
        <v>10181.708217173877</v>
      </c>
      <c r="D18" s="652">
        <v>420.44170277622788</v>
      </c>
      <c r="E18" s="651">
        <f t="shared" si="0"/>
        <v>10602.149919950105</v>
      </c>
    </row>
    <row r="19" spans="1:5" s="8" customFormat="1">
      <c r="A19" s="356"/>
      <c r="B19" s="407" t="s">
        <v>237</v>
      </c>
      <c r="C19" s="652">
        <v>10196.731936263444</v>
      </c>
      <c r="D19" s="652">
        <v>426.11181207388859</v>
      </c>
      <c r="E19" s="651">
        <v>10622.843748337333</v>
      </c>
    </row>
    <row r="20" spans="1:5" s="8" customFormat="1">
      <c r="A20" s="356"/>
      <c r="B20" s="407" t="s">
        <v>238</v>
      </c>
      <c r="C20" s="652">
        <v>10413.786929066708</v>
      </c>
      <c r="D20" s="652">
        <v>413.07799999999997</v>
      </c>
      <c r="E20" s="651">
        <v>10826.864929066707</v>
      </c>
    </row>
    <row r="21" spans="1:5" s="5" customFormat="1" ht="21" customHeight="1">
      <c r="A21" s="747">
        <v>2021</v>
      </c>
      <c r="B21" s="899" t="s">
        <v>239</v>
      </c>
      <c r="C21" s="652">
        <v>10556.732305438796</v>
      </c>
      <c r="D21" s="652">
        <v>393.97699999999998</v>
      </c>
      <c r="E21" s="929">
        <f t="shared" si="0"/>
        <v>10950.709305438797</v>
      </c>
    </row>
    <row r="22" spans="1:5" s="8" customFormat="1">
      <c r="A22" s="356"/>
      <c r="B22" s="407" t="s">
        <v>240</v>
      </c>
      <c r="C22" s="652">
        <v>10718.958351654859</v>
      </c>
      <c r="D22" s="652">
        <v>382.32794491241521</v>
      </c>
      <c r="E22" s="651">
        <f t="shared" si="0"/>
        <v>11101.286296567274</v>
      </c>
    </row>
    <row r="23" spans="1:5" s="8" customFormat="1">
      <c r="A23" s="356"/>
      <c r="B23" s="407" t="s">
        <v>237</v>
      </c>
      <c r="C23" s="652">
        <v>10730.63662614669</v>
      </c>
      <c r="D23" s="652">
        <v>382.32794491241521</v>
      </c>
      <c r="E23" s="651">
        <f t="shared" ref="E23" si="1">SUM(C23:D23)</f>
        <v>11112.964571059105</v>
      </c>
    </row>
    <row r="24" spans="1:5" s="8" customFormat="1">
      <c r="A24" s="356"/>
      <c r="B24" s="407" t="s">
        <v>238</v>
      </c>
      <c r="C24" s="652">
        <v>10906.303339064274</v>
      </c>
      <c r="D24" s="652">
        <v>386.78900323804288</v>
      </c>
      <c r="E24" s="651">
        <v>11293.092342302318</v>
      </c>
    </row>
    <row r="25" spans="1:5" s="5" customFormat="1" ht="21" customHeight="1">
      <c r="A25" s="747">
        <v>2022</v>
      </c>
      <c r="B25" s="899" t="s">
        <v>239</v>
      </c>
      <c r="C25" s="652">
        <v>11072.258362172841</v>
      </c>
      <c r="D25" s="652">
        <v>387.40363299999996</v>
      </c>
      <c r="E25" s="929">
        <v>11459.661995172841</v>
      </c>
    </row>
    <row r="26" spans="1:5" s="8" customFormat="1">
      <c r="A26" s="356"/>
      <c r="B26" s="407" t="s">
        <v>240</v>
      </c>
      <c r="C26" s="652">
        <v>11345.7369195418</v>
      </c>
      <c r="D26" s="652">
        <v>379.14785042841595</v>
      </c>
      <c r="E26" s="929">
        <v>11724.834769970217</v>
      </c>
    </row>
    <row r="27" spans="1:5" s="8" customFormat="1">
      <c r="A27" s="356"/>
      <c r="B27" s="407" t="s">
        <v>237</v>
      </c>
      <c r="C27" s="652">
        <v>11549.2</v>
      </c>
      <c r="D27" s="652">
        <v>379.860187</v>
      </c>
      <c r="E27" s="929">
        <f>SUM(C27:D27)+0.02</f>
        <v>11929.080187000001</v>
      </c>
    </row>
    <row r="28" spans="1:5" s="8" customFormat="1">
      <c r="A28" s="356"/>
      <c r="B28" s="407" t="s">
        <v>238</v>
      </c>
      <c r="C28" s="652">
        <v>11298.088209443948</v>
      </c>
      <c r="D28" s="652">
        <v>364.50400000000002</v>
      </c>
      <c r="E28" s="929">
        <f>SUM(C28:D28)</f>
        <v>11662.592209443948</v>
      </c>
    </row>
    <row r="29" spans="1:5" s="5" customFormat="1" ht="21" customHeight="1">
      <c r="A29" s="747">
        <v>2023</v>
      </c>
      <c r="B29" s="899" t="s">
        <v>239</v>
      </c>
      <c r="C29" s="652">
        <v>11552.302462948268</v>
      </c>
      <c r="D29" s="652">
        <v>355.01965300000001</v>
      </c>
      <c r="E29" s="929">
        <f>SUM(C29:D29)</f>
        <v>11907.322115948267</v>
      </c>
    </row>
    <row r="30" spans="1:5" s="8" customFormat="1">
      <c r="A30" s="356"/>
      <c r="B30" s="407" t="s">
        <v>240</v>
      </c>
      <c r="C30" s="652">
        <v>11634.944942923375</v>
      </c>
      <c r="D30" s="652">
        <v>348.68454988992113</v>
      </c>
      <c r="E30" s="929">
        <f>SUM(C30:D30)</f>
        <v>11983.629492813297</v>
      </c>
    </row>
    <row r="31" spans="1:5" s="8" customFormat="1">
      <c r="A31" s="356"/>
      <c r="B31" s="407" t="s">
        <v>237</v>
      </c>
      <c r="C31" s="652">
        <v>11597.156394214564</v>
      </c>
      <c r="D31" s="652">
        <v>342.04247815859799</v>
      </c>
      <c r="E31" s="929">
        <f>SUM(C31:D31)</f>
        <v>11939.198872373163</v>
      </c>
    </row>
    <row r="32" spans="1:5" s="8" customFormat="1">
      <c r="A32" s="356"/>
      <c r="B32" s="407" t="s">
        <v>238</v>
      </c>
      <c r="C32" s="652">
        <v>11779.271154676429</v>
      </c>
      <c r="D32" s="652">
        <v>318.38389844100004</v>
      </c>
      <c r="E32" s="929">
        <f>SUM(C32:D32)</f>
        <v>12097.655053117429</v>
      </c>
    </row>
    <row r="33" spans="1:5" s="5" customFormat="1" ht="21" customHeight="1">
      <c r="A33" s="747">
        <v>2024</v>
      </c>
      <c r="B33" s="899" t="s">
        <v>239</v>
      </c>
      <c r="C33" s="652">
        <v>12125.640672090414</v>
      </c>
      <c r="D33" s="652">
        <v>315.36582701250637</v>
      </c>
      <c r="E33" s="929">
        <f t="shared" ref="E33:E38" si="2">SUM(C33:D33)</f>
        <v>12441.006499102921</v>
      </c>
    </row>
    <row r="34" spans="1:5" s="5" customFormat="1" ht="15" customHeight="1">
      <c r="A34" s="747"/>
      <c r="B34" s="899" t="s">
        <v>240</v>
      </c>
      <c r="C34" s="652">
        <v>12228.832756745041</v>
      </c>
      <c r="D34" s="652">
        <v>314.46294499999999</v>
      </c>
      <c r="E34" s="929">
        <f t="shared" si="2"/>
        <v>12543.295701745041</v>
      </c>
    </row>
    <row r="35" spans="1:5" s="5" customFormat="1" ht="15" customHeight="1">
      <c r="A35" s="747"/>
      <c r="B35" s="899" t="s">
        <v>237</v>
      </c>
      <c r="C35" s="652">
        <f>'20'!L23</f>
        <v>12164.677245830258</v>
      </c>
      <c r="D35" s="652">
        <v>326.7894459863391</v>
      </c>
      <c r="E35" s="929">
        <f t="shared" si="2"/>
        <v>12491.466691816597</v>
      </c>
    </row>
    <row r="36" spans="1:5" s="5" customFormat="1" ht="15" customHeight="1">
      <c r="A36" s="747"/>
      <c r="B36" s="899" t="s">
        <v>238</v>
      </c>
      <c r="C36" s="652">
        <f>'20'!L24</f>
        <v>12321.880044577063</v>
      </c>
      <c r="D36" s="652">
        <v>326.63037600000007</v>
      </c>
      <c r="E36" s="929">
        <f t="shared" si="2"/>
        <v>12648.510420577062</v>
      </c>
    </row>
    <row r="37" spans="1:5" s="5" customFormat="1" ht="21" customHeight="1">
      <c r="A37" s="747">
        <v>2025</v>
      </c>
      <c r="B37" s="899" t="s">
        <v>239</v>
      </c>
      <c r="C37" s="652">
        <f>'20'!L25</f>
        <v>12607.389288370905</v>
      </c>
      <c r="D37" s="652">
        <v>319.61998199999999</v>
      </c>
      <c r="E37" s="929">
        <f t="shared" si="2"/>
        <v>12927.009270370905</v>
      </c>
    </row>
    <row r="38" spans="1:5" s="5" customFormat="1" ht="15" customHeight="1">
      <c r="A38" s="747"/>
      <c r="B38" s="899" t="s">
        <v>240</v>
      </c>
      <c r="C38" s="652">
        <f>'20'!L26</f>
        <v>12477.506100759178</v>
      </c>
      <c r="D38" s="652">
        <v>329.09430200000003</v>
      </c>
      <c r="E38" s="929">
        <f t="shared" si="2"/>
        <v>12806.600402759177</v>
      </c>
    </row>
    <row r="39" spans="1:5" s="5" customFormat="1" ht="15" customHeight="1">
      <c r="A39" s="747"/>
      <c r="B39" s="899" t="s">
        <v>237</v>
      </c>
      <c r="C39" s="652">
        <f>'20'!L27</f>
        <v>12746.785557590629</v>
      </c>
      <c r="D39" s="652">
        <v>336.49167999999997</v>
      </c>
      <c r="E39" s="929">
        <f t="shared" ref="E39:E40" si="3">SUM(C39:D39)</f>
        <v>13083.277237590628</v>
      </c>
    </row>
    <row r="40" spans="1:5" s="5" customFormat="1" ht="15" customHeight="1">
      <c r="A40" s="747"/>
      <c r="B40" s="899" t="s">
        <v>238</v>
      </c>
      <c r="C40" s="652">
        <f>'20'!L28</f>
        <v>12974.080110870829</v>
      </c>
      <c r="D40" s="652">
        <v>349.28492999999997</v>
      </c>
      <c r="E40" s="929">
        <f t="shared" si="3"/>
        <v>13323.365040870829</v>
      </c>
    </row>
    <row r="41" spans="1:5" s="5" customFormat="1" ht="21" customHeight="1">
      <c r="A41" s="747">
        <v>2026</v>
      </c>
      <c r="B41" s="899" t="s">
        <v>239</v>
      </c>
      <c r="C41" s="652">
        <f>'20'!L29</f>
        <v>13235.326234715823</v>
      </c>
      <c r="D41" s="652">
        <v>305.99162000000001</v>
      </c>
      <c r="E41" s="929">
        <f t="shared" ref="E41" si="4">SUM(C41:D41)</f>
        <v>13541.317854715824</v>
      </c>
    </row>
    <row r="42" spans="1:5" s="5" customFormat="1" ht="15" customHeight="1">
      <c r="A42" s="747"/>
      <c r="B42" s="899" t="s">
        <v>240</v>
      </c>
      <c r="C42" s="652">
        <f>'20'!L30</f>
        <v>13543.393624094284</v>
      </c>
      <c r="D42" s="652">
        <v>342.64765999999997</v>
      </c>
      <c r="E42" s="929">
        <f t="shared" ref="E42" si="5">SUM(C42:D42)</f>
        <v>13886.041284094284</v>
      </c>
    </row>
    <row r="43" spans="1:5" s="8" customFormat="1" ht="8.25" customHeight="1">
      <c r="A43" s="215"/>
      <c r="B43" s="215"/>
      <c r="C43" s="215"/>
      <c r="D43" s="215"/>
      <c r="E43" s="294"/>
    </row>
    <row r="44" spans="1:5" s="8" customFormat="1" ht="15" customHeight="1">
      <c r="D44" s="581"/>
      <c r="E44" s="581"/>
    </row>
    <row r="45" spans="1:5" s="1402" customFormat="1" ht="13.8">
      <c r="A45" s="625" t="s">
        <v>912</v>
      </c>
      <c r="B45" s="1401"/>
      <c r="C45" s="1401"/>
      <c r="D45" s="1401"/>
      <c r="E45" s="1401"/>
    </row>
  </sheetData>
  <printOptions horizontalCentered="1"/>
  <pageMargins left="0" right="0" top="0" bottom="0" header="0.3" footer="0.3"/>
  <pageSetup scale="8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dimension ref="A1:V49"/>
  <sheetViews>
    <sheetView zoomScale="80" zoomScaleNormal="80" workbookViewId="0">
      <pane ySplit="12" topLeftCell="A40" activePane="bottomLeft" state="frozen"/>
      <selection activeCell="B2" sqref="B2"/>
      <selection pane="bottomLeft" activeCell="J45" sqref="J45"/>
    </sheetView>
  </sheetViews>
  <sheetFormatPr defaultColWidth="9.21875" defaultRowHeight="13.2"/>
  <cols>
    <col min="1" max="2" width="9.77734375" style="1402" customWidth="1"/>
    <col min="3" max="3" width="12.77734375" style="1402" customWidth="1"/>
    <col min="4" max="4" width="10.21875" style="1402" customWidth="1"/>
    <col min="5" max="5" width="12.77734375" style="1402" customWidth="1"/>
    <col min="6" max="6" width="11.77734375" style="1402" customWidth="1"/>
    <col min="7" max="8" width="10.77734375" style="1402" customWidth="1"/>
    <col min="9" max="9" width="10.21875" style="1402" customWidth="1"/>
    <col min="10" max="10" width="11.77734375" style="1402" customWidth="1"/>
    <col min="11" max="11" width="12.77734375" style="1402" customWidth="1"/>
    <col min="12" max="12" width="12.21875" style="1402" customWidth="1"/>
    <col min="13" max="13" width="12.77734375" style="1402" customWidth="1"/>
    <col min="14" max="14" width="11.77734375" style="1402" customWidth="1"/>
    <col min="15" max="16" width="10.77734375" style="1402" customWidth="1"/>
    <col min="17" max="17" width="10.21875" style="1402" customWidth="1"/>
    <col min="18" max="18" width="8.21875" style="1402" customWidth="1"/>
    <col min="19" max="16384" width="9.21875" style="1402"/>
  </cols>
  <sheetData>
    <row r="1" spans="1:22" s="381" customFormat="1" ht="17.399999999999999">
      <c r="A1" s="277" t="s">
        <v>1763</v>
      </c>
      <c r="B1" s="1710"/>
      <c r="C1" s="1710"/>
      <c r="D1" s="1710"/>
      <c r="E1" s="1710"/>
      <c r="F1" s="1710"/>
      <c r="G1" s="1710"/>
      <c r="H1" s="1710"/>
      <c r="I1" s="1710"/>
      <c r="J1" s="1710"/>
      <c r="K1" s="1710"/>
      <c r="L1" s="1710"/>
      <c r="M1" s="1710"/>
      <c r="N1" s="1710"/>
      <c r="O1" s="1710"/>
      <c r="P1" s="1710"/>
      <c r="Q1" s="1710"/>
    </row>
    <row r="2" spans="1:22" s="381" customFormat="1" ht="17.399999999999999">
      <c r="A2" s="1714" t="s">
        <v>913</v>
      </c>
      <c r="B2" s="1710"/>
      <c r="C2" s="1710"/>
      <c r="D2" s="1710"/>
      <c r="E2" s="1710"/>
      <c r="F2" s="1710"/>
      <c r="G2" s="1710"/>
      <c r="H2" s="1710"/>
      <c r="I2" s="1710"/>
      <c r="J2" s="1710"/>
      <c r="K2" s="1710"/>
      <c r="L2" s="1710"/>
      <c r="M2" s="1710"/>
      <c r="N2" s="1710"/>
      <c r="O2" s="1710"/>
      <c r="P2" s="1710"/>
      <c r="Q2" s="1710"/>
    </row>
    <row r="3" spans="1:22" s="381" customFormat="1" ht="17.399999999999999">
      <c r="A3" s="1711" t="s">
        <v>914</v>
      </c>
      <c r="B3" s="1710"/>
      <c r="C3" s="1710"/>
      <c r="D3" s="1710"/>
      <c r="E3" s="1710"/>
      <c r="F3" s="1710"/>
      <c r="G3" s="1710"/>
      <c r="H3" s="1710"/>
      <c r="I3" s="1710"/>
      <c r="J3" s="1710"/>
      <c r="K3" s="1710"/>
      <c r="L3" s="1710"/>
      <c r="M3" s="1710"/>
      <c r="N3" s="1710"/>
      <c r="O3" s="382"/>
      <c r="P3" s="1710"/>
      <c r="Q3" s="1710"/>
    </row>
    <row r="4" spans="1:22" s="321" customFormat="1" ht="13.8">
      <c r="A4" s="357" t="s">
        <v>369</v>
      </c>
      <c r="B4" s="358"/>
      <c r="C4" s="359"/>
      <c r="D4" s="359"/>
      <c r="E4" s="359"/>
      <c r="F4" s="359"/>
      <c r="G4" s="359"/>
      <c r="H4" s="359"/>
      <c r="I4" s="359"/>
      <c r="J4" s="359"/>
      <c r="K4" s="359"/>
      <c r="L4" s="359"/>
      <c r="Q4" s="360" t="s">
        <v>370</v>
      </c>
    </row>
    <row r="5" spans="1:22" s="321" customFormat="1" ht="13.8" hidden="1">
      <c r="A5" s="357"/>
      <c r="B5" s="358"/>
      <c r="C5" s="359"/>
      <c r="D5" s="359"/>
      <c r="E5" s="359"/>
      <c r="F5" s="359"/>
      <c r="G5" s="359"/>
      <c r="H5" s="359"/>
      <c r="I5" s="359"/>
      <c r="J5" s="359"/>
      <c r="K5" s="359"/>
      <c r="L5" s="359"/>
      <c r="Q5" s="360"/>
    </row>
    <row r="6" spans="1:22" s="321" customFormat="1" ht="13.8" hidden="1">
      <c r="A6" s="357"/>
      <c r="B6" s="358"/>
      <c r="C6" s="359"/>
      <c r="D6" s="359"/>
      <c r="E6" s="359"/>
      <c r="F6" s="359"/>
      <c r="G6" s="359"/>
      <c r="H6" s="359"/>
      <c r="I6" s="359"/>
      <c r="J6" s="359"/>
      <c r="K6" s="359"/>
      <c r="L6" s="359"/>
      <c r="Q6" s="360"/>
    </row>
    <row r="7" spans="1:22" s="321" customFormat="1" ht="13.8" hidden="1">
      <c r="A7" s="357"/>
      <c r="B7" s="358"/>
      <c r="C7" s="359"/>
      <c r="D7" s="359"/>
      <c r="E7" s="359"/>
      <c r="F7" s="359"/>
      <c r="G7" s="359"/>
      <c r="H7" s="359"/>
      <c r="I7" s="359"/>
      <c r="J7" s="359"/>
      <c r="K7" s="359"/>
      <c r="L7" s="359"/>
      <c r="Q7" s="360"/>
    </row>
    <row r="8" spans="1:22"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768</v>
      </c>
      <c r="D9" s="182" t="s">
        <v>915</v>
      </c>
      <c r="E9" s="177" t="s">
        <v>916</v>
      </c>
      <c r="F9" s="166"/>
      <c r="G9" s="177"/>
      <c r="H9" s="166"/>
      <c r="I9" s="177"/>
      <c r="J9" s="193"/>
      <c r="K9" s="182" t="s">
        <v>768</v>
      </c>
      <c r="L9" s="182" t="s">
        <v>915</v>
      </c>
      <c r="M9" s="177" t="s">
        <v>916</v>
      </c>
      <c r="N9" s="166"/>
      <c r="O9" s="177"/>
      <c r="P9" s="166"/>
      <c r="Q9" s="177"/>
    </row>
    <row r="10" spans="1:22" s="176" customFormat="1" ht="18" customHeight="1">
      <c r="A10" s="163" t="s">
        <v>379</v>
      </c>
      <c r="B10" s="165"/>
      <c r="C10" s="182" t="s">
        <v>917</v>
      </c>
      <c r="D10" s="182" t="s">
        <v>918</v>
      </c>
      <c r="E10" s="177" t="s">
        <v>500</v>
      </c>
      <c r="F10" s="162" t="s">
        <v>919</v>
      </c>
      <c r="G10" s="177" t="s">
        <v>920</v>
      </c>
      <c r="H10" s="177" t="s">
        <v>921</v>
      </c>
      <c r="I10" s="177" t="s">
        <v>391</v>
      </c>
      <c r="J10" s="193" t="s">
        <v>382</v>
      </c>
      <c r="K10" s="182" t="s">
        <v>917</v>
      </c>
      <c r="L10" s="182" t="s">
        <v>918</v>
      </c>
      <c r="M10" s="177" t="s">
        <v>500</v>
      </c>
      <c r="N10" s="162" t="s">
        <v>919</v>
      </c>
      <c r="O10" s="177" t="s">
        <v>920</v>
      </c>
      <c r="P10" s="177" t="s">
        <v>921</v>
      </c>
      <c r="Q10" s="177" t="s">
        <v>391</v>
      </c>
    </row>
    <row r="11" spans="1:22" s="164" customFormat="1" ht="18" customHeight="1">
      <c r="A11" s="178" t="s">
        <v>387</v>
      </c>
      <c r="B11" s="165"/>
      <c r="C11" s="254" t="s">
        <v>922</v>
      </c>
      <c r="D11" s="256" t="s">
        <v>923</v>
      </c>
      <c r="E11" s="257" t="s">
        <v>924</v>
      </c>
      <c r="F11" s="258" t="s">
        <v>925</v>
      </c>
      <c r="G11" s="258" t="s">
        <v>926</v>
      </c>
      <c r="H11" s="258" t="s">
        <v>927</v>
      </c>
      <c r="I11" s="258" t="s">
        <v>399</v>
      </c>
      <c r="J11" s="259" t="s">
        <v>392</v>
      </c>
      <c r="K11" s="254" t="s">
        <v>922</v>
      </c>
      <c r="L11" s="256" t="s">
        <v>923</v>
      </c>
      <c r="M11" s="260" t="s">
        <v>924</v>
      </c>
      <c r="N11" s="258" t="s">
        <v>925</v>
      </c>
      <c r="O11" s="258" t="s">
        <v>926</v>
      </c>
      <c r="P11" s="258" t="s">
        <v>927</v>
      </c>
      <c r="Q11" s="258" t="s">
        <v>399</v>
      </c>
    </row>
    <row r="12" spans="1:22" s="164" customFormat="1" ht="18" customHeight="1">
      <c r="A12" s="179"/>
      <c r="B12" s="170"/>
      <c r="C12" s="255" t="s">
        <v>928</v>
      </c>
      <c r="D12" s="255"/>
      <c r="E12" s="261" t="s">
        <v>929</v>
      </c>
      <c r="F12" s="262" t="s">
        <v>782</v>
      </c>
      <c r="G12" s="262"/>
      <c r="H12" s="262"/>
      <c r="I12" s="262"/>
      <c r="J12" s="263"/>
      <c r="K12" s="255" t="s">
        <v>928</v>
      </c>
      <c r="L12" s="255"/>
      <c r="M12" s="262" t="s">
        <v>929</v>
      </c>
      <c r="N12" s="262" t="s">
        <v>782</v>
      </c>
      <c r="O12" s="262"/>
      <c r="P12" s="262"/>
      <c r="Q12" s="262"/>
    </row>
    <row r="13" spans="1:22" s="180" customFormat="1" ht="27" customHeight="1">
      <c r="A13" s="849">
        <v>2016</v>
      </c>
      <c r="B13" s="850"/>
      <c r="C13" s="385">
        <v>17349.04192278098</v>
      </c>
      <c r="D13" s="385">
        <v>7043.1036713408466</v>
      </c>
      <c r="E13" s="386">
        <v>944.09464075719166</v>
      </c>
      <c r="F13" s="386">
        <v>1225.8407769051723</v>
      </c>
      <c r="G13" s="386">
        <v>1710.6028469431737</v>
      </c>
      <c r="H13" s="386">
        <v>2673.0517052933155</v>
      </c>
      <c r="I13" s="386">
        <v>267.79763813469793</v>
      </c>
      <c r="J13" s="634">
        <v>31213.53320215538</v>
      </c>
      <c r="K13" s="386">
        <v>16760.744843135093</v>
      </c>
      <c r="L13" s="386">
        <v>9543.6501160301159</v>
      </c>
      <c r="M13" s="386">
        <v>747.73638500980996</v>
      </c>
      <c r="N13" s="386">
        <v>786.77558732117291</v>
      </c>
      <c r="O13" s="386">
        <v>1184.4811981059618</v>
      </c>
      <c r="P13" s="386">
        <v>2091.8885878375199</v>
      </c>
      <c r="Q13" s="386">
        <v>98.174460822785903</v>
      </c>
      <c r="R13" s="352"/>
      <c r="S13" s="352"/>
      <c r="T13" s="996"/>
      <c r="U13" s="996"/>
    </row>
    <row r="14" spans="1:22" s="996" customFormat="1" ht="18" customHeight="1">
      <c r="A14" s="849">
        <v>2017</v>
      </c>
      <c r="B14" s="850"/>
      <c r="C14" s="385">
        <v>18025.025685114462</v>
      </c>
      <c r="D14" s="385">
        <v>7074.1092814730473</v>
      </c>
      <c r="E14" s="386">
        <v>956.99774050010467</v>
      </c>
      <c r="F14" s="386">
        <v>1133.2722630155472</v>
      </c>
      <c r="G14" s="386">
        <v>1763.6653542391739</v>
      </c>
      <c r="H14" s="386">
        <v>2198.6766411349017</v>
      </c>
      <c r="I14" s="386">
        <v>237.18502732662583</v>
      </c>
      <c r="J14" s="634">
        <v>31389.031992803859</v>
      </c>
      <c r="K14" s="385">
        <v>17103.50192654011</v>
      </c>
      <c r="L14" s="385">
        <v>9704.6997353691004</v>
      </c>
      <c r="M14" s="386">
        <v>863.3625341500001</v>
      </c>
      <c r="N14" s="386">
        <v>805.94801632527856</v>
      </c>
      <c r="O14" s="386">
        <v>1269.2392951778495</v>
      </c>
      <c r="P14" s="386">
        <v>1541.598299606791</v>
      </c>
      <c r="Q14" s="386">
        <v>100.70225655976999</v>
      </c>
      <c r="R14" s="352"/>
      <c r="S14" s="352"/>
      <c r="V14" s="180"/>
    </row>
    <row r="15" spans="1:22" s="996" customFormat="1" ht="18" customHeight="1">
      <c r="A15" s="849">
        <v>2018</v>
      </c>
      <c r="B15" s="850"/>
      <c r="C15" s="385">
        <v>18939.343910584437</v>
      </c>
      <c r="D15" s="385">
        <v>7948.26532899827</v>
      </c>
      <c r="E15" s="386">
        <v>991.86155398034202</v>
      </c>
      <c r="F15" s="386">
        <v>1186.1117737526686</v>
      </c>
      <c r="G15" s="386">
        <v>1482.4542068005308</v>
      </c>
      <c r="H15" s="386">
        <v>1817.9047880272624</v>
      </c>
      <c r="I15" s="386">
        <v>203.03145227702063</v>
      </c>
      <c r="J15" s="634">
        <v>32569.002859020529</v>
      </c>
      <c r="K15" s="385">
        <v>17832.37369845785</v>
      </c>
      <c r="L15" s="385">
        <v>10275.941631885997</v>
      </c>
      <c r="M15" s="386">
        <v>880.20705161951855</v>
      </c>
      <c r="N15" s="386">
        <v>484.60485490619237</v>
      </c>
      <c r="O15" s="386">
        <v>1412.3912252764103</v>
      </c>
      <c r="P15" s="386">
        <v>1636.1813954201575</v>
      </c>
      <c r="Q15" s="386">
        <v>47.303653695923998</v>
      </c>
      <c r="R15" s="352"/>
      <c r="S15" s="352"/>
      <c r="V15" s="180"/>
    </row>
    <row r="16" spans="1:22" s="996" customFormat="1" ht="18" customHeight="1">
      <c r="A16" s="849">
        <v>2019</v>
      </c>
      <c r="B16" s="850"/>
      <c r="C16" s="385">
        <v>19946.565711668136</v>
      </c>
      <c r="D16" s="385">
        <v>8684.4604509095479</v>
      </c>
      <c r="E16" s="386">
        <v>1024.9173078212689</v>
      </c>
      <c r="F16" s="386">
        <v>1651.2398477404984</v>
      </c>
      <c r="G16" s="386">
        <v>1836.6600526469101</v>
      </c>
      <c r="H16" s="386">
        <v>2041.78926349118</v>
      </c>
      <c r="I16" s="386">
        <v>184.17388548457868</v>
      </c>
      <c r="J16" s="634">
        <v>35369.75651976213</v>
      </c>
      <c r="K16" s="385">
        <v>18967.637102931127</v>
      </c>
      <c r="L16" s="385">
        <v>10994.81479144534</v>
      </c>
      <c r="M16" s="386">
        <v>1205.900461744814</v>
      </c>
      <c r="N16" s="386">
        <v>349.52259899959802</v>
      </c>
      <c r="O16" s="386">
        <v>2407.0553949969949</v>
      </c>
      <c r="P16" s="386">
        <v>1382.6745863091428</v>
      </c>
      <c r="Q16" s="386">
        <v>62.348357596620005</v>
      </c>
      <c r="R16" s="352"/>
      <c r="S16" s="352"/>
      <c r="V16" s="180"/>
    </row>
    <row r="17" spans="1:22" s="996" customFormat="1" ht="18" customHeight="1">
      <c r="A17" s="849">
        <v>2020</v>
      </c>
      <c r="B17" s="850"/>
      <c r="C17" s="385">
        <v>20939.705476393843</v>
      </c>
      <c r="D17" s="385">
        <v>8514.0308476972677</v>
      </c>
      <c r="E17" s="386">
        <v>898.75587188051588</v>
      </c>
      <c r="F17" s="386">
        <v>1324.353216025434</v>
      </c>
      <c r="G17" s="386">
        <v>1598.6042330283128</v>
      </c>
      <c r="H17" s="386">
        <v>1964.1659866233799</v>
      </c>
      <c r="I17" s="386">
        <v>207.60336434723661</v>
      </c>
      <c r="J17" s="634">
        <v>35447.298995995996</v>
      </c>
      <c r="K17" s="385">
        <v>19610.5933551036</v>
      </c>
      <c r="L17" s="385">
        <v>9347.5923836468719</v>
      </c>
      <c r="M17" s="386">
        <v>1438.1525509615317</v>
      </c>
      <c r="N17" s="386">
        <v>632.59731316474927</v>
      </c>
      <c r="O17" s="386">
        <v>2642.2397205360985</v>
      </c>
      <c r="P17" s="386">
        <v>1537.3211133039247</v>
      </c>
      <c r="Q17" s="386">
        <v>238.73795483585417</v>
      </c>
      <c r="R17" s="352"/>
      <c r="S17" s="352"/>
      <c r="V17" s="180"/>
    </row>
    <row r="18" spans="1:22" s="996" customFormat="1" ht="18" customHeight="1">
      <c r="A18" s="849">
        <v>2021</v>
      </c>
      <c r="B18" s="850"/>
      <c r="C18" s="385">
        <v>22126.17716926229</v>
      </c>
      <c r="D18" s="385">
        <v>8841.6744838720442</v>
      </c>
      <c r="E18" s="386">
        <v>1049.8775047025094</v>
      </c>
      <c r="F18" s="386">
        <v>1549.4599487015839</v>
      </c>
      <c r="G18" s="386">
        <v>1642.1957109053124</v>
      </c>
      <c r="H18" s="386">
        <v>1910.1622519341827</v>
      </c>
      <c r="I18" s="386">
        <v>254.31416849818433</v>
      </c>
      <c r="J18" s="634">
        <v>37373.981237876105</v>
      </c>
      <c r="K18" s="385">
        <v>20632.24322656143</v>
      </c>
      <c r="L18" s="385">
        <v>10438.93667760578</v>
      </c>
      <c r="M18" s="386">
        <v>1203.9748044174835</v>
      </c>
      <c r="N18" s="386">
        <v>1035.8561552252449</v>
      </c>
      <c r="O18" s="386">
        <v>2433.2530400352762</v>
      </c>
      <c r="P18" s="386">
        <v>1328.0303850548671</v>
      </c>
      <c r="Q18" s="386">
        <v>301.76926378114536</v>
      </c>
      <c r="R18" s="352"/>
      <c r="S18" s="352"/>
      <c r="V18" s="180"/>
    </row>
    <row r="19" spans="1:22" s="996" customFormat="1" ht="18" customHeight="1">
      <c r="A19" s="849">
        <v>2022</v>
      </c>
      <c r="B19" s="850"/>
      <c r="C19" s="385">
        <v>23882.408080810634</v>
      </c>
      <c r="D19" s="386">
        <v>7478.5967301923329</v>
      </c>
      <c r="E19" s="386">
        <v>979.33635173486516</v>
      </c>
      <c r="F19" s="386">
        <v>2154.9119973158186</v>
      </c>
      <c r="G19" s="386">
        <v>2094.825709371436</v>
      </c>
      <c r="H19" s="386">
        <v>1382.8486092118126</v>
      </c>
      <c r="I19" s="386">
        <v>274.62710230665436</v>
      </c>
      <c r="J19" s="634">
        <v>38247.434580943554</v>
      </c>
      <c r="K19" s="385">
        <v>21282.934648244249</v>
      </c>
      <c r="L19" s="385">
        <v>9819.6013731496823</v>
      </c>
      <c r="M19" s="386">
        <v>1187.0735081007797</v>
      </c>
      <c r="N19" s="386">
        <v>751.84893070567045</v>
      </c>
      <c r="O19" s="386">
        <v>2786.809987895082</v>
      </c>
      <c r="P19" s="386">
        <v>2081.2426198692137</v>
      </c>
      <c r="Q19" s="386">
        <v>337.98189805017853</v>
      </c>
      <c r="R19" s="352"/>
      <c r="S19" s="352"/>
      <c r="V19" s="180"/>
    </row>
    <row r="20" spans="1:22" s="996" customFormat="1" ht="18" customHeight="1">
      <c r="A20" s="849">
        <v>2023</v>
      </c>
      <c r="B20" s="850"/>
      <c r="C20" s="385">
        <v>25652.258766562649</v>
      </c>
      <c r="D20" s="385">
        <v>8125.7709036097194</v>
      </c>
      <c r="E20" s="386">
        <v>1091.3883130970833</v>
      </c>
      <c r="F20" s="386">
        <v>1650.5431934166618</v>
      </c>
      <c r="G20" s="386">
        <v>2188.0266966628051</v>
      </c>
      <c r="H20" s="386">
        <v>1356.512828237021</v>
      </c>
      <c r="I20" s="386">
        <v>196.15629902865476</v>
      </c>
      <c r="J20" s="634">
        <v>40260.657000614599</v>
      </c>
      <c r="K20" s="385">
        <v>22550.85890509051</v>
      </c>
      <c r="L20" s="385">
        <v>10487.089501013086</v>
      </c>
      <c r="M20" s="386">
        <v>1489.2445047144624</v>
      </c>
      <c r="N20" s="386">
        <v>696.28528937110616</v>
      </c>
      <c r="O20" s="386">
        <v>3452.6198085469769</v>
      </c>
      <c r="P20" s="386">
        <v>1315.0041675620496</v>
      </c>
      <c r="Q20" s="386">
        <v>269.55482431639393</v>
      </c>
      <c r="R20" s="352"/>
      <c r="S20" s="352"/>
      <c r="V20" s="180"/>
    </row>
    <row r="21" spans="1:22" s="996" customFormat="1" ht="18" customHeight="1">
      <c r="A21" s="849">
        <v>2024</v>
      </c>
      <c r="B21" s="850"/>
      <c r="C21" s="385">
        <v>26863.000820399804</v>
      </c>
      <c r="D21" s="385">
        <v>7889.7692907676219</v>
      </c>
      <c r="E21" s="386">
        <v>959.99365903343232</v>
      </c>
      <c r="F21" s="386">
        <v>2149.9429626059436</v>
      </c>
      <c r="G21" s="386">
        <v>2449.3888114142046</v>
      </c>
      <c r="H21" s="386">
        <v>1209.6754082669895</v>
      </c>
      <c r="I21" s="386">
        <v>187.73536368666507</v>
      </c>
      <c r="J21" s="634">
        <v>41709.526316174655</v>
      </c>
      <c r="K21" s="385">
        <v>22639.292034651524</v>
      </c>
      <c r="L21" s="385">
        <v>10739.342830837297</v>
      </c>
      <c r="M21" s="386">
        <v>1447.4651039233938</v>
      </c>
      <c r="N21" s="386">
        <v>733.27705983139469</v>
      </c>
      <c r="O21" s="386">
        <v>4097.8406110383694</v>
      </c>
      <c r="P21" s="386">
        <v>1880.359378198156</v>
      </c>
      <c r="Q21" s="386">
        <v>171.94929769452574</v>
      </c>
      <c r="R21" s="352"/>
      <c r="S21" s="352"/>
      <c r="V21" s="180"/>
    </row>
    <row r="22" spans="1:22" s="996" customFormat="1" ht="18" customHeight="1">
      <c r="A22" s="991">
        <v>2025</v>
      </c>
      <c r="B22" s="992"/>
      <c r="C22" s="993">
        <f t="shared" ref="C22:Q22" si="0">C28</f>
        <v>29189.182845824929</v>
      </c>
      <c r="D22" s="993">
        <f t="shared" si="0"/>
        <v>8552.0932346619229</v>
      </c>
      <c r="E22" s="994">
        <f t="shared" si="0"/>
        <v>1213.0294311021278</v>
      </c>
      <c r="F22" s="994">
        <f t="shared" si="0"/>
        <v>1766.2797562036569</v>
      </c>
      <c r="G22" s="994">
        <f t="shared" si="0"/>
        <v>2885.1781531864617</v>
      </c>
      <c r="H22" s="994">
        <f t="shared" si="0"/>
        <v>1257.6374278438038</v>
      </c>
      <c r="I22" s="994">
        <f t="shared" si="0"/>
        <v>137.73945033265045</v>
      </c>
      <c r="J22" s="995">
        <f t="shared" si="0"/>
        <v>45001.140299155551</v>
      </c>
      <c r="K22" s="993">
        <f t="shared" si="0"/>
        <v>23317.709982532338</v>
      </c>
      <c r="L22" s="993">
        <f t="shared" si="0"/>
        <v>12315.662017054539</v>
      </c>
      <c r="M22" s="994">
        <f t="shared" si="0"/>
        <v>2097.7327147008987</v>
      </c>
      <c r="N22" s="994">
        <f t="shared" si="0"/>
        <v>650.70375405904542</v>
      </c>
      <c r="O22" s="994">
        <f t="shared" si="0"/>
        <v>4897.8010543833198</v>
      </c>
      <c r="P22" s="994">
        <f t="shared" si="0"/>
        <v>1549.4425534324812</v>
      </c>
      <c r="Q22" s="994">
        <f t="shared" si="0"/>
        <v>172.0882229929266</v>
      </c>
      <c r="R22" s="352"/>
      <c r="S22" s="352"/>
      <c r="V22" s="180"/>
    </row>
    <row r="23" spans="1:22" s="996" customFormat="1" ht="21" customHeight="1">
      <c r="A23" s="849">
        <v>2024</v>
      </c>
      <c r="B23" s="850" t="s">
        <v>237</v>
      </c>
      <c r="C23" s="385">
        <v>27255.35550262767</v>
      </c>
      <c r="D23" s="385">
        <v>7855.4486871492918</v>
      </c>
      <c r="E23" s="386">
        <v>964.42664761902813</v>
      </c>
      <c r="F23" s="386">
        <v>1795.1955922978473</v>
      </c>
      <c r="G23" s="386">
        <v>2239.2163397800205</v>
      </c>
      <c r="H23" s="386">
        <v>1169.218557439161</v>
      </c>
      <c r="I23" s="386">
        <v>253.15399908290652</v>
      </c>
      <c r="J23" s="634">
        <v>41531.955325995921</v>
      </c>
      <c r="K23" s="385">
        <v>23166.142696337854</v>
      </c>
      <c r="L23" s="385">
        <v>11227.524053974757</v>
      </c>
      <c r="M23" s="386">
        <v>1411.8588349508586</v>
      </c>
      <c r="N23" s="386">
        <v>577.92360664432545</v>
      </c>
      <c r="O23" s="386">
        <v>3703.517363240629</v>
      </c>
      <c r="P23" s="386">
        <v>1306.764419808545</v>
      </c>
      <c r="Q23" s="386">
        <v>138.25435103895259</v>
      </c>
      <c r="R23" s="352"/>
      <c r="S23" s="352"/>
      <c r="V23" s="180"/>
    </row>
    <row r="24" spans="1:22" s="996" customFormat="1" ht="15" customHeight="1">
      <c r="A24" s="849"/>
      <c r="B24" s="850" t="s">
        <v>238</v>
      </c>
      <c r="C24" s="385">
        <v>26863.000820399804</v>
      </c>
      <c r="D24" s="385">
        <v>7889.7692907676219</v>
      </c>
      <c r="E24" s="386">
        <v>959.99365903343232</v>
      </c>
      <c r="F24" s="386">
        <v>2149.9429626059436</v>
      </c>
      <c r="G24" s="386">
        <v>2449.3888114142046</v>
      </c>
      <c r="H24" s="386">
        <v>1209.6754082669895</v>
      </c>
      <c r="I24" s="386">
        <v>187.73536368666507</v>
      </c>
      <c r="J24" s="634">
        <v>41709.526316174655</v>
      </c>
      <c r="K24" s="385">
        <v>22639.292034651524</v>
      </c>
      <c r="L24" s="385">
        <v>10739.342830837297</v>
      </c>
      <c r="M24" s="386">
        <v>1447.4651039233938</v>
      </c>
      <c r="N24" s="386">
        <v>733.27705983139469</v>
      </c>
      <c r="O24" s="386">
        <v>4097.8406110383694</v>
      </c>
      <c r="P24" s="386">
        <v>1880.359378198156</v>
      </c>
      <c r="Q24" s="386">
        <v>171.94929769452574</v>
      </c>
      <c r="R24" s="352"/>
      <c r="S24" s="352"/>
      <c r="V24" s="180"/>
    </row>
    <row r="25" spans="1:22" s="996" customFormat="1" ht="21" customHeight="1">
      <c r="A25" s="849">
        <v>2025</v>
      </c>
      <c r="B25" s="850" t="s">
        <v>239</v>
      </c>
      <c r="C25" s="385">
        <v>27825.870301222272</v>
      </c>
      <c r="D25" s="385">
        <v>8251.8475335091553</v>
      </c>
      <c r="E25" s="386">
        <v>1012.8449107113108</v>
      </c>
      <c r="F25" s="386">
        <v>1600.9026224687268</v>
      </c>
      <c r="G25" s="386">
        <v>2347.7587957963597</v>
      </c>
      <c r="H25" s="386">
        <v>1249.3902270922163</v>
      </c>
      <c r="I25" s="386">
        <v>154.46194760925894</v>
      </c>
      <c r="J25" s="634">
        <v>42443.056338409304</v>
      </c>
      <c r="K25" s="385">
        <v>23253.244600784179</v>
      </c>
      <c r="L25" s="385">
        <v>11025.49787310292</v>
      </c>
      <c r="M25" s="386">
        <v>1542.8232511272597</v>
      </c>
      <c r="N25" s="386">
        <v>722.65225783623237</v>
      </c>
      <c r="O25" s="386">
        <v>4101.8179526316244</v>
      </c>
      <c r="P25" s="386">
        <v>1637.1563806298293</v>
      </c>
      <c r="Q25" s="386">
        <v>159.86402229726082</v>
      </c>
      <c r="R25" s="352"/>
      <c r="S25" s="352"/>
      <c r="V25" s="180"/>
    </row>
    <row r="26" spans="1:22" s="996" customFormat="1" ht="15" customHeight="1">
      <c r="A26" s="849"/>
      <c r="B26" s="850" t="s">
        <v>240</v>
      </c>
      <c r="C26" s="385">
        <v>28216.060263560586</v>
      </c>
      <c r="D26" s="385">
        <v>8721.5151927816314</v>
      </c>
      <c r="E26" s="386">
        <v>1026.4182534605261</v>
      </c>
      <c r="F26" s="386">
        <v>1629.4183774202079</v>
      </c>
      <c r="G26" s="386">
        <v>2586.482848496129</v>
      </c>
      <c r="H26" s="386">
        <v>1221.0600832298351</v>
      </c>
      <c r="I26" s="386">
        <v>152.0184803887314</v>
      </c>
      <c r="J26" s="634">
        <v>43552.973499337655</v>
      </c>
      <c r="K26" s="385">
        <v>23031.953484538863</v>
      </c>
      <c r="L26" s="385">
        <v>11809.372123869822</v>
      </c>
      <c r="M26" s="386">
        <v>1681.2412765082011</v>
      </c>
      <c r="N26" s="386">
        <v>697.66830279773319</v>
      </c>
      <c r="O26" s="386">
        <v>4173.9118639584058</v>
      </c>
      <c r="P26" s="386">
        <v>1980.0815374833999</v>
      </c>
      <c r="Q26" s="386">
        <v>178.74491018123081</v>
      </c>
      <c r="R26" s="352"/>
      <c r="S26" s="352"/>
      <c r="V26" s="180"/>
    </row>
    <row r="27" spans="1:22" s="996" customFormat="1" ht="15" customHeight="1">
      <c r="A27" s="849"/>
      <c r="B27" s="850" t="s">
        <v>237</v>
      </c>
      <c r="C27" s="385">
        <v>28101.205140041879</v>
      </c>
      <c r="D27" s="385">
        <v>8891.8683990752907</v>
      </c>
      <c r="E27" s="386">
        <v>1130.8649250223364</v>
      </c>
      <c r="F27" s="386">
        <v>1813.1396415238414</v>
      </c>
      <c r="G27" s="386">
        <v>2645.2665138188231</v>
      </c>
      <c r="H27" s="386">
        <v>1331.7312870028129</v>
      </c>
      <c r="I27" s="386">
        <v>146.63558497172809</v>
      </c>
      <c r="J27" s="634">
        <v>44060.741491456713</v>
      </c>
      <c r="K27" s="385">
        <v>22985.532371988418</v>
      </c>
      <c r="L27" s="385">
        <v>11282.344664586946</v>
      </c>
      <c r="M27" s="386">
        <v>1871.5045580305366</v>
      </c>
      <c r="N27" s="386">
        <v>708.21917180579567</v>
      </c>
      <c r="O27" s="386">
        <v>4679.3691734179229</v>
      </c>
      <c r="P27" s="386">
        <v>2334.2516942185657</v>
      </c>
      <c r="Q27" s="386">
        <v>199.51985740852251</v>
      </c>
      <c r="R27" s="352"/>
      <c r="S27" s="352"/>
      <c r="V27" s="180"/>
    </row>
    <row r="28" spans="1:22" s="996" customFormat="1" ht="15" customHeight="1">
      <c r="A28" s="849"/>
      <c r="B28" s="850" t="s">
        <v>238</v>
      </c>
      <c r="C28" s="385">
        <f t="shared" ref="C28:Q28" si="1">C36</f>
        <v>29189.182845824929</v>
      </c>
      <c r="D28" s="385">
        <f t="shared" si="1"/>
        <v>8552.0932346619229</v>
      </c>
      <c r="E28" s="386">
        <f t="shared" si="1"/>
        <v>1213.0294311021278</v>
      </c>
      <c r="F28" s="386">
        <f t="shared" si="1"/>
        <v>1766.2797562036569</v>
      </c>
      <c r="G28" s="386">
        <f t="shared" si="1"/>
        <v>2885.1781531864617</v>
      </c>
      <c r="H28" s="386">
        <f t="shared" si="1"/>
        <v>1257.6374278438038</v>
      </c>
      <c r="I28" s="386">
        <f t="shared" si="1"/>
        <v>137.73945033265045</v>
      </c>
      <c r="J28" s="634">
        <f t="shared" si="1"/>
        <v>45001.140299155551</v>
      </c>
      <c r="K28" s="385">
        <f t="shared" si="1"/>
        <v>23317.709982532338</v>
      </c>
      <c r="L28" s="385">
        <f t="shared" si="1"/>
        <v>12315.662017054539</v>
      </c>
      <c r="M28" s="386">
        <f t="shared" si="1"/>
        <v>2097.7327147008987</v>
      </c>
      <c r="N28" s="386">
        <f t="shared" si="1"/>
        <v>650.70375405904542</v>
      </c>
      <c r="O28" s="386">
        <f t="shared" si="1"/>
        <v>4897.8010543833198</v>
      </c>
      <c r="P28" s="386">
        <f t="shared" si="1"/>
        <v>1549.4425534324812</v>
      </c>
      <c r="Q28" s="386">
        <f t="shared" si="1"/>
        <v>172.0882229929266</v>
      </c>
      <c r="R28" s="352"/>
      <c r="S28" s="352"/>
      <c r="V28" s="180"/>
    </row>
    <row r="29" spans="1:22" s="996" customFormat="1" ht="21" customHeight="1">
      <c r="A29" s="849">
        <v>2026</v>
      </c>
      <c r="B29" s="850" t="s">
        <v>239</v>
      </c>
      <c r="C29" s="385">
        <f t="shared" ref="C29:Q29" si="2">C39</f>
        <v>30502.077269753252</v>
      </c>
      <c r="D29" s="385">
        <f t="shared" si="2"/>
        <v>8827.5132775579095</v>
      </c>
      <c r="E29" s="386">
        <f t="shared" si="2"/>
        <v>1298.8470400219974</v>
      </c>
      <c r="F29" s="386">
        <f t="shared" si="2"/>
        <v>1896.9324957109952</v>
      </c>
      <c r="G29" s="386">
        <f t="shared" si="2"/>
        <v>3066.1068107111041</v>
      </c>
      <c r="H29" s="386">
        <f t="shared" si="2"/>
        <v>1115.2963086919415</v>
      </c>
      <c r="I29" s="386">
        <f t="shared" si="2"/>
        <v>130.57170161531394</v>
      </c>
      <c r="J29" s="634">
        <f t="shared" si="2"/>
        <v>46837.344904062513</v>
      </c>
      <c r="K29" s="385">
        <f t="shared" si="2"/>
        <v>23997.239220725674</v>
      </c>
      <c r="L29" s="385">
        <f t="shared" si="2"/>
        <v>13644.519716279752</v>
      </c>
      <c r="M29" s="386">
        <f t="shared" si="2"/>
        <v>2228.9069607532142</v>
      </c>
      <c r="N29" s="386">
        <f t="shared" si="2"/>
        <v>765.49999599379555</v>
      </c>
      <c r="O29" s="386">
        <f t="shared" si="2"/>
        <v>4546.3340909617036</v>
      </c>
      <c r="P29" s="386">
        <f t="shared" si="2"/>
        <v>1543.9569066487984</v>
      </c>
      <c r="Q29" s="386">
        <f t="shared" si="2"/>
        <v>110.88801269957912</v>
      </c>
      <c r="R29" s="352"/>
      <c r="S29" s="352"/>
      <c r="V29" s="180"/>
    </row>
    <row r="30" spans="1:22" s="996" customFormat="1" ht="15" customHeight="1">
      <c r="A30" s="991"/>
      <c r="B30" s="992" t="s">
        <v>240</v>
      </c>
      <c r="C30" s="993">
        <f t="shared" ref="C30:Q30" si="3">C42</f>
        <v>30039.3767302425</v>
      </c>
      <c r="D30" s="993">
        <f t="shared" si="3"/>
        <v>9078.5578929956828</v>
      </c>
      <c r="E30" s="994">
        <f t="shared" si="3"/>
        <v>1357.6202130314798</v>
      </c>
      <c r="F30" s="994">
        <f t="shared" si="3"/>
        <v>2007.2163320333791</v>
      </c>
      <c r="G30" s="994">
        <f t="shared" si="3"/>
        <v>3015.6987828740603</v>
      </c>
      <c r="H30" s="994">
        <f t="shared" si="3"/>
        <v>1160.4456917425673</v>
      </c>
      <c r="I30" s="994">
        <f t="shared" si="3"/>
        <v>112.16196795703581</v>
      </c>
      <c r="J30" s="995">
        <f t="shared" si="3"/>
        <v>46771.077610876702</v>
      </c>
      <c r="K30" s="993">
        <f t="shared" si="3"/>
        <v>24871.416299023222</v>
      </c>
      <c r="L30" s="993">
        <f t="shared" si="3"/>
        <v>12832.90137189075</v>
      </c>
      <c r="M30" s="994">
        <f t="shared" si="3"/>
        <v>2309.2214921088312</v>
      </c>
      <c r="N30" s="994">
        <f t="shared" si="3"/>
        <v>889.81776547775632</v>
      </c>
      <c r="O30" s="994">
        <f t="shared" si="3"/>
        <v>4176.855242722585</v>
      </c>
      <c r="P30" s="994">
        <f t="shared" si="3"/>
        <v>1411.6531295267696</v>
      </c>
      <c r="Q30" s="994">
        <f t="shared" si="3"/>
        <v>279.21231012678618</v>
      </c>
      <c r="R30" s="352"/>
      <c r="S30" s="352"/>
      <c r="V30" s="180"/>
    </row>
    <row r="31" spans="1:22" s="180" customFormat="1" ht="21" customHeight="1">
      <c r="A31" s="849">
        <v>2025</v>
      </c>
      <c r="B31" s="850" t="s">
        <v>420</v>
      </c>
      <c r="C31" s="385">
        <v>28211.041084364228</v>
      </c>
      <c r="D31" s="385">
        <v>8768.4357797172215</v>
      </c>
      <c r="E31" s="385">
        <v>1133.6654692056468</v>
      </c>
      <c r="F31" s="385">
        <v>1794.2159000762801</v>
      </c>
      <c r="G31" s="385">
        <v>2606.8854575574105</v>
      </c>
      <c r="H31" s="385">
        <v>1135.0299384817358</v>
      </c>
      <c r="I31" s="386">
        <f t="shared" ref="I31:I32" si="4">$J31-SUM(C31:H31)</f>
        <v>150.36791691659164</v>
      </c>
      <c r="J31" s="634">
        <v>43799.641546319108</v>
      </c>
      <c r="K31" s="385">
        <v>22957.65687593845</v>
      </c>
      <c r="L31" s="385">
        <v>11202.942145276978</v>
      </c>
      <c r="M31" s="385">
        <v>1696.6879735696984</v>
      </c>
      <c r="N31" s="385">
        <v>900.37081284692158</v>
      </c>
      <c r="O31" s="385">
        <v>4627.3398204132573</v>
      </c>
      <c r="P31" s="385">
        <v>2222.9484123812931</v>
      </c>
      <c r="Q31" s="386">
        <f t="shared" ref="Q31:Q34" si="5">$J31-SUM(K31:P31)</f>
        <v>191.69550589250139</v>
      </c>
      <c r="R31" s="352"/>
      <c r="S31" s="352"/>
    </row>
    <row r="32" spans="1:22" s="180" customFormat="1" ht="17.25" customHeight="1">
      <c r="A32" s="849"/>
      <c r="B32" s="850" t="s">
        <v>421</v>
      </c>
      <c r="C32" s="385">
        <v>28036.856351553135</v>
      </c>
      <c r="D32" s="385">
        <v>9109.0194213349896</v>
      </c>
      <c r="E32" s="385">
        <v>1125.5138198451186</v>
      </c>
      <c r="F32" s="385">
        <v>1833.5375383733099</v>
      </c>
      <c r="G32" s="385">
        <v>2704.0422015553704</v>
      </c>
      <c r="H32" s="385">
        <v>1289.6695062803697</v>
      </c>
      <c r="I32" s="386">
        <f t="shared" si="4"/>
        <v>148.35663539761299</v>
      </c>
      <c r="J32" s="634">
        <v>44246.995474339907</v>
      </c>
      <c r="K32" s="385">
        <v>22984.133759488053</v>
      </c>
      <c r="L32" s="385">
        <v>11233.393110607374</v>
      </c>
      <c r="M32" s="385">
        <v>1733.3284544440467</v>
      </c>
      <c r="N32" s="385">
        <v>934.15566347002834</v>
      </c>
      <c r="O32" s="385">
        <v>4759.6720420704141</v>
      </c>
      <c r="P32" s="385">
        <v>2399.3225587284355</v>
      </c>
      <c r="Q32" s="386">
        <f t="shared" si="5"/>
        <v>202.98988553155505</v>
      </c>
      <c r="R32" s="352"/>
      <c r="S32" s="352"/>
    </row>
    <row r="33" spans="1:19" s="180" customFormat="1" ht="17.25" customHeight="1">
      <c r="A33" s="849"/>
      <c r="B33" s="850" t="s">
        <v>422</v>
      </c>
      <c r="C33" s="385">
        <v>28101.205140041879</v>
      </c>
      <c r="D33" s="385">
        <v>8891.8683990752907</v>
      </c>
      <c r="E33" s="385">
        <v>1130.8649250223364</v>
      </c>
      <c r="F33" s="385">
        <v>1813.1396415238414</v>
      </c>
      <c r="G33" s="385">
        <v>2645.2665138188231</v>
      </c>
      <c r="H33" s="385">
        <v>1331.7312870028129</v>
      </c>
      <c r="I33" s="386">
        <f>$J33-SUM(C33:H33)-0.03</f>
        <v>146.63558497172809</v>
      </c>
      <c r="J33" s="634">
        <v>44060.741491456713</v>
      </c>
      <c r="K33" s="385">
        <v>22985.532371988418</v>
      </c>
      <c r="L33" s="385">
        <v>11282.344664586946</v>
      </c>
      <c r="M33" s="385">
        <v>1871.5045580305366</v>
      </c>
      <c r="N33" s="385">
        <v>708.21917180579567</v>
      </c>
      <c r="O33" s="385">
        <v>4679.3691734179229</v>
      </c>
      <c r="P33" s="385">
        <v>2334.2516942185657</v>
      </c>
      <c r="Q33" s="386">
        <f t="shared" si="5"/>
        <v>199.51985740852251</v>
      </c>
      <c r="R33" s="352"/>
      <c r="S33" s="352"/>
    </row>
    <row r="34" spans="1:19" s="180" customFormat="1" ht="17.25" customHeight="1">
      <c r="A34" s="849"/>
      <c r="B34" s="850" t="s">
        <v>411</v>
      </c>
      <c r="C34" s="385">
        <v>28511.136359516779</v>
      </c>
      <c r="D34" s="385">
        <v>8381.850625250634</v>
      </c>
      <c r="E34" s="385">
        <v>1174.6979354267664</v>
      </c>
      <c r="F34" s="385">
        <v>1849.6455789248726</v>
      </c>
      <c r="G34" s="385">
        <v>2754.7362600964607</v>
      </c>
      <c r="H34" s="385">
        <v>1371.6682405202628</v>
      </c>
      <c r="I34" s="386">
        <f>$J34-SUM(C34:H34)</f>
        <v>144.6619674210815</v>
      </c>
      <c r="J34" s="634">
        <v>44188.396967156863</v>
      </c>
      <c r="K34" s="385">
        <v>22686.39490364811</v>
      </c>
      <c r="L34" s="385">
        <v>11733.891006150567</v>
      </c>
      <c r="M34" s="385">
        <v>1924.3553780102391</v>
      </c>
      <c r="N34" s="385">
        <v>814.63002351063608</v>
      </c>
      <c r="O34" s="385">
        <v>4597.5733885928785</v>
      </c>
      <c r="P34" s="385">
        <v>2296.1427992892927</v>
      </c>
      <c r="Q34" s="386">
        <f t="shared" si="5"/>
        <v>135.40946795513446</v>
      </c>
      <c r="R34" s="352"/>
      <c r="S34" s="352"/>
    </row>
    <row r="35" spans="1:19" s="180" customFormat="1" ht="17.25" customHeight="1">
      <c r="A35" s="849"/>
      <c r="B35" s="850" t="s">
        <v>412</v>
      </c>
      <c r="C35" s="385">
        <v>28811.586145280635</v>
      </c>
      <c r="D35" s="385">
        <v>8542.6984615958518</v>
      </c>
      <c r="E35" s="385">
        <v>1190.9343258297126</v>
      </c>
      <c r="F35" s="385">
        <v>1658.0745719448551</v>
      </c>
      <c r="G35" s="385">
        <v>2798.366042759872</v>
      </c>
      <c r="H35" s="385">
        <v>1383.3675163920791</v>
      </c>
      <c r="I35" s="386">
        <f>$J35-SUM(C35:H35)</f>
        <v>142.74762524636753</v>
      </c>
      <c r="J35" s="634">
        <v>44527.774689049373</v>
      </c>
      <c r="K35" s="385">
        <v>23090.7267210836</v>
      </c>
      <c r="L35" s="385">
        <v>11654.533694105776</v>
      </c>
      <c r="M35" s="385">
        <v>1981.9103876571789</v>
      </c>
      <c r="N35" s="385">
        <v>798.70476861526197</v>
      </c>
      <c r="O35" s="385">
        <v>4824.6781396455435</v>
      </c>
      <c r="P35" s="385">
        <v>2036.372064520709</v>
      </c>
      <c r="Q35" s="386">
        <f>$J35-SUM(K35:P35)+0.01</f>
        <v>140.85891342130867</v>
      </c>
      <c r="R35" s="352"/>
      <c r="S35" s="352"/>
    </row>
    <row r="36" spans="1:19" s="180" customFormat="1" ht="17.25" customHeight="1">
      <c r="A36" s="849"/>
      <c r="B36" s="850" t="s">
        <v>413</v>
      </c>
      <c r="C36" s="385">
        <v>29189.182845824929</v>
      </c>
      <c r="D36" s="385">
        <v>8552.0932346619229</v>
      </c>
      <c r="E36" s="385">
        <v>1213.0294311021278</v>
      </c>
      <c r="F36" s="385">
        <v>1766.2797562036569</v>
      </c>
      <c r="G36" s="385">
        <v>2885.1781531864617</v>
      </c>
      <c r="H36" s="385">
        <v>1257.6374278438038</v>
      </c>
      <c r="I36" s="386">
        <f>$J36-SUM(C36:H36)</f>
        <v>137.73945033265045</v>
      </c>
      <c r="J36" s="634">
        <v>45001.140299155551</v>
      </c>
      <c r="K36" s="385">
        <v>23317.709982532338</v>
      </c>
      <c r="L36" s="385">
        <v>12315.662017054539</v>
      </c>
      <c r="M36" s="385">
        <v>2097.7327147008987</v>
      </c>
      <c r="N36" s="385">
        <v>650.70375405904542</v>
      </c>
      <c r="O36" s="385">
        <v>4897.8010543833198</v>
      </c>
      <c r="P36" s="385">
        <v>1549.4425534324812</v>
      </c>
      <c r="Q36" s="386">
        <f>$J36-SUM(K36:P36)</f>
        <v>172.0882229929266</v>
      </c>
      <c r="R36" s="352"/>
      <c r="S36" s="352"/>
    </row>
    <row r="37" spans="1:19" s="180" customFormat="1" ht="21" customHeight="1">
      <c r="A37" s="849">
        <v>2026</v>
      </c>
      <c r="B37" s="850" t="s">
        <v>414</v>
      </c>
      <c r="C37" s="385">
        <v>29246.43193579782</v>
      </c>
      <c r="D37" s="385">
        <v>8542.3064539392199</v>
      </c>
      <c r="E37" s="385">
        <v>1234.5611168477342</v>
      </c>
      <c r="F37" s="385">
        <v>1861.2468575955174</v>
      </c>
      <c r="G37" s="385">
        <v>2976.7633979153243</v>
      </c>
      <c r="H37" s="385">
        <v>1274.5181009321818</v>
      </c>
      <c r="I37" s="386">
        <f>$J37-SUM(C37:H37)+0.02</f>
        <v>135.53494780577196</v>
      </c>
      <c r="J37" s="634">
        <v>45271.342810833572</v>
      </c>
      <c r="K37" s="385">
        <v>23554.570528389453</v>
      </c>
      <c r="L37" s="385">
        <v>12020.272704235438</v>
      </c>
      <c r="M37" s="385">
        <v>2339.0431884277041</v>
      </c>
      <c r="N37" s="385">
        <v>940.97673508608966</v>
      </c>
      <c r="O37" s="385">
        <v>4572.9323787284338</v>
      </c>
      <c r="P37" s="385">
        <v>1683.9196690902256</v>
      </c>
      <c r="Q37" s="386">
        <f>$J37-SUM(K37:P37)</f>
        <v>159.62760687622358</v>
      </c>
      <c r="R37" s="352"/>
      <c r="S37" s="352"/>
    </row>
    <row r="38" spans="1:19" s="180" customFormat="1" ht="17.25" customHeight="1">
      <c r="A38" s="849"/>
      <c r="B38" s="850" t="s">
        <v>415</v>
      </c>
      <c r="C38" s="385">
        <v>29328.402111737163</v>
      </c>
      <c r="D38" s="385">
        <v>8864.7142212952385</v>
      </c>
      <c r="E38" s="385">
        <v>1304.696983086744</v>
      </c>
      <c r="F38" s="385">
        <v>2140.3370869003707</v>
      </c>
      <c r="G38" s="385">
        <v>2949.351944459343</v>
      </c>
      <c r="H38" s="385">
        <v>1293.5026687191053</v>
      </c>
      <c r="I38" s="386">
        <f>$J38-SUM(C38:H38)</f>
        <v>129.53314543455053</v>
      </c>
      <c r="J38" s="634">
        <v>46010.538161632518</v>
      </c>
      <c r="K38" s="385">
        <v>23742.337905137618</v>
      </c>
      <c r="L38" s="385">
        <v>12343.975105290161</v>
      </c>
      <c r="M38" s="385">
        <v>2378.3299457870598</v>
      </c>
      <c r="N38" s="385">
        <v>952.97586640751047</v>
      </c>
      <c r="O38" s="385">
        <v>4652.6385194441245</v>
      </c>
      <c r="P38" s="385">
        <v>1793.6835752182842</v>
      </c>
      <c r="Q38" s="386">
        <f>$J38-SUM(K38:P38)</f>
        <v>146.59724434775853</v>
      </c>
      <c r="R38" s="352"/>
      <c r="S38" s="352"/>
    </row>
    <row r="39" spans="1:19" s="180" customFormat="1" ht="17.25" customHeight="1">
      <c r="A39" s="849"/>
      <c r="B39" s="850" t="s">
        <v>416</v>
      </c>
      <c r="C39" s="385">
        <v>30502.077269753252</v>
      </c>
      <c r="D39" s="385">
        <v>8827.5132775579095</v>
      </c>
      <c r="E39" s="385">
        <v>1298.8470400219974</v>
      </c>
      <c r="F39" s="385">
        <v>1896.9324957109952</v>
      </c>
      <c r="G39" s="385">
        <v>3066.1068107111041</v>
      </c>
      <c r="H39" s="385">
        <v>1115.2963086919415</v>
      </c>
      <c r="I39" s="386">
        <f>$J39-SUM(C39:H39)</f>
        <v>130.57170161531394</v>
      </c>
      <c r="J39" s="634">
        <v>46837.344904062513</v>
      </c>
      <c r="K39" s="385">
        <v>23997.239220725674</v>
      </c>
      <c r="L39" s="385">
        <v>13644.519716279752</v>
      </c>
      <c r="M39" s="385">
        <v>2228.9069607532142</v>
      </c>
      <c r="N39" s="385">
        <v>765.49999599379555</v>
      </c>
      <c r="O39" s="385">
        <v>4546.3340909617036</v>
      </c>
      <c r="P39" s="385">
        <v>1543.9569066487984</v>
      </c>
      <c r="Q39" s="386">
        <f>$J39-SUM(K39:P39)</f>
        <v>110.88801269957912</v>
      </c>
      <c r="R39" s="352"/>
      <c r="S39" s="352"/>
    </row>
    <row r="40" spans="1:19" s="180" customFormat="1" ht="17.25" customHeight="1">
      <c r="A40" s="849"/>
      <c r="B40" s="850" t="s">
        <v>417</v>
      </c>
      <c r="C40" s="385">
        <v>30219.540746604976</v>
      </c>
      <c r="D40" s="385">
        <v>9044.633573215051</v>
      </c>
      <c r="E40" s="385">
        <v>1426.0578313409096</v>
      </c>
      <c r="F40" s="385">
        <v>2018.6726547276014</v>
      </c>
      <c r="G40" s="385">
        <v>3191.9103287211742</v>
      </c>
      <c r="H40" s="385">
        <v>1112.7994933394398</v>
      </c>
      <c r="I40" s="386">
        <f>$J40-SUM(C40:H40)-0.05</f>
        <v>123.28424521897541</v>
      </c>
      <c r="J40" s="634">
        <v>47136.948873168127</v>
      </c>
      <c r="K40" s="385">
        <v>24648.250645496686</v>
      </c>
      <c r="L40" s="385">
        <v>13178.00878939949</v>
      </c>
      <c r="M40" s="385">
        <v>2193.7991465602349</v>
      </c>
      <c r="N40" s="385">
        <v>1004.0041056177289</v>
      </c>
      <c r="O40" s="385">
        <v>4443.5127463352483</v>
      </c>
      <c r="P40" s="385">
        <v>1526.5122454282473</v>
      </c>
      <c r="Q40" s="386">
        <f>$J40-SUM(K40:P40)-0.02</f>
        <v>142.84119433050043</v>
      </c>
      <c r="R40" s="352"/>
      <c r="S40" s="352"/>
    </row>
    <row r="41" spans="1:19" s="180" customFormat="1" ht="17.25" customHeight="1">
      <c r="A41" s="849"/>
      <c r="B41" s="850" t="s">
        <v>418</v>
      </c>
      <c r="C41" s="385">
        <v>30138.911154464695</v>
      </c>
      <c r="D41" s="385">
        <v>8989.3864719842022</v>
      </c>
      <c r="E41" s="385">
        <v>1383.9011414814051</v>
      </c>
      <c r="F41" s="385">
        <v>2106.8207906439497</v>
      </c>
      <c r="G41" s="385">
        <v>3201.0532246816292</v>
      </c>
      <c r="H41" s="385">
        <v>1107.4209168981088</v>
      </c>
      <c r="I41" s="386">
        <f>$J41-SUM(C41:H41)</f>
        <v>119.35741837466776</v>
      </c>
      <c r="J41" s="634">
        <v>47046.851118528662</v>
      </c>
      <c r="K41" s="385">
        <v>24843.443744991215</v>
      </c>
      <c r="L41" s="385">
        <v>13137.493350841654</v>
      </c>
      <c r="M41" s="385">
        <v>2274.0170435348441</v>
      </c>
      <c r="N41" s="385">
        <v>868.9176565893946</v>
      </c>
      <c r="O41" s="385">
        <v>4203.9108348350946</v>
      </c>
      <c r="P41" s="385">
        <v>1462.3581446067428</v>
      </c>
      <c r="Q41" s="386">
        <f>$J41-SUM(K41:P41)+0.04</f>
        <v>256.75034312972917</v>
      </c>
      <c r="R41" s="352"/>
      <c r="S41" s="352"/>
    </row>
    <row r="42" spans="1:19" s="180" customFormat="1" ht="17.25" customHeight="1">
      <c r="A42" s="849"/>
      <c r="B42" s="850" t="s">
        <v>419</v>
      </c>
      <c r="C42" s="385">
        <v>30039.3767302425</v>
      </c>
      <c r="D42" s="385">
        <v>9078.5578929956828</v>
      </c>
      <c r="E42" s="385">
        <v>1357.6202130314798</v>
      </c>
      <c r="F42" s="385">
        <v>2007.2163320333791</v>
      </c>
      <c r="G42" s="385">
        <v>3015.6987828740603</v>
      </c>
      <c r="H42" s="385">
        <v>1160.4456917425673</v>
      </c>
      <c r="I42" s="386">
        <f>$J42-SUM(C42:H42)</f>
        <v>112.16196795703581</v>
      </c>
      <c r="J42" s="634">
        <v>46771.077610876702</v>
      </c>
      <c r="K42" s="385">
        <v>24871.416299023222</v>
      </c>
      <c r="L42" s="385">
        <v>12832.90137189075</v>
      </c>
      <c r="M42" s="385">
        <v>2309.2214921088312</v>
      </c>
      <c r="N42" s="385">
        <v>889.81776547775632</v>
      </c>
      <c r="O42" s="385">
        <v>4176.855242722585</v>
      </c>
      <c r="P42" s="385">
        <v>1411.6531295267696</v>
      </c>
      <c r="Q42" s="386">
        <f>$J42-SUM(K42:P42)</f>
        <v>279.21231012678618</v>
      </c>
      <c r="R42" s="352"/>
      <c r="S42" s="352"/>
    </row>
    <row r="43" spans="1:19" s="180" customFormat="1" ht="17.25" customHeight="1">
      <c r="A43" s="849"/>
      <c r="B43" s="850" t="s">
        <v>420</v>
      </c>
      <c r="C43" s="385">
        <v>30091.824355892561</v>
      </c>
      <c r="D43" s="385">
        <v>9125.3663823957959</v>
      </c>
      <c r="E43" s="385">
        <v>1330.8626084454957</v>
      </c>
      <c r="F43" s="385">
        <v>2255.4271670988728</v>
      </c>
      <c r="G43" s="385">
        <v>3118.0127387797211</v>
      </c>
      <c r="H43" s="385">
        <v>1067.6281082793407</v>
      </c>
      <c r="I43" s="386">
        <f>$J43-SUM(C43:H43)</f>
        <v>129.7529215580289</v>
      </c>
      <c r="J43" s="634">
        <v>47118.874282449819</v>
      </c>
      <c r="K43" s="385">
        <v>24876.739598062821</v>
      </c>
      <c r="L43" s="385">
        <v>12940.464993080255</v>
      </c>
      <c r="M43" s="385">
        <v>2307.1850393494437</v>
      </c>
      <c r="N43" s="385">
        <v>1073.5218964261053</v>
      </c>
      <c r="O43" s="385">
        <v>4424.8221687260675</v>
      </c>
      <c r="P43" s="385">
        <v>1208.8250040606704</v>
      </c>
      <c r="Q43" s="386">
        <f>$J43-SUM(K43:P43)+0.05</f>
        <v>287.3655827444498</v>
      </c>
      <c r="R43" s="352"/>
      <c r="S43" s="352"/>
    </row>
    <row r="44" spans="1:19" ht="19.5" customHeight="1">
      <c r="A44" s="253" t="s">
        <v>930</v>
      </c>
      <c r="B44" s="1713"/>
      <c r="C44" s="1713"/>
      <c r="D44" s="1713"/>
      <c r="E44" s="1713"/>
      <c r="F44" s="1713"/>
      <c r="G44" s="1713"/>
      <c r="H44" s="1713"/>
      <c r="I44" s="1713"/>
      <c r="J44" s="1713"/>
      <c r="K44" s="1713"/>
      <c r="L44" s="1713"/>
      <c r="M44" s="1713"/>
      <c r="N44" s="1713"/>
      <c r="O44" s="1713"/>
      <c r="P44" s="1713"/>
      <c r="Q44" s="252" t="s">
        <v>931</v>
      </c>
    </row>
    <row r="45" spans="1:19" ht="16.05" customHeight="1">
      <c r="A45" s="306" t="s">
        <v>932</v>
      </c>
      <c r="Q45" s="365" t="s">
        <v>933</v>
      </c>
    </row>
    <row r="46" spans="1:19" s="180" customFormat="1" ht="15">
      <c r="A46" s="306" t="s">
        <v>934</v>
      </c>
      <c r="B46" s="306"/>
      <c r="C46" s="306"/>
      <c r="D46" s="306"/>
      <c r="E46" s="306"/>
      <c r="F46" s="306"/>
      <c r="G46" s="306"/>
      <c r="H46" s="306"/>
      <c r="I46" s="306"/>
      <c r="J46" s="276"/>
      <c r="K46" s="276"/>
      <c r="L46" s="276"/>
      <c r="M46" s="276"/>
      <c r="N46" s="276"/>
      <c r="O46" s="276"/>
      <c r="P46" s="276"/>
      <c r="Q46" s="627" t="s">
        <v>935</v>
      </c>
    </row>
    <row r="47" spans="1:19" ht="15">
      <c r="A47" s="276" t="s">
        <v>936</v>
      </c>
      <c r="B47" s="1401"/>
      <c r="C47" s="1401"/>
      <c r="D47" s="1401"/>
      <c r="E47" s="1401"/>
      <c r="F47" s="1401"/>
      <c r="G47" s="1401"/>
      <c r="H47" s="1401"/>
      <c r="I47" s="1401"/>
      <c r="J47" s="1401"/>
      <c r="K47" s="1401"/>
      <c r="L47" s="1401"/>
      <c r="M47" s="1401"/>
      <c r="N47" s="1401"/>
      <c r="O47" s="1401"/>
      <c r="P47" s="1401"/>
      <c r="Q47" s="1401"/>
    </row>
    <row r="48" spans="1:19">
      <c r="C48" s="1740"/>
      <c r="D48" s="1740"/>
      <c r="E48" s="1740"/>
      <c r="F48" s="1740"/>
      <c r="G48" s="1740"/>
      <c r="H48" s="1740"/>
      <c r="I48" s="1740"/>
      <c r="J48" s="1740"/>
      <c r="K48" s="1740"/>
      <c r="L48" s="1740"/>
      <c r="M48" s="1740"/>
      <c r="N48" s="1740"/>
      <c r="O48" s="1740"/>
      <c r="P48" s="1740"/>
      <c r="Q48" s="1740"/>
    </row>
    <row r="49" spans="3:17">
      <c r="C49" s="1740"/>
      <c r="D49" s="1740"/>
      <c r="E49" s="1740"/>
      <c r="F49" s="1740"/>
      <c r="G49" s="1740"/>
      <c r="H49" s="1740"/>
      <c r="I49" s="1740"/>
      <c r="J49" s="1740"/>
      <c r="K49" s="1740"/>
      <c r="L49" s="1740"/>
      <c r="M49" s="1740"/>
      <c r="N49" s="1740"/>
      <c r="O49" s="1740"/>
      <c r="P49" s="1740"/>
      <c r="Q49" s="1740"/>
    </row>
  </sheetData>
  <phoneticPr fontId="32" type="noConversion"/>
  <printOptions horizontalCentered="1" verticalCentered="1"/>
  <pageMargins left="0" right="0" top="0" bottom="0" header="0.5" footer="0.5"/>
  <pageSetup paperSize="9" scale="6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dimension ref="A1:U48"/>
  <sheetViews>
    <sheetView zoomScale="75" zoomScaleNormal="75" workbookViewId="0">
      <pane ySplit="12" topLeftCell="A39" activePane="bottomLeft" state="frozen"/>
      <selection activeCell="B2" sqref="B2"/>
      <selection pane="bottomLeft" activeCell="J44" sqref="J44"/>
    </sheetView>
  </sheetViews>
  <sheetFormatPr defaultColWidth="9.21875" defaultRowHeight="13.2"/>
  <cols>
    <col min="1" max="2" width="9.77734375" style="1402" customWidth="1"/>
    <col min="3" max="3" width="11" style="1402" customWidth="1"/>
    <col min="4" max="5" width="12.77734375" style="1402" customWidth="1"/>
    <col min="6" max="6" width="10.21875" style="1402" customWidth="1"/>
    <col min="7" max="8" width="11.77734375" style="1402" customWidth="1"/>
    <col min="9" max="9" width="10.21875" style="1402" customWidth="1"/>
    <col min="10" max="10" width="12.77734375" style="1402" customWidth="1"/>
    <col min="11" max="11" width="12" style="1402" customWidth="1"/>
    <col min="12" max="12" width="12.77734375" style="1402" customWidth="1"/>
    <col min="13" max="13" width="11.77734375" style="1402" customWidth="1"/>
    <col min="14" max="14" width="10.21875" style="1402" customWidth="1"/>
    <col min="15" max="16" width="11.77734375" style="1402" customWidth="1"/>
    <col min="17" max="17" width="10.77734375" style="1402" customWidth="1"/>
    <col min="18" max="16384" width="9.21875" style="1402"/>
  </cols>
  <sheetData>
    <row r="1" spans="1:19" s="381" customFormat="1" ht="17.399999999999999">
      <c r="A1" s="277" t="s">
        <v>1762</v>
      </c>
      <c r="B1" s="1710"/>
      <c r="C1" s="1710"/>
      <c r="D1" s="1710"/>
      <c r="E1" s="1710"/>
      <c r="F1" s="1710"/>
      <c r="G1" s="1710"/>
      <c r="H1" s="1710"/>
      <c r="I1" s="1710"/>
      <c r="J1" s="1710"/>
      <c r="K1" s="1710"/>
      <c r="L1" s="1710"/>
      <c r="M1" s="1710"/>
      <c r="N1" s="1710"/>
      <c r="O1" s="1710"/>
      <c r="P1" s="1710"/>
      <c r="Q1" s="1710"/>
    </row>
    <row r="2" spans="1:19" s="381" customFormat="1" ht="17.399999999999999">
      <c r="A2" s="1660" t="s">
        <v>937</v>
      </c>
      <c r="B2" s="1710"/>
      <c r="C2" s="1710"/>
      <c r="D2" s="1710"/>
      <c r="E2" s="1710"/>
      <c r="F2" s="1710"/>
      <c r="G2" s="1710"/>
      <c r="H2" s="1710"/>
      <c r="I2" s="1710"/>
      <c r="J2" s="1710"/>
      <c r="K2" s="1710"/>
      <c r="L2" s="1710"/>
      <c r="M2" s="1710"/>
      <c r="N2" s="1710"/>
      <c r="O2" s="1710"/>
      <c r="P2" s="1710"/>
      <c r="Q2" s="1710"/>
    </row>
    <row r="3" spans="1:19" s="381" customFormat="1" ht="17.399999999999999">
      <c r="A3" s="1711" t="s">
        <v>938</v>
      </c>
      <c r="B3" s="1710"/>
      <c r="C3" s="1710"/>
      <c r="D3" s="1710"/>
      <c r="E3" s="1710"/>
      <c r="F3" s="1710"/>
      <c r="G3" s="1710"/>
      <c r="H3" s="1710"/>
      <c r="I3" s="1710"/>
      <c r="J3" s="1710"/>
      <c r="K3" s="1710"/>
      <c r="L3" s="1710"/>
      <c r="M3" s="1710"/>
      <c r="N3" s="1710"/>
      <c r="O3" s="1710"/>
      <c r="P3" s="1710"/>
      <c r="Q3" s="1710"/>
    </row>
    <row r="4" spans="1:19" s="321" customFormat="1" ht="13.8">
      <c r="A4" s="357" t="s">
        <v>369</v>
      </c>
      <c r="B4" s="358"/>
      <c r="C4" s="359"/>
      <c r="D4" s="359"/>
      <c r="E4" s="359"/>
      <c r="F4" s="359"/>
      <c r="G4" s="359"/>
      <c r="H4" s="359"/>
      <c r="I4" s="359"/>
      <c r="J4" s="359"/>
      <c r="K4" s="359"/>
      <c r="L4" s="359"/>
      <c r="Q4" s="360" t="s">
        <v>370</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939</v>
      </c>
      <c r="D9" s="177" t="s">
        <v>940</v>
      </c>
      <c r="E9" s="177" t="s">
        <v>941</v>
      </c>
      <c r="F9" s="162" t="s">
        <v>942</v>
      </c>
      <c r="G9" s="162"/>
      <c r="H9" s="177" t="s">
        <v>943</v>
      </c>
      <c r="I9" s="177"/>
      <c r="J9" s="194"/>
      <c r="K9" s="182" t="s">
        <v>939</v>
      </c>
      <c r="L9" s="177" t="s">
        <v>940</v>
      </c>
      <c r="M9" s="177" t="s">
        <v>941</v>
      </c>
      <c r="N9" s="162" t="s">
        <v>942</v>
      </c>
      <c r="O9" s="162"/>
      <c r="P9" s="177" t="s">
        <v>943</v>
      </c>
      <c r="Q9" s="177"/>
    </row>
    <row r="10" spans="1:19" s="176" customFormat="1" ht="18" customHeight="1">
      <c r="A10" s="163" t="s">
        <v>379</v>
      </c>
      <c r="B10" s="165"/>
      <c r="C10" s="182" t="s">
        <v>944</v>
      </c>
      <c r="D10" s="177" t="s">
        <v>945</v>
      </c>
      <c r="E10" s="177" t="s">
        <v>946</v>
      </c>
      <c r="F10" s="162" t="s">
        <v>947</v>
      </c>
      <c r="G10" s="162" t="s">
        <v>348</v>
      </c>
      <c r="H10" s="177" t="s">
        <v>948</v>
      </c>
      <c r="I10" s="177" t="s">
        <v>391</v>
      </c>
      <c r="J10" s="193" t="s">
        <v>382</v>
      </c>
      <c r="K10" s="182" t="s">
        <v>944</v>
      </c>
      <c r="L10" s="177" t="s">
        <v>945</v>
      </c>
      <c r="M10" s="177" t="s">
        <v>946</v>
      </c>
      <c r="N10" s="162" t="s">
        <v>947</v>
      </c>
      <c r="O10" s="162" t="s">
        <v>348</v>
      </c>
      <c r="P10" s="177" t="s">
        <v>948</v>
      </c>
      <c r="Q10" s="177" t="s">
        <v>391</v>
      </c>
    </row>
    <row r="11" spans="1:19" s="164" customFormat="1" ht="18" customHeight="1">
      <c r="A11" s="178" t="s">
        <v>387</v>
      </c>
      <c r="B11" s="165"/>
      <c r="C11" s="191" t="s">
        <v>949</v>
      </c>
      <c r="D11" s="166" t="s">
        <v>950</v>
      </c>
      <c r="E11" s="166" t="s">
        <v>951</v>
      </c>
      <c r="F11" s="166" t="s">
        <v>952</v>
      </c>
      <c r="G11" s="166" t="s">
        <v>544</v>
      </c>
      <c r="H11" s="166" t="s">
        <v>953</v>
      </c>
      <c r="I11" s="168" t="s">
        <v>399</v>
      </c>
      <c r="J11" s="195" t="s">
        <v>392</v>
      </c>
      <c r="K11" s="191" t="s">
        <v>949</v>
      </c>
      <c r="L11" s="166" t="s">
        <v>950</v>
      </c>
      <c r="M11" s="166" t="s">
        <v>951</v>
      </c>
      <c r="N11" s="166" t="s">
        <v>952</v>
      </c>
      <c r="O11" s="166" t="s">
        <v>544</v>
      </c>
      <c r="P11" s="166" t="s">
        <v>953</v>
      </c>
      <c r="Q11" s="168" t="s">
        <v>399</v>
      </c>
    </row>
    <row r="12" spans="1:19" s="164" customFormat="1" ht="18" customHeight="1">
      <c r="A12" s="179"/>
      <c r="B12" s="170"/>
      <c r="C12" s="192" t="s">
        <v>954</v>
      </c>
      <c r="D12" s="198" t="s">
        <v>955</v>
      </c>
      <c r="E12" s="198" t="s">
        <v>956</v>
      </c>
      <c r="F12" s="198" t="s">
        <v>957</v>
      </c>
      <c r="G12" s="198"/>
      <c r="H12" s="198" t="s">
        <v>958</v>
      </c>
      <c r="I12" s="199"/>
      <c r="J12" s="196"/>
      <c r="K12" s="192" t="s">
        <v>954</v>
      </c>
      <c r="L12" s="198" t="s">
        <v>955</v>
      </c>
      <c r="M12" s="198" t="s">
        <v>956</v>
      </c>
      <c r="N12" s="198" t="s">
        <v>957</v>
      </c>
      <c r="O12" s="198"/>
      <c r="P12" s="198" t="s">
        <v>958</v>
      </c>
      <c r="Q12" s="198"/>
    </row>
    <row r="13" spans="1:19" s="180" customFormat="1" ht="27" customHeight="1">
      <c r="A13" s="849">
        <v>2016</v>
      </c>
      <c r="B13" s="850"/>
      <c r="C13" s="385">
        <v>13847.684482513308</v>
      </c>
      <c r="D13" s="385">
        <v>2582.1412415265781</v>
      </c>
      <c r="E13" s="386">
        <v>13061.54417763273</v>
      </c>
      <c r="F13" s="386">
        <v>608.83682272617261</v>
      </c>
      <c r="G13" s="386">
        <v>588.03695792123949</v>
      </c>
      <c r="H13" s="386">
        <v>29.177962049455999</v>
      </c>
      <c r="I13" s="386">
        <v>496.23113126245738</v>
      </c>
      <c r="J13" s="634">
        <v>31213.502775631947</v>
      </c>
      <c r="K13" s="385">
        <v>13725.336360418993</v>
      </c>
      <c r="L13" s="385">
        <v>2064.1325829993898</v>
      </c>
      <c r="M13" s="386">
        <v>14217.390170649742</v>
      </c>
      <c r="N13" s="386">
        <v>368.40274915953626</v>
      </c>
      <c r="O13" s="386">
        <v>553.22357673132444</v>
      </c>
      <c r="P13" s="386">
        <v>29.597446556999998</v>
      </c>
      <c r="Q13" s="386">
        <v>255.49861127791962</v>
      </c>
      <c r="R13" s="352"/>
      <c r="S13" s="352"/>
    </row>
    <row r="14" spans="1:19" s="597" customFormat="1" ht="18" customHeight="1">
      <c r="A14" s="849">
        <v>2017</v>
      </c>
      <c r="B14" s="850"/>
      <c r="C14" s="385">
        <v>13940.199743638404</v>
      </c>
      <c r="D14" s="385">
        <v>2907.4556547999391</v>
      </c>
      <c r="E14" s="386">
        <v>12788.375321419533</v>
      </c>
      <c r="F14" s="386">
        <v>552.43831574225521</v>
      </c>
      <c r="G14" s="386">
        <v>849.32577454291572</v>
      </c>
      <c r="H14" s="386">
        <v>27.06092474791868</v>
      </c>
      <c r="I14" s="386">
        <v>324.11342342409949</v>
      </c>
      <c r="J14" s="634">
        <v>31388.969158315067</v>
      </c>
      <c r="K14" s="385">
        <v>13742.671844237166</v>
      </c>
      <c r="L14" s="385">
        <v>2376.7097933799</v>
      </c>
      <c r="M14" s="386">
        <v>14405.79139482376</v>
      </c>
      <c r="N14" s="386">
        <v>243.89176757688313</v>
      </c>
      <c r="O14" s="386">
        <v>486.36958160157178</v>
      </c>
      <c r="P14" s="386">
        <v>24.339166876000004</v>
      </c>
      <c r="Q14" s="386">
        <v>109.19816719599996</v>
      </c>
      <c r="R14" s="352"/>
      <c r="S14" s="352"/>
    </row>
    <row r="15" spans="1:19" s="996" customFormat="1" ht="18" customHeight="1">
      <c r="A15" s="849">
        <v>2018</v>
      </c>
      <c r="B15" s="850"/>
      <c r="C15" s="385">
        <v>14462.797287870835</v>
      </c>
      <c r="D15" s="385">
        <v>2586.6432679346249</v>
      </c>
      <c r="E15" s="385">
        <v>13769.88138537962</v>
      </c>
      <c r="F15" s="385">
        <v>571.28541417253462</v>
      </c>
      <c r="G15" s="385">
        <v>815.73195869102346</v>
      </c>
      <c r="H15" s="385">
        <v>15.388048864315319</v>
      </c>
      <c r="I15" s="385">
        <v>347.30963501831781</v>
      </c>
      <c r="J15" s="634">
        <v>32569.016388166277</v>
      </c>
      <c r="K15" s="644">
        <v>13951.974525542304</v>
      </c>
      <c r="L15" s="385">
        <v>2532.602719672233</v>
      </c>
      <c r="M15" s="385">
        <v>14701.103629624118</v>
      </c>
      <c r="N15" s="385">
        <v>347.74045659573926</v>
      </c>
      <c r="O15" s="385">
        <v>886.48241709768354</v>
      </c>
      <c r="P15" s="385">
        <v>13.485524372999999</v>
      </c>
      <c r="Q15" s="386">
        <v>135.56336443500007</v>
      </c>
      <c r="R15" s="352"/>
      <c r="S15" s="352"/>
    </row>
    <row r="16" spans="1:19" s="996" customFormat="1" ht="18" customHeight="1">
      <c r="A16" s="849">
        <v>2019</v>
      </c>
      <c r="B16" s="850"/>
      <c r="C16" s="385">
        <v>15324.558939506498</v>
      </c>
      <c r="D16" s="385">
        <v>2658.0382645028026</v>
      </c>
      <c r="E16" s="385">
        <v>15520.493560314675</v>
      </c>
      <c r="F16" s="385">
        <v>546.41696574771413</v>
      </c>
      <c r="G16" s="385">
        <v>907.92306462330896</v>
      </c>
      <c r="H16" s="385">
        <v>34.235041916440018</v>
      </c>
      <c r="I16" s="385">
        <v>378.16713127278348</v>
      </c>
      <c r="J16" s="634">
        <v>35369.833967884224</v>
      </c>
      <c r="K16" s="644">
        <v>14947.892765251161</v>
      </c>
      <c r="L16" s="385">
        <v>3168.3382739973372</v>
      </c>
      <c r="M16" s="385">
        <v>15458.671910102514</v>
      </c>
      <c r="N16" s="385">
        <v>443.74445464110158</v>
      </c>
      <c r="O16" s="385">
        <v>1220.1151924091785</v>
      </c>
      <c r="P16" s="385">
        <v>33.529388792999995</v>
      </c>
      <c r="Q16" s="386">
        <v>97.601158596871983</v>
      </c>
      <c r="R16" s="352"/>
      <c r="S16" s="352"/>
    </row>
    <row r="17" spans="1:21" s="996" customFormat="1" ht="18" customHeight="1">
      <c r="A17" s="849">
        <v>2020</v>
      </c>
      <c r="B17" s="850"/>
      <c r="C17" s="385">
        <v>15896.513872158943</v>
      </c>
      <c r="D17" s="385">
        <v>2320.9844596053845</v>
      </c>
      <c r="E17" s="385">
        <v>15243.588888115544</v>
      </c>
      <c r="F17" s="385">
        <v>594.22075759881227</v>
      </c>
      <c r="G17" s="385">
        <v>1049.9900123503633</v>
      </c>
      <c r="H17" s="385">
        <v>17.969776463737517</v>
      </c>
      <c r="I17" s="385">
        <v>324.04670405163228</v>
      </c>
      <c r="J17" s="634">
        <v>35447.314470344412</v>
      </c>
      <c r="K17" s="644">
        <v>16272.309352863536</v>
      </c>
      <c r="L17" s="385">
        <v>2600.4448920150439</v>
      </c>
      <c r="M17" s="385">
        <v>14958.470577552891</v>
      </c>
      <c r="N17" s="385">
        <v>499.0095573562204</v>
      </c>
      <c r="O17" s="385">
        <v>1006.4740581444566</v>
      </c>
      <c r="P17" s="385">
        <v>21.264856650647395</v>
      </c>
      <c r="Q17" s="386">
        <v>89.306979346224196</v>
      </c>
      <c r="R17" s="352"/>
      <c r="S17" s="352"/>
    </row>
    <row r="18" spans="1:21" s="996" customFormat="1" ht="18" customHeight="1">
      <c r="A18" s="849">
        <v>2021</v>
      </c>
      <c r="B18" s="850"/>
      <c r="C18" s="385">
        <v>16779.133268977133</v>
      </c>
      <c r="D18" s="385">
        <v>2282.1972764481743</v>
      </c>
      <c r="E18" s="385">
        <v>16484.874264458889</v>
      </c>
      <c r="F18" s="385">
        <v>597.86710019031864</v>
      </c>
      <c r="G18" s="385">
        <v>806.79121212652831</v>
      </c>
      <c r="H18" s="385">
        <v>5.6137079902668816</v>
      </c>
      <c r="I18" s="385">
        <v>417.46319103086574</v>
      </c>
      <c r="J18" s="634">
        <v>37373.952699287176</v>
      </c>
      <c r="K18" s="644">
        <v>17288.630812578012</v>
      </c>
      <c r="L18" s="385">
        <v>2621.9720775585256</v>
      </c>
      <c r="M18" s="385">
        <v>16083.66411008286</v>
      </c>
      <c r="N18" s="385">
        <v>537.50150597253901</v>
      </c>
      <c r="O18" s="385">
        <v>799.19708879123107</v>
      </c>
      <c r="P18" s="385">
        <v>5.5780842786122786</v>
      </c>
      <c r="Q18" s="386">
        <v>37.437702376435382</v>
      </c>
      <c r="R18" s="352"/>
      <c r="S18" s="352"/>
    </row>
    <row r="19" spans="1:21" s="996" customFormat="1" ht="18" customHeight="1">
      <c r="A19" s="849">
        <v>2022</v>
      </c>
      <c r="B19" s="850"/>
      <c r="C19" s="385">
        <v>18506.457155046908</v>
      </c>
      <c r="D19" s="386">
        <v>2216.1085650700788</v>
      </c>
      <c r="E19" s="385">
        <v>16089.040512472631</v>
      </c>
      <c r="F19" s="385">
        <v>426.02954481117285</v>
      </c>
      <c r="G19" s="385">
        <v>804.00103932739023</v>
      </c>
      <c r="H19" s="385">
        <v>5.8184737994105493</v>
      </c>
      <c r="I19" s="385">
        <v>200.00434684554256</v>
      </c>
      <c r="J19" s="634">
        <v>38247.439637373129</v>
      </c>
      <c r="K19" s="644">
        <v>18304.145722667265</v>
      </c>
      <c r="L19" s="385">
        <v>2800.9989651581118</v>
      </c>
      <c r="M19" s="385">
        <v>15396.76478851281</v>
      </c>
      <c r="N19" s="385">
        <v>487.27343186731008</v>
      </c>
      <c r="O19" s="385">
        <v>1167.0821682529854</v>
      </c>
      <c r="P19" s="385">
        <v>57.211248504696918</v>
      </c>
      <c r="Q19" s="386">
        <v>33.903585004878636</v>
      </c>
      <c r="R19" s="352"/>
      <c r="S19" s="352"/>
    </row>
    <row r="20" spans="1:21" s="996" customFormat="1" ht="18" customHeight="1">
      <c r="A20" s="849">
        <v>2023</v>
      </c>
      <c r="B20" s="850"/>
      <c r="C20" s="385">
        <v>19337.15675525241</v>
      </c>
      <c r="D20" s="385">
        <v>2347.6561269723657</v>
      </c>
      <c r="E20" s="385">
        <v>17075.921001832998</v>
      </c>
      <c r="F20" s="385">
        <v>440.12185662291955</v>
      </c>
      <c r="G20" s="385">
        <v>760.43876505872129</v>
      </c>
      <c r="H20" s="385">
        <v>45.074261329599494</v>
      </c>
      <c r="I20" s="385">
        <v>254.31340911333706</v>
      </c>
      <c r="J20" s="634">
        <v>40260.652176182353</v>
      </c>
      <c r="K20" s="644">
        <v>19390.863245950488</v>
      </c>
      <c r="L20" s="385">
        <v>2940.5696878663184</v>
      </c>
      <c r="M20" s="385">
        <v>16151.578705033531</v>
      </c>
      <c r="N20" s="385">
        <v>463.45607349649947</v>
      </c>
      <c r="O20" s="385">
        <v>1097.0287476978474</v>
      </c>
      <c r="P20" s="385">
        <v>68.488432743785836</v>
      </c>
      <c r="Q20" s="386">
        <v>148.59976064464686</v>
      </c>
      <c r="R20" s="352"/>
      <c r="S20" s="352"/>
    </row>
    <row r="21" spans="1:21" s="996" customFormat="1" ht="18" customHeight="1">
      <c r="A21" s="849">
        <v>2024</v>
      </c>
      <c r="B21" s="850"/>
      <c r="C21" s="385">
        <v>19402.315594920288</v>
      </c>
      <c r="D21" s="385">
        <v>1701.8688531829457</v>
      </c>
      <c r="E21" s="385">
        <v>18827.597080303363</v>
      </c>
      <c r="F21" s="385">
        <v>485.53954273937404</v>
      </c>
      <c r="G21" s="385">
        <v>965.11162111833437</v>
      </c>
      <c r="H21" s="385">
        <v>34.684937384176251</v>
      </c>
      <c r="I21" s="385">
        <v>292.43754660404358</v>
      </c>
      <c r="J21" s="634">
        <v>41709.535176252524</v>
      </c>
      <c r="K21" s="644">
        <v>20064.013236298444</v>
      </c>
      <c r="L21" s="385">
        <v>2322.6338594975591</v>
      </c>
      <c r="M21" s="385">
        <v>17133.257296149313</v>
      </c>
      <c r="N21" s="385">
        <v>614.98349325481763</v>
      </c>
      <c r="O21" s="385">
        <v>1243.9076923169562</v>
      </c>
      <c r="P21" s="385">
        <v>16.859113488510296</v>
      </c>
      <c r="Q21" s="386">
        <v>313.82475300055404</v>
      </c>
      <c r="R21" s="352"/>
      <c r="S21" s="352"/>
    </row>
    <row r="22" spans="1:21" s="996" customFormat="1" ht="18" customHeight="1">
      <c r="A22" s="991">
        <v>2025</v>
      </c>
      <c r="B22" s="992"/>
      <c r="C22" s="993">
        <f t="shared" ref="C22:Q22" si="0">C28</f>
        <v>20432.944837353854</v>
      </c>
      <c r="D22" s="993">
        <f t="shared" si="0"/>
        <v>1592.7662800456319</v>
      </c>
      <c r="E22" s="993">
        <f t="shared" si="0"/>
        <v>20905.365173935614</v>
      </c>
      <c r="F22" s="993">
        <f t="shared" si="0"/>
        <v>541.83258292798087</v>
      </c>
      <c r="G22" s="993">
        <f t="shared" si="0"/>
        <v>1211.8625476648053</v>
      </c>
      <c r="H22" s="993">
        <f t="shared" si="0"/>
        <v>117.53629425706279</v>
      </c>
      <c r="I22" s="993">
        <f t="shared" si="0"/>
        <v>198.80989149797864</v>
      </c>
      <c r="J22" s="995">
        <f t="shared" si="0"/>
        <v>45001.117607682929</v>
      </c>
      <c r="K22" s="1032">
        <f t="shared" si="0"/>
        <v>20171.529661389217</v>
      </c>
      <c r="L22" s="993">
        <f t="shared" si="0"/>
        <v>2255.3651362869873</v>
      </c>
      <c r="M22" s="993">
        <f t="shared" si="0"/>
        <v>19801.781514685128</v>
      </c>
      <c r="N22" s="993">
        <f t="shared" si="0"/>
        <v>680.43962192958588</v>
      </c>
      <c r="O22" s="993">
        <f t="shared" si="0"/>
        <v>1825.1890386284358</v>
      </c>
      <c r="P22" s="993">
        <f t="shared" si="0"/>
        <v>42.370335928436397</v>
      </c>
      <c r="Q22" s="994">
        <f t="shared" si="0"/>
        <v>224.43661862282963</v>
      </c>
      <c r="R22" s="352"/>
      <c r="S22" s="352"/>
    </row>
    <row r="23" spans="1:21" s="996" customFormat="1" ht="21" customHeight="1">
      <c r="A23" s="849">
        <v>2024</v>
      </c>
      <c r="B23" s="850" t="s">
        <v>237</v>
      </c>
      <c r="C23" s="385">
        <v>19892.258661065989</v>
      </c>
      <c r="D23" s="385">
        <v>1974.0281266856864</v>
      </c>
      <c r="E23" s="385">
        <v>18015.776503887781</v>
      </c>
      <c r="F23" s="385">
        <v>417.2567488534973</v>
      </c>
      <c r="G23" s="385">
        <v>1070.0085722507285</v>
      </c>
      <c r="H23" s="385">
        <v>40.129756868990427</v>
      </c>
      <c r="I23" s="385">
        <v>122.53209353661849</v>
      </c>
      <c r="J23" s="634">
        <v>41531.960463149298</v>
      </c>
      <c r="K23" s="644">
        <v>20222.15690215526</v>
      </c>
      <c r="L23" s="385">
        <v>2663.4771588292638</v>
      </c>
      <c r="M23" s="385">
        <v>16495.985760307238</v>
      </c>
      <c r="N23" s="385">
        <v>690.52777331837865</v>
      </c>
      <c r="O23" s="385">
        <v>1287.0126609905922</v>
      </c>
      <c r="P23" s="385">
        <v>40.210108127386533</v>
      </c>
      <c r="Q23" s="386">
        <v>132.60901975121041</v>
      </c>
      <c r="R23" s="352"/>
      <c r="S23" s="352"/>
    </row>
    <row r="24" spans="1:21" s="996" customFormat="1" ht="15" customHeight="1">
      <c r="A24" s="849"/>
      <c r="B24" s="850" t="s">
        <v>238</v>
      </c>
      <c r="C24" s="385">
        <v>19402.315594920288</v>
      </c>
      <c r="D24" s="385">
        <v>1701.8688531829457</v>
      </c>
      <c r="E24" s="385">
        <v>18827.597080303363</v>
      </c>
      <c r="F24" s="385">
        <v>485.53954273937404</v>
      </c>
      <c r="G24" s="385">
        <v>965.11162111833437</v>
      </c>
      <c r="H24" s="385">
        <v>34.684937384176251</v>
      </c>
      <c r="I24" s="385">
        <v>292.43754660404358</v>
      </c>
      <c r="J24" s="634">
        <v>41709.535176252524</v>
      </c>
      <c r="K24" s="644">
        <v>20064.013236298444</v>
      </c>
      <c r="L24" s="385">
        <v>2322.6338594975591</v>
      </c>
      <c r="M24" s="385">
        <v>17133.257296149313</v>
      </c>
      <c r="N24" s="385">
        <v>614.98349325481763</v>
      </c>
      <c r="O24" s="385">
        <v>1243.9076923169562</v>
      </c>
      <c r="P24" s="385">
        <v>16.859113488510296</v>
      </c>
      <c r="Q24" s="386">
        <v>313.82475300055404</v>
      </c>
      <c r="R24" s="352"/>
      <c r="S24" s="352"/>
    </row>
    <row r="25" spans="1:21" s="996" customFormat="1" ht="21" customHeight="1">
      <c r="A25" s="849">
        <v>2025</v>
      </c>
      <c r="B25" s="850" t="s">
        <v>239</v>
      </c>
      <c r="C25" s="385">
        <v>20009.077315058312</v>
      </c>
      <c r="D25" s="385">
        <v>2291.6617496489362</v>
      </c>
      <c r="E25" s="385">
        <v>18272.832578941889</v>
      </c>
      <c r="F25" s="385">
        <v>564.76126745240151</v>
      </c>
      <c r="G25" s="385">
        <v>927.70719641275241</v>
      </c>
      <c r="H25" s="385">
        <v>78.892049191771775</v>
      </c>
      <c r="I25" s="385">
        <v>298.13128128051835</v>
      </c>
      <c r="J25" s="634">
        <v>42443.063437986581</v>
      </c>
      <c r="K25" s="644">
        <v>20110.762254236161</v>
      </c>
      <c r="L25" s="385">
        <v>2337.4892369082495</v>
      </c>
      <c r="M25" s="385">
        <v>17297.537639608814</v>
      </c>
      <c r="N25" s="385">
        <v>933.61619778202328</v>
      </c>
      <c r="O25" s="385">
        <v>1343.0888411204262</v>
      </c>
      <c r="P25" s="385">
        <v>53.843873451862763</v>
      </c>
      <c r="Q25" s="386">
        <v>366.79456519590116</v>
      </c>
      <c r="R25" s="352"/>
      <c r="S25" s="352"/>
    </row>
    <row r="26" spans="1:21" s="996" customFormat="1" ht="15" customHeight="1">
      <c r="A26" s="849"/>
      <c r="B26" s="850" t="s">
        <v>240</v>
      </c>
      <c r="C26" s="385">
        <v>20194.890406196628</v>
      </c>
      <c r="D26" s="385">
        <v>2295.6140393198752</v>
      </c>
      <c r="E26" s="385">
        <v>19093.04505046393</v>
      </c>
      <c r="F26" s="385">
        <v>494.21463742429188</v>
      </c>
      <c r="G26" s="385">
        <v>1144.0034868196858</v>
      </c>
      <c r="H26" s="385">
        <v>73.912834872692201</v>
      </c>
      <c r="I26" s="385">
        <v>257.35797675270288</v>
      </c>
      <c r="J26" s="634">
        <v>43552.958431849809</v>
      </c>
      <c r="K26" s="644">
        <v>20551.409431749071</v>
      </c>
      <c r="L26" s="385">
        <v>2266.8576800985938</v>
      </c>
      <c r="M26" s="385">
        <v>18603.691866007353</v>
      </c>
      <c r="N26" s="385">
        <v>691.59567959991637</v>
      </c>
      <c r="O26" s="385">
        <v>1086.5539501301723</v>
      </c>
      <c r="P26" s="385">
        <v>24.969129230779743</v>
      </c>
      <c r="Q26" s="386">
        <v>327.78153052609355</v>
      </c>
      <c r="R26" s="352"/>
      <c r="S26" s="352"/>
    </row>
    <row r="27" spans="1:21" s="996" customFormat="1" ht="15" customHeight="1">
      <c r="A27" s="849"/>
      <c r="B27" s="850" t="s">
        <v>237</v>
      </c>
      <c r="C27" s="385">
        <v>19676.261761436246</v>
      </c>
      <c r="D27" s="385">
        <v>2391.2363321001535</v>
      </c>
      <c r="E27" s="385">
        <v>20127.640526423031</v>
      </c>
      <c r="F27" s="385">
        <v>472.92361293983265</v>
      </c>
      <c r="G27" s="385">
        <v>1129.8011555914672</v>
      </c>
      <c r="H27" s="385">
        <v>62.07240699010238</v>
      </c>
      <c r="I27" s="385">
        <v>200.84286978560502</v>
      </c>
      <c r="J27" s="634">
        <v>44060.708665266437</v>
      </c>
      <c r="K27" s="644">
        <v>19924.808753679004</v>
      </c>
      <c r="L27" s="385">
        <v>2428.4446050994684</v>
      </c>
      <c r="M27" s="385">
        <v>19429.037186917063</v>
      </c>
      <c r="N27" s="385">
        <v>467.13560303210988</v>
      </c>
      <c r="O27" s="385">
        <v>1482.1207044115488</v>
      </c>
      <c r="P27" s="385">
        <v>31.505442930239429</v>
      </c>
      <c r="Q27" s="386">
        <v>297.84218364187183</v>
      </c>
      <c r="R27" s="352"/>
      <c r="S27" s="352"/>
    </row>
    <row r="28" spans="1:21" s="996" customFormat="1" ht="15" customHeight="1">
      <c r="A28" s="849"/>
      <c r="B28" s="850" t="s">
        <v>238</v>
      </c>
      <c r="C28" s="385">
        <f t="shared" ref="C28:Q28" si="1">C36</f>
        <v>20432.944837353854</v>
      </c>
      <c r="D28" s="385">
        <f t="shared" si="1"/>
        <v>1592.7662800456319</v>
      </c>
      <c r="E28" s="385">
        <f t="shared" si="1"/>
        <v>20905.365173935614</v>
      </c>
      <c r="F28" s="385">
        <f t="shared" si="1"/>
        <v>541.83258292798087</v>
      </c>
      <c r="G28" s="385">
        <f t="shared" si="1"/>
        <v>1211.8625476648053</v>
      </c>
      <c r="H28" s="385">
        <f t="shared" si="1"/>
        <v>117.53629425706279</v>
      </c>
      <c r="I28" s="385">
        <f t="shared" si="1"/>
        <v>198.80989149797864</v>
      </c>
      <c r="J28" s="634">
        <f t="shared" si="1"/>
        <v>45001.117607682929</v>
      </c>
      <c r="K28" s="644">
        <f t="shared" si="1"/>
        <v>20171.529661389217</v>
      </c>
      <c r="L28" s="385">
        <f t="shared" si="1"/>
        <v>2255.3651362869873</v>
      </c>
      <c r="M28" s="385">
        <f t="shared" si="1"/>
        <v>19801.781514685128</v>
      </c>
      <c r="N28" s="385">
        <f t="shared" si="1"/>
        <v>680.43962192958588</v>
      </c>
      <c r="O28" s="385">
        <f t="shared" si="1"/>
        <v>1825.1890386284358</v>
      </c>
      <c r="P28" s="385">
        <f t="shared" si="1"/>
        <v>42.370335928436397</v>
      </c>
      <c r="Q28" s="386">
        <f t="shared" si="1"/>
        <v>224.43661862282963</v>
      </c>
      <c r="R28" s="352"/>
      <c r="S28" s="352"/>
    </row>
    <row r="29" spans="1:21" s="996" customFormat="1" ht="21" customHeight="1">
      <c r="A29" s="849">
        <v>2026</v>
      </c>
      <c r="B29" s="850" t="s">
        <v>239</v>
      </c>
      <c r="C29" s="385">
        <f t="shared" ref="C29:Q29" si="2">C39</f>
        <v>21634.759029028071</v>
      </c>
      <c r="D29" s="385">
        <f t="shared" si="2"/>
        <v>1801.6694337097713</v>
      </c>
      <c r="E29" s="385">
        <f t="shared" si="2"/>
        <v>21290.077163081245</v>
      </c>
      <c r="F29" s="385">
        <f t="shared" si="2"/>
        <v>530.31854389556747</v>
      </c>
      <c r="G29" s="385">
        <f t="shared" si="2"/>
        <v>1271.6191000140557</v>
      </c>
      <c r="H29" s="385">
        <f t="shared" si="2"/>
        <v>79.723135816388208</v>
      </c>
      <c r="I29" s="385">
        <f t="shared" si="2"/>
        <v>229.14228689558868</v>
      </c>
      <c r="J29" s="634">
        <f t="shared" si="2"/>
        <v>46837.268692440688</v>
      </c>
      <c r="K29" s="644">
        <f t="shared" si="2"/>
        <v>21243.358884013149</v>
      </c>
      <c r="L29" s="385">
        <f t="shared" si="2"/>
        <v>2610.4489242194049</v>
      </c>
      <c r="M29" s="385">
        <f t="shared" si="2"/>
        <v>20580.5967051404</v>
      </c>
      <c r="N29" s="385">
        <f t="shared" si="2"/>
        <v>657.66592440984095</v>
      </c>
      <c r="O29" s="385">
        <f t="shared" si="2"/>
        <v>1492.9464011721932</v>
      </c>
      <c r="P29" s="385">
        <f t="shared" si="2"/>
        <v>23.090628293503176</v>
      </c>
      <c r="Q29" s="386">
        <f t="shared" si="2"/>
        <v>229.2140859867317</v>
      </c>
      <c r="R29" s="352"/>
      <c r="S29" s="352"/>
    </row>
    <row r="30" spans="1:21" s="996" customFormat="1" ht="15" customHeight="1">
      <c r="A30" s="991"/>
      <c r="B30" s="992" t="s">
        <v>240</v>
      </c>
      <c r="C30" s="993">
        <f t="shared" ref="C30:Q30" si="3">C42</f>
        <v>21194.890631749797</v>
      </c>
      <c r="D30" s="993">
        <f t="shared" si="3"/>
        <v>2031.799195561221</v>
      </c>
      <c r="E30" s="993">
        <f t="shared" si="3"/>
        <v>21456.63449490023</v>
      </c>
      <c r="F30" s="993">
        <f t="shared" si="3"/>
        <v>455.96598218629748</v>
      </c>
      <c r="G30" s="993">
        <f t="shared" si="3"/>
        <v>1315.5257517447367</v>
      </c>
      <c r="H30" s="993">
        <f t="shared" si="3"/>
        <v>60.455491755930865</v>
      </c>
      <c r="I30" s="993">
        <f t="shared" si="3"/>
        <v>255.7972462037423</v>
      </c>
      <c r="J30" s="995">
        <f t="shared" si="3"/>
        <v>46771.058794101955</v>
      </c>
      <c r="K30" s="1032">
        <f t="shared" si="3"/>
        <v>21127.010371133616</v>
      </c>
      <c r="L30" s="993">
        <f t="shared" si="3"/>
        <v>2708.1108122921473</v>
      </c>
      <c r="M30" s="993">
        <f t="shared" si="3"/>
        <v>20646.568424835794</v>
      </c>
      <c r="N30" s="993">
        <f t="shared" si="3"/>
        <v>406.87045907566244</v>
      </c>
      <c r="O30" s="993">
        <f t="shared" si="3"/>
        <v>1519.3293117225664</v>
      </c>
      <c r="P30" s="993">
        <f t="shared" si="3"/>
        <v>81.120159385442804</v>
      </c>
      <c r="Q30" s="994">
        <f t="shared" si="3"/>
        <v>282.05814431202919</v>
      </c>
      <c r="R30" s="352"/>
      <c r="S30" s="352"/>
    </row>
    <row r="31" spans="1:21" s="597" customFormat="1" ht="21" customHeight="1">
      <c r="A31" s="849">
        <v>2025</v>
      </c>
      <c r="B31" s="850" t="s">
        <v>420</v>
      </c>
      <c r="C31" s="385">
        <v>19990.929086302487</v>
      </c>
      <c r="D31" s="385">
        <v>2413.2413643130858</v>
      </c>
      <c r="E31" s="386">
        <v>19583.945576443439</v>
      </c>
      <c r="F31" s="386">
        <v>473.39799599035416</v>
      </c>
      <c r="G31" s="386">
        <v>1099.8655136424982</v>
      </c>
      <c r="H31" s="386">
        <v>20.332098177668058</v>
      </c>
      <c r="I31" s="385">
        <v>217.97330568501957</v>
      </c>
      <c r="J31" s="634">
        <v>43799.634940554548</v>
      </c>
      <c r="K31" s="644">
        <v>20313.814263107884</v>
      </c>
      <c r="L31" s="385">
        <v>2400.2825431714627</v>
      </c>
      <c r="M31" s="386">
        <v>18931.442285118377</v>
      </c>
      <c r="N31" s="386">
        <v>534.10688141238302</v>
      </c>
      <c r="O31" s="386">
        <v>1300.0363761208146</v>
      </c>
      <c r="P31" s="386">
        <v>28.154762467790125</v>
      </c>
      <c r="Q31" s="386">
        <v>291.75577481720143</v>
      </c>
      <c r="R31" s="352"/>
      <c r="S31" s="352"/>
      <c r="T31" s="180"/>
      <c r="U31" s="180"/>
    </row>
    <row r="32" spans="1:21" s="597" customFormat="1" ht="17.25" customHeight="1">
      <c r="A32" s="849"/>
      <c r="B32" s="850" t="s">
        <v>421</v>
      </c>
      <c r="C32" s="385">
        <v>19924.627828488905</v>
      </c>
      <c r="D32" s="385">
        <v>2427.2030613227271</v>
      </c>
      <c r="E32" s="386">
        <v>19770.735880700464</v>
      </c>
      <c r="F32" s="386">
        <v>508.60723906809443</v>
      </c>
      <c r="G32" s="386">
        <v>1303.9549201712741</v>
      </c>
      <c r="H32" s="386">
        <v>51.85908347765784</v>
      </c>
      <c r="I32" s="385">
        <v>259.95852943707831</v>
      </c>
      <c r="J32" s="634">
        <v>44246.956542666194</v>
      </c>
      <c r="K32" s="644">
        <v>20177.263066490043</v>
      </c>
      <c r="L32" s="385">
        <v>2440.7777192794219</v>
      </c>
      <c r="M32" s="386">
        <v>19343.236958878893</v>
      </c>
      <c r="N32" s="386">
        <v>477.56575491294541</v>
      </c>
      <c r="O32" s="386">
        <v>1454.0430992071474</v>
      </c>
      <c r="P32" s="386">
        <v>29.413327984015297</v>
      </c>
      <c r="Q32" s="386">
        <v>324.67580566243277</v>
      </c>
      <c r="R32" s="352"/>
      <c r="S32" s="352"/>
      <c r="T32" s="180"/>
      <c r="U32" s="180"/>
    </row>
    <row r="33" spans="1:21" s="597" customFormat="1" ht="17.25" customHeight="1">
      <c r="A33" s="849"/>
      <c r="B33" s="850" t="s">
        <v>422</v>
      </c>
      <c r="C33" s="385">
        <v>19676.261761436246</v>
      </c>
      <c r="D33" s="385">
        <v>2391.2363321001535</v>
      </c>
      <c r="E33" s="386">
        <v>20127.640526423031</v>
      </c>
      <c r="F33" s="386">
        <v>472.92361293983265</v>
      </c>
      <c r="G33" s="386">
        <v>1129.8011555914672</v>
      </c>
      <c r="H33" s="386">
        <v>62.07240699010238</v>
      </c>
      <c r="I33" s="385">
        <v>200.84286978560502</v>
      </c>
      <c r="J33" s="634">
        <v>44060.708665266437</v>
      </c>
      <c r="K33" s="644">
        <v>19924.808753679004</v>
      </c>
      <c r="L33" s="385">
        <v>2428.4446050994684</v>
      </c>
      <c r="M33" s="386">
        <v>19429.037186917063</v>
      </c>
      <c r="N33" s="386">
        <v>467.13560303210988</v>
      </c>
      <c r="O33" s="386">
        <v>1482.1207044115488</v>
      </c>
      <c r="P33" s="386">
        <v>31.505442930239429</v>
      </c>
      <c r="Q33" s="386">
        <v>297.84218364187183</v>
      </c>
      <c r="R33" s="352"/>
      <c r="S33" s="352"/>
      <c r="T33" s="180"/>
      <c r="U33" s="180"/>
    </row>
    <row r="34" spans="1:21" s="597" customFormat="1" ht="17.25" customHeight="1">
      <c r="A34" s="849"/>
      <c r="B34" s="850" t="s">
        <v>411</v>
      </c>
      <c r="C34" s="385">
        <v>20102.623677525062</v>
      </c>
      <c r="D34" s="385">
        <v>1631.2132229923673</v>
      </c>
      <c r="E34" s="386">
        <v>20494.385256727201</v>
      </c>
      <c r="F34" s="386">
        <v>483.61273715605336</v>
      </c>
      <c r="G34" s="386">
        <v>1168.2788164102337</v>
      </c>
      <c r="H34" s="386">
        <v>101.460789396748</v>
      </c>
      <c r="I34" s="385">
        <v>206.79985939075866</v>
      </c>
      <c r="J34" s="634">
        <v>44188.354359598423</v>
      </c>
      <c r="K34" s="644">
        <v>19893.559943808468</v>
      </c>
      <c r="L34" s="385">
        <v>2223.1356563767777</v>
      </c>
      <c r="M34" s="386">
        <v>19720.979573005177</v>
      </c>
      <c r="N34" s="386">
        <v>571.78508533051377</v>
      </c>
      <c r="O34" s="386">
        <v>1472.9888905255302</v>
      </c>
      <c r="P34" s="386">
        <v>21.546014943055528</v>
      </c>
      <c r="Q34" s="386">
        <v>284.44478498412496</v>
      </c>
      <c r="R34" s="352"/>
      <c r="S34" s="352"/>
      <c r="T34" s="180"/>
      <c r="U34" s="180"/>
    </row>
    <row r="35" spans="1:21" s="597" customFormat="1" ht="17.25" customHeight="1">
      <c r="A35" s="849"/>
      <c r="B35" s="850" t="s">
        <v>412</v>
      </c>
      <c r="C35" s="385">
        <v>20266.908969556436</v>
      </c>
      <c r="D35" s="385">
        <v>1606.3763715639755</v>
      </c>
      <c r="E35" s="386">
        <v>20619.887646564537</v>
      </c>
      <c r="F35" s="386">
        <v>518.18884536106975</v>
      </c>
      <c r="G35" s="386">
        <v>1190.7367201222191</v>
      </c>
      <c r="H35" s="386">
        <v>92.717319329343923</v>
      </c>
      <c r="I35" s="385">
        <v>233.03671772834284</v>
      </c>
      <c r="J35" s="634">
        <v>44527.842590225933</v>
      </c>
      <c r="K35" s="644">
        <v>20038.209058582856</v>
      </c>
      <c r="L35" s="385">
        <v>2210.1729351914446</v>
      </c>
      <c r="M35" s="386">
        <v>19684.017195291071</v>
      </c>
      <c r="N35" s="386">
        <v>593.42981635010153</v>
      </c>
      <c r="O35" s="386">
        <v>1701.2507760713488</v>
      </c>
      <c r="P35" s="386">
        <v>33.975661397975266</v>
      </c>
      <c r="Q35" s="386">
        <v>266.71667398985403</v>
      </c>
      <c r="R35" s="352"/>
      <c r="S35" s="352"/>
      <c r="T35" s="180"/>
      <c r="U35" s="180"/>
    </row>
    <row r="36" spans="1:21" s="597" customFormat="1" ht="17.25" customHeight="1">
      <c r="A36" s="849"/>
      <c r="B36" s="850" t="s">
        <v>413</v>
      </c>
      <c r="C36" s="385">
        <v>20432.944837353854</v>
      </c>
      <c r="D36" s="385">
        <v>1592.7662800456319</v>
      </c>
      <c r="E36" s="386">
        <v>20905.365173935614</v>
      </c>
      <c r="F36" s="386">
        <v>541.83258292798087</v>
      </c>
      <c r="G36" s="386">
        <v>1211.8625476648053</v>
      </c>
      <c r="H36" s="386">
        <v>117.53629425706279</v>
      </c>
      <c r="I36" s="385">
        <v>198.80989149797864</v>
      </c>
      <c r="J36" s="634">
        <v>45001.117607682929</v>
      </c>
      <c r="K36" s="644">
        <v>20171.529661389217</v>
      </c>
      <c r="L36" s="385">
        <v>2255.3651362869873</v>
      </c>
      <c r="M36" s="386">
        <v>19801.781514685128</v>
      </c>
      <c r="N36" s="386">
        <v>680.43962192958588</v>
      </c>
      <c r="O36" s="386">
        <v>1825.1890386284358</v>
      </c>
      <c r="P36" s="386">
        <v>42.370335928436397</v>
      </c>
      <c r="Q36" s="386">
        <v>224.43661862282963</v>
      </c>
      <c r="R36" s="352"/>
      <c r="S36" s="352"/>
      <c r="T36" s="180"/>
      <c r="U36" s="180"/>
    </row>
    <row r="37" spans="1:21" s="597" customFormat="1" ht="21" customHeight="1">
      <c r="A37" s="849">
        <v>2026</v>
      </c>
      <c r="B37" s="850" t="s">
        <v>414</v>
      </c>
      <c r="C37" s="385">
        <v>20646.741840773004</v>
      </c>
      <c r="D37" s="385">
        <v>1617.479574572224</v>
      </c>
      <c r="E37" s="386">
        <v>20855.466173521847</v>
      </c>
      <c r="F37" s="386">
        <v>549.85056992539046</v>
      </c>
      <c r="G37" s="386">
        <v>1292.4244649172376</v>
      </c>
      <c r="H37" s="386">
        <v>62.051319124907721</v>
      </c>
      <c r="I37" s="385">
        <v>247.23637298080601</v>
      </c>
      <c r="J37" s="634">
        <v>45271.250315815414</v>
      </c>
      <c r="K37" s="644">
        <v>20377.467692727772</v>
      </c>
      <c r="L37" s="385">
        <v>2361.7925784758982</v>
      </c>
      <c r="M37" s="386">
        <v>19811.431815189688</v>
      </c>
      <c r="N37" s="386">
        <v>701.44499616407995</v>
      </c>
      <c r="O37" s="386">
        <v>1725.8825251162168</v>
      </c>
      <c r="P37" s="386">
        <v>35.005933589135161</v>
      </c>
      <c r="Q37" s="386">
        <v>258.31171031550139</v>
      </c>
      <c r="R37" s="352"/>
      <c r="S37" s="352"/>
      <c r="T37" s="180"/>
      <c r="U37" s="180"/>
    </row>
    <row r="38" spans="1:21" s="597" customFormat="1" ht="17.25" customHeight="1">
      <c r="A38" s="849"/>
      <c r="B38" s="850" t="s">
        <v>415</v>
      </c>
      <c r="C38" s="385">
        <v>20824.377673948005</v>
      </c>
      <c r="D38" s="385">
        <v>1755.6399664189523</v>
      </c>
      <c r="E38" s="386">
        <v>21236.75655071756</v>
      </c>
      <c r="F38" s="386">
        <v>509.2138046507593</v>
      </c>
      <c r="G38" s="386">
        <v>1325.6858230153885</v>
      </c>
      <c r="H38" s="386">
        <v>92.005062208950392</v>
      </c>
      <c r="I38" s="385">
        <v>266.7877820908077</v>
      </c>
      <c r="J38" s="634">
        <v>46010.45666305042</v>
      </c>
      <c r="K38" s="644">
        <v>20406.58482921631</v>
      </c>
      <c r="L38" s="385">
        <v>2500.7354246961304</v>
      </c>
      <c r="M38" s="386">
        <v>20323.806028297418</v>
      </c>
      <c r="N38" s="386">
        <v>567.5571324903807</v>
      </c>
      <c r="O38" s="386">
        <v>1901.576050988383</v>
      </c>
      <c r="P38" s="386">
        <v>27.638895165081824</v>
      </c>
      <c r="Q38" s="386">
        <v>282.5993530874868</v>
      </c>
      <c r="R38" s="352"/>
      <c r="S38" s="352"/>
      <c r="T38" s="180"/>
      <c r="U38" s="180"/>
    </row>
    <row r="39" spans="1:21" s="597" customFormat="1" ht="17.25" customHeight="1">
      <c r="A39" s="849"/>
      <c r="B39" s="850" t="s">
        <v>416</v>
      </c>
      <c r="C39" s="385">
        <v>21634.759029028071</v>
      </c>
      <c r="D39" s="385">
        <v>1801.6694337097713</v>
      </c>
      <c r="E39" s="386">
        <v>21290.077163081245</v>
      </c>
      <c r="F39" s="386">
        <v>530.31854389556747</v>
      </c>
      <c r="G39" s="386">
        <v>1271.6191000140557</v>
      </c>
      <c r="H39" s="386">
        <v>79.723135816388208</v>
      </c>
      <c r="I39" s="385">
        <v>229.14228689558868</v>
      </c>
      <c r="J39" s="634">
        <v>46837.268692440688</v>
      </c>
      <c r="K39" s="644">
        <v>21243.358884013149</v>
      </c>
      <c r="L39" s="385">
        <v>2610.4489242194049</v>
      </c>
      <c r="M39" s="386">
        <v>20580.5967051404</v>
      </c>
      <c r="N39" s="386">
        <v>657.66592440984095</v>
      </c>
      <c r="O39" s="386">
        <v>1492.9464011721932</v>
      </c>
      <c r="P39" s="386">
        <v>23.090628293503176</v>
      </c>
      <c r="Q39" s="386">
        <v>229.2140859867317</v>
      </c>
      <c r="R39" s="352"/>
      <c r="S39" s="352"/>
      <c r="T39" s="180"/>
      <c r="U39" s="180"/>
    </row>
    <row r="40" spans="1:21" s="597" customFormat="1" ht="17.25" customHeight="1">
      <c r="A40" s="849"/>
      <c r="B40" s="850" t="s">
        <v>417</v>
      </c>
      <c r="C40" s="385">
        <v>21188.054898253195</v>
      </c>
      <c r="D40" s="385">
        <v>1792.7460907177963</v>
      </c>
      <c r="E40" s="386">
        <v>22046.26946437166</v>
      </c>
      <c r="F40" s="386">
        <v>499.27442279197606</v>
      </c>
      <c r="G40" s="386">
        <v>1268.2478778963293</v>
      </c>
      <c r="H40" s="386">
        <v>96.103169083114764</v>
      </c>
      <c r="I40" s="385">
        <v>246.15420733148403</v>
      </c>
      <c r="J40" s="634">
        <v>47136.940130445553</v>
      </c>
      <c r="K40" s="644">
        <v>21302.841760413306</v>
      </c>
      <c r="L40" s="385">
        <v>2564.6376298772352</v>
      </c>
      <c r="M40" s="386">
        <v>20957.900872812614</v>
      </c>
      <c r="N40" s="386">
        <v>589.20369428614288</v>
      </c>
      <c r="O40" s="386">
        <v>1401.1127110825992</v>
      </c>
      <c r="P40" s="386">
        <v>53.802406559576738</v>
      </c>
      <c r="Q40" s="386">
        <v>267.45861446450976</v>
      </c>
      <c r="R40" s="352"/>
      <c r="S40" s="352"/>
      <c r="T40" s="180"/>
      <c r="U40" s="180"/>
    </row>
    <row r="41" spans="1:21" s="597" customFormat="1" ht="17.25" customHeight="1">
      <c r="A41" s="849"/>
      <c r="B41" s="850" t="s">
        <v>418</v>
      </c>
      <c r="C41" s="385">
        <v>21241.788852795875</v>
      </c>
      <c r="D41" s="385">
        <v>1791.9991696462357</v>
      </c>
      <c r="E41" s="386">
        <v>21719.267682167927</v>
      </c>
      <c r="F41" s="386">
        <v>573.05596599385285</v>
      </c>
      <c r="G41" s="386">
        <v>1406.1152672768317</v>
      </c>
      <c r="H41" s="386">
        <v>60.224262851007623</v>
      </c>
      <c r="I41" s="385">
        <v>254.39646656680412</v>
      </c>
      <c r="J41" s="634">
        <v>47046.857667298544</v>
      </c>
      <c r="K41" s="644">
        <v>21199.168333778434</v>
      </c>
      <c r="L41" s="385">
        <v>2645.3727822718429</v>
      </c>
      <c r="M41" s="386">
        <v>21121.737793217762</v>
      </c>
      <c r="N41" s="386">
        <v>444.10738323707102</v>
      </c>
      <c r="O41" s="386">
        <v>1311.9356288468841</v>
      </c>
      <c r="P41" s="386">
        <v>56.867303193711599</v>
      </c>
      <c r="Q41" s="386">
        <v>267.67355600618146</v>
      </c>
      <c r="R41" s="352"/>
      <c r="S41" s="352"/>
      <c r="T41" s="180"/>
      <c r="U41" s="180"/>
    </row>
    <row r="42" spans="1:21" s="597" customFormat="1" ht="17.25" customHeight="1">
      <c r="A42" s="849"/>
      <c r="B42" s="850" t="s">
        <v>419</v>
      </c>
      <c r="C42" s="385">
        <v>21194.890631749797</v>
      </c>
      <c r="D42" s="385">
        <v>2031.799195561221</v>
      </c>
      <c r="E42" s="386">
        <v>21456.63449490023</v>
      </c>
      <c r="F42" s="386">
        <v>455.96598218629748</v>
      </c>
      <c r="G42" s="386">
        <v>1315.5257517447367</v>
      </c>
      <c r="H42" s="386">
        <v>60.455491755930865</v>
      </c>
      <c r="I42" s="385">
        <v>255.7972462037423</v>
      </c>
      <c r="J42" s="634">
        <v>46771.058794101955</v>
      </c>
      <c r="K42" s="644">
        <v>21127.010371133616</v>
      </c>
      <c r="L42" s="385">
        <v>2708.1108122921473</v>
      </c>
      <c r="M42" s="386">
        <v>20646.568424835794</v>
      </c>
      <c r="N42" s="386">
        <v>406.87045907566244</v>
      </c>
      <c r="O42" s="386">
        <v>1519.3293117225664</v>
      </c>
      <c r="P42" s="386">
        <v>81.120159385442804</v>
      </c>
      <c r="Q42" s="386">
        <v>282.05814431202919</v>
      </c>
      <c r="R42" s="352"/>
      <c r="S42" s="352"/>
      <c r="T42" s="180"/>
      <c r="U42" s="180"/>
    </row>
    <row r="43" spans="1:21" s="597" customFormat="1" ht="17.25" customHeight="1">
      <c r="A43" s="849"/>
      <c r="B43" s="850" t="s">
        <v>420</v>
      </c>
      <c r="C43" s="385">
        <v>21075.357621190095</v>
      </c>
      <c r="D43" s="385">
        <v>1947.4847519922464</v>
      </c>
      <c r="E43" s="386">
        <v>22146.413638308346</v>
      </c>
      <c r="F43" s="386">
        <v>359.0228347511453</v>
      </c>
      <c r="G43" s="386">
        <v>1290.5097931938308</v>
      </c>
      <c r="H43" s="386">
        <v>70.132665273891007</v>
      </c>
      <c r="I43" s="385">
        <v>229.9795946983341</v>
      </c>
      <c r="J43" s="634">
        <v>47118.850899407887</v>
      </c>
      <c r="K43" s="644">
        <v>21011.768678223933</v>
      </c>
      <c r="L43" s="385">
        <v>2678.2223557897341</v>
      </c>
      <c r="M43" s="386">
        <v>21125.135556906978</v>
      </c>
      <c r="N43" s="386">
        <v>415.97237920366871</v>
      </c>
      <c r="O43" s="386">
        <v>1562.4180494288282</v>
      </c>
      <c r="P43" s="386">
        <v>74.844110629293198</v>
      </c>
      <c r="Q43" s="386">
        <v>250.64335267356245</v>
      </c>
      <c r="R43" s="352"/>
      <c r="S43" s="352"/>
      <c r="T43" s="180"/>
      <c r="U43" s="180"/>
    </row>
    <row r="44" spans="1:21" ht="20.25" customHeight="1">
      <c r="A44" s="253" t="s">
        <v>930</v>
      </c>
      <c r="B44" s="1713"/>
      <c r="C44" s="1713"/>
      <c r="D44" s="1713"/>
      <c r="E44" s="1713"/>
      <c r="F44" s="1713"/>
      <c r="G44" s="1713"/>
      <c r="H44" s="1713"/>
      <c r="I44" s="1713"/>
      <c r="J44" s="1713"/>
      <c r="K44" s="1713"/>
      <c r="L44" s="1713"/>
      <c r="M44" s="1713"/>
      <c r="N44" s="1713"/>
      <c r="O44" s="1713"/>
      <c r="P44" s="1713"/>
      <c r="Q44" s="252" t="s">
        <v>931</v>
      </c>
    </row>
    <row r="45" spans="1:21" ht="13.8">
      <c r="A45" s="306"/>
      <c r="C45" s="1740"/>
      <c r="D45" s="1740"/>
      <c r="E45" s="1740"/>
      <c r="F45" s="1740"/>
      <c r="G45" s="1740"/>
      <c r="H45" s="1740"/>
      <c r="I45" s="1740"/>
      <c r="J45" s="1740"/>
      <c r="K45" s="1740"/>
      <c r="L45" s="1740"/>
      <c r="M45" s="1740"/>
      <c r="N45" s="1740"/>
      <c r="O45" s="1740"/>
      <c r="P45" s="1740"/>
      <c r="Q45" s="635"/>
    </row>
    <row r="46" spans="1:21" s="180" customFormat="1" ht="15">
      <c r="A46" s="276" t="s">
        <v>959</v>
      </c>
      <c r="B46" s="276"/>
      <c r="C46" s="276"/>
      <c r="D46" s="276"/>
      <c r="E46" s="276"/>
      <c r="F46" s="276"/>
      <c r="G46" s="276"/>
      <c r="H46" s="276"/>
      <c r="I46" s="276"/>
      <c r="J46" s="276"/>
      <c r="K46" s="276"/>
      <c r="L46" s="276"/>
      <c r="M46" s="276"/>
      <c r="N46" s="276"/>
      <c r="O46" s="276"/>
      <c r="P46" s="276"/>
      <c r="Q46" s="276"/>
    </row>
    <row r="47" spans="1:21">
      <c r="C47" s="1822"/>
      <c r="D47" s="1822"/>
      <c r="E47" s="1822"/>
      <c r="F47" s="1822"/>
      <c r="G47" s="1822"/>
      <c r="H47" s="1822"/>
      <c r="I47" s="1822"/>
      <c r="J47" s="1822"/>
      <c r="K47" s="1822"/>
      <c r="L47" s="1822"/>
      <c r="M47" s="1822"/>
      <c r="N47" s="1822"/>
      <c r="O47" s="1822"/>
      <c r="P47" s="1822"/>
      <c r="Q47" s="1822"/>
    </row>
    <row r="48" spans="1:21">
      <c r="C48" s="1822"/>
      <c r="D48" s="1822"/>
      <c r="E48" s="1822"/>
      <c r="F48" s="1822"/>
      <c r="G48" s="1822"/>
      <c r="H48" s="1822"/>
      <c r="I48" s="1822"/>
      <c r="J48" s="1822"/>
      <c r="K48" s="1822"/>
      <c r="L48" s="1822"/>
      <c r="M48" s="1822"/>
      <c r="N48" s="1822"/>
      <c r="O48" s="1822"/>
      <c r="P48" s="1822"/>
      <c r="Q48" s="1822"/>
    </row>
  </sheetData>
  <phoneticPr fontId="32" type="noConversion"/>
  <printOptions horizontalCentered="1" verticalCentered="1"/>
  <pageMargins left="0" right="0" top="0" bottom="0" header="0.5" footer="0.5"/>
  <pageSetup paperSize="9" scale="6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pageSetUpPr fitToPage="1"/>
  </sheetPr>
  <dimension ref="A1:M63"/>
  <sheetViews>
    <sheetView zoomScale="80" zoomScaleNormal="80" workbookViewId="0">
      <pane ySplit="12" topLeftCell="A40" activePane="bottomLeft" state="frozen"/>
      <selection activeCell="B2" sqref="B2"/>
      <selection pane="bottomLeft" activeCell="B2" sqref="B2"/>
    </sheetView>
  </sheetViews>
  <sheetFormatPr defaultColWidth="7.77734375" defaultRowHeight="15"/>
  <cols>
    <col min="1" max="1" width="9.21875" style="1402" customWidth="1"/>
    <col min="2" max="2" width="9" style="1402" customWidth="1"/>
    <col min="3" max="3" width="17.77734375" style="180" customWidth="1"/>
    <col min="4" max="4" width="20.77734375" style="180" customWidth="1"/>
    <col min="5" max="5" width="17.77734375" style="180" customWidth="1"/>
    <col min="6" max="6" width="16.77734375" style="180" customWidth="1"/>
    <col min="7" max="7" width="17.77734375" style="180" customWidth="1"/>
    <col min="8" max="8" width="18.21875" style="180" customWidth="1"/>
    <col min="9" max="9" width="17" style="180" customWidth="1"/>
    <col min="10" max="10" width="18.21875" style="180" customWidth="1"/>
    <col min="11" max="11" width="21.77734375" style="180" customWidth="1"/>
    <col min="12" max="12" width="0" style="180" hidden="1" customWidth="1"/>
    <col min="13" max="16384" width="7.77734375" style="180"/>
  </cols>
  <sheetData>
    <row r="1" spans="1:12" ht="17.399999999999999">
      <c r="A1" s="277" t="s">
        <v>960</v>
      </c>
      <c r="B1" s="275"/>
      <c r="C1" s="276"/>
      <c r="D1" s="276"/>
      <c r="E1" s="276"/>
      <c r="F1" s="276"/>
      <c r="G1" s="276"/>
      <c r="H1" s="276"/>
      <c r="I1" s="276"/>
      <c r="J1" s="276"/>
      <c r="K1" s="276"/>
    </row>
    <row r="2" spans="1:12" ht="17.399999999999999">
      <c r="A2" s="1660" t="s">
        <v>766</v>
      </c>
      <c r="B2" s="275"/>
      <c r="C2" s="276"/>
      <c r="D2" s="276"/>
      <c r="E2" s="276"/>
      <c r="F2" s="276"/>
      <c r="G2" s="276"/>
      <c r="H2" s="276"/>
      <c r="I2" s="276"/>
      <c r="J2" s="276"/>
      <c r="K2" s="276"/>
    </row>
    <row r="3" spans="1:12" ht="17.399999999999999">
      <c r="A3" s="277" t="s">
        <v>767</v>
      </c>
      <c r="B3" s="275"/>
      <c r="C3" s="276"/>
      <c r="D3" s="276"/>
      <c r="E3" s="276"/>
      <c r="F3" s="276"/>
      <c r="G3" s="276"/>
      <c r="H3" s="276"/>
      <c r="I3" s="276"/>
      <c r="J3" s="276"/>
      <c r="K3" s="276"/>
    </row>
    <row r="4" spans="1:12" ht="17.399999999999999">
      <c r="A4" s="1660" t="s">
        <v>55</v>
      </c>
      <c r="B4" s="276"/>
      <c r="C4" s="276"/>
      <c r="D4" s="276"/>
      <c r="E4" s="276"/>
      <c r="F4" s="276"/>
      <c r="G4" s="276"/>
      <c r="H4" s="276"/>
      <c r="I4" s="276"/>
      <c r="J4" s="276"/>
      <c r="K4" s="276"/>
    </row>
    <row r="5" spans="1:12" ht="18" customHeight="1">
      <c r="A5" s="277" t="s">
        <v>54</v>
      </c>
      <c r="B5" s="276"/>
      <c r="C5" s="276"/>
      <c r="D5" s="276"/>
      <c r="E5" s="276"/>
      <c r="F5" s="276"/>
      <c r="G5" s="276"/>
      <c r="H5" s="276"/>
      <c r="I5" s="276"/>
      <c r="J5" s="276"/>
      <c r="K5" s="276"/>
    </row>
    <row r="6" spans="1:12" ht="1.5" hidden="1" customHeight="1">
      <c r="A6" s="277"/>
      <c r="B6" s="275"/>
      <c r="C6" s="276"/>
      <c r="D6" s="276" t="s">
        <v>768</v>
      </c>
      <c r="E6" s="276"/>
      <c r="F6" s="276"/>
      <c r="G6" s="276"/>
      <c r="H6" s="276"/>
      <c r="I6" s="276"/>
      <c r="J6" s="276"/>
      <c r="K6" s="276"/>
    </row>
    <row r="7" spans="1:12" ht="8.5500000000000007" hidden="1" customHeight="1">
      <c r="A7" s="277"/>
      <c r="B7" s="275"/>
      <c r="C7" s="276"/>
      <c r="D7" s="276"/>
      <c r="E7" s="276"/>
      <c r="F7" s="276"/>
      <c r="G7" s="276"/>
      <c r="H7" s="276"/>
      <c r="I7" s="276"/>
      <c r="J7" s="276"/>
      <c r="K7" s="276"/>
    </row>
    <row r="8" spans="1:12" ht="1.5" hidden="1" customHeight="1">
      <c r="A8" s="277"/>
      <c r="B8" s="275"/>
      <c r="C8" s="276"/>
      <c r="D8" s="276"/>
      <c r="E8" s="276"/>
      <c r="F8" s="276"/>
      <c r="G8" s="276"/>
      <c r="H8" s="276"/>
      <c r="I8" s="276"/>
      <c r="J8" s="276"/>
      <c r="K8" s="276"/>
    </row>
    <row r="9" spans="1:12" ht="0.6" customHeight="1">
      <c r="A9" s="277"/>
      <c r="B9" s="275"/>
      <c r="C9" s="276"/>
      <c r="D9" s="276"/>
      <c r="E9" s="276"/>
      <c r="F9" s="276"/>
      <c r="G9" s="276"/>
      <c r="H9" s="276"/>
      <c r="I9" s="276"/>
      <c r="J9" s="276"/>
      <c r="K9" s="276"/>
    </row>
    <row r="10" spans="1:12">
      <c r="A10" s="1250" t="s">
        <v>961</v>
      </c>
      <c r="B10" s="1250"/>
      <c r="C10" s="278"/>
      <c r="D10" s="278"/>
      <c r="E10" s="278"/>
      <c r="F10" s="278"/>
      <c r="G10" s="278"/>
      <c r="H10" s="278"/>
      <c r="I10" s="278"/>
      <c r="J10" s="278"/>
      <c r="K10" s="246" t="s">
        <v>962</v>
      </c>
    </row>
    <row r="11" spans="1:12" s="285" customFormat="1" ht="53.55" customHeight="1">
      <c r="A11" s="286" t="s">
        <v>379</v>
      </c>
      <c r="B11" s="287"/>
      <c r="C11" s="288" t="s">
        <v>963</v>
      </c>
      <c r="D11" s="288" t="s">
        <v>964</v>
      </c>
      <c r="E11" s="288" t="s">
        <v>965</v>
      </c>
      <c r="F11" s="853" t="s">
        <v>966</v>
      </c>
      <c r="G11" s="853" t="s">
        <v>967</v>
      </c>
      <c r="H11" s="853" t="s">
        <v>968</v>
      </c>
      <c r="I11" s="288" t="s">
        <v>969</v>
      </c>
      <c r="J11" s="853" t="s">
        <v>970</v>
      </c>
      <c r="K11" s="853" t="s">
        <v>971</v>
      </c>
    </row>
    <row r="12" spans="1:12" s="161" customFormat="1" ht="53.55" customHeight="1">
      <c r="A12" s="178" t="s">
        <v>387</v>
      </c>
      <c r="B12" s="167"/>
      <c r="C12" s="168" t="s">
        <v>972</v>
      </c>
      <c r="D12" s="168" t="s">
        <v>973</v>
      </c>
      <c r="E12" s="168" t="s">
        <v>974</v>
      </c>
      <c r="F12" s="169" t="s">
        <v>975</v>
      </c>
      <c r="G12" s="169" t="s">
        <v>976</v>
      </c>
      <c r="H12" s="168" t="s">
        <v>977</v>
      </c>
      <c r="I12" s="169" t="s">
        <v>978</v>
      </c>
      <c r="J12" s="169" t="s">
        <v>979</v>
      </c>
      <c r="K12" s="169" t="s">
        <v>980</v>
      </c>
    </row>
    <row r="13" spans="1:12" s="306" customFormat="1" ht="20.25" customHeight="1">
      <c r="A13" s="1815">
        <v>2016</v>
      </c>
      <c r="B13" s="722"/>
      <c r="C13" s="1816">
        <v>25.83081099929084</v>
      </c>
      <c r="D13" s="1816">
        <v>24.890837291875794</v>
      </c>
      <c r="E13" s="1816">
        <v>48.664323547122407</v>
      </c>
      <c r="F13" s="1816">
        <v>44.418336607058009</v>
      </c>
      <c r="G13" s="1816">
        <v>46.303040931277344</v>
      </c>
      <c r="H13" s="1816">
        <v>53.079564486863717</v>
      </c>
      <c r="I13" s="1816">
        <v>54.945917151097461</v>
      </c>
      <c r="J13" s="1816">
        <f>SUM('19'!E13:J13)/'19'!Q13%</f>
        <v>56.724817184116709</v>
      </c>
      <c r="K13" s="1816">
        <f>SUM('19'!E13:F13)/'19'!Q13%</f>
        <v>16.355441312510802</v>
      </c>
    </row>
    <row r="14" spans="1:12" s="408" customFormat="1" ht="14.25" customHeight="1">
      <c r="A14" s="356">
        <v>2017</v>
      </c>
      <c r="B14" s="407"/>
      <c r="C14" s="1817">
        <v>27.714459608507212</v>
      </c>
      <c r="D14" s="1817">
        <v>26.652959778508897</v>
      </c>
      <c r="E14" s="1818">
        <v>51.221743402580231</v>
      </c>
      <c r="F14" s="1818">
        <v>42.575579779019534</v>
      </c>
      <c r="G14" s="1818">
        <v>45.511107063417427</v>
      </c>
      <c r="H14" s="1818">
        <v>54.106826061510297</v>
      </c>
      <c r="I14" s="1818">
        <v>54.917181607166846</v>
      </c>
      <c r="J14" s="1818">
        <f>SUM('19'!E14:J14)/'19'!Q14%</f>
        <v>57.242297420364288</v>
      </c>
      <c r="K14" s="1818">
        <f>SUM('19'!E14:F14)/'19'!Q14%</f>
        <v>16.255511105080096</v>
      </c>
    </row>
    <row r="15" spans="1:12" s="321" customFormat="1" ht="14.25" customHeight="1">
      <c r="A15" s="747">
        <v>2018</v>
      </c>
      <c r="B15" s="899"/>
      <c r="C15" s="1105">
        <v>29.229392260732599</v>
      </c>
      <c r="D15" s="1105">
        <v>28.42771628914825</v>
      </c>
      <c r="E15" s="1105">
        <v>53.320863242578049</v>
      </c>
      <c r="F15" s="1105">
        <v>41.848683130138589</v>
      </c>
      <c r="G15" s="1105">
        <v>45.247495653375253</v>
      </c>
      <c r="H15" s="1105">
        <v>54.817927698875273</v>
      </c>
      <c r="I15" s="1105">
        <v>51.524442796780598</v>
      </c>
      <c r="J15" s="1105">
        <f>SUM('19'!E15:J15)/'19'!Q15%</f>
        <v>55.699644480338591</v>
      </c>
      <c r="K15" s="1105">
        <f>SUM('19'!E15:F15)/'19'!Q15%</f>
        <v>15.552315903456631</v>
      </c>
      <c r="L15" s="770"/>
    </row>
    <row r="16" spans="1:12" s="321" customFormat="1" ht="14.25" customHeight="1">
      <c r="A16" s="747">
        <v>2019</v>
      </c>
      <c r="B16" s="899"/>
      <c r="C16" s="1105">
        <v>27.527261202876627</v>
      </c>
      <c r="D16" s="1105">
        <v>26.674734929943028</v>
      </c>
      <c r="E16" s="1105">
        <v>54.197952287785419</v>
      </c>
      <c r="F16" s="1105">
        <v>43.605652949504154</v>
      </c>
      <c r="G16" s="1105">
        <v>46.373348297024215</v>
      </c>
      <c r="H16" s="1105">
        <v>50.790223690942724</v>
      </c>
      <c r="I16" s="1105">
        <v>55.166618264562779</v>
      </c>
      <c r="J16" s="1105">
        <f>SUM('19'!E16:J16)/'19'!Q16%</f>
        <v>61.539506147154967</v>
      </c>
      <c r="K16" s="1105">
        <f>SUM('19'!E16:F16)/'19'!Q16%</f>
        <v>15.430452660180679</v>
      </c>
      <c r="L16" s="770"/>
    </row>
    <row r="17" spans="1:13" s="321" customFormat="1" ht="14.25" customHeight="1">
      <c r="A17" s="747">
        <v>2020</v>
      </c>
      <c r="B17" s="899"/>
      <c r="C17" s="1105">
        <v>29.378122748423216</v>
      </c>
      <c r="D17" s="1105">
        <v>28.335437657325564</v>
      </c>
      <c r="E17" s="1105">
        <v>61.5897894354367</v>
      </c>
      <c r="F17" s="1105">
        <v>40.927153092374873</v>
      </c>
      <c r="G17" s="1105">
        <v>44.676691700403978</v>
      </c>
      <c r="H17" s="1105">
        <v>47.699664210119913</v>
      </c>
      <c r="I17" s="1105">
        <v>63.741488751748541</v>
      </c>
      <c r="J17" s="1105">
        <f>SUM('19'!E17:J17)/'19'!Q17%</f>
        <v>69.977366000317971</v>
      </c>
      <c r="K17" s="1105">
        <f>SUM('19'!E17:F17)/'19'!Q17%</f>
        <v>18.2504722861961</v>
      </c>
      <c r="L17" s="770"/>
    </row>
    <row r="18" spans="1:13" s="321" customFormat="1" ht="14.25" customHeight="1">
      <c r="A18" s="747">
        <v>2021</v>
      </c>
      <c r="B18" s="899"/>
      <c r="C18" s="1105">
        <v>29.180559956903668</v>
      </c>
      <c r="D18" s="1105">
        <v>27.964623828649064</v>
      </c>
      <c r="E18" s="1105">
        <v>58.307473080887959</v>
      </c>
      <c r="F18" s="1105">
        <v>40.797910435676641</v>
      </c>
      <c r="G18" s="1105">
        <v>44.795256172967335</v>
      </c>
      <c r="H18" s="1105">
        <v>50.046003393805933</v>
      </c>
      <c r="I18" s="1105">
        <v>59.926762243468872</v>
      </c>
      <c r="J18" s="1105">
        <f>SUM('19'!E18:J18)/'19'!Q18%</f>
        <v>66.705099711184559</v>
      </c>
      <c r="K18" s="1105">
        <f>SUM('19'!E18:F18)/'19'!Q18%</f>
        <v>19.838872730968284</v>
      </c>
      <c r="L18" s="770"/>
    </row>
    <row r="19" spans="1:13" s="321" customFormat="1" ht="14.25" customHeight="1">
      <c r="A19" s="747">
        <v>2022</v>
      </c>
      <c r="B19" s="899"/>
      <c r="C19" s="1105">
        <v>29.539105133520689</v>
      </c>
      <c r="D19" s="1105">
        <v>27.892344776224846</v>
      </c>
      <c r="E19" s="1105">
        <v>59.45128691571044</v>
      </c>
      <c r="F19" s="1105">
        <v>37.558094264688883</v>
      </c>
      <c r="G19" s="1105">
        <v>44.354560333403619</v>
      </c>
      <c r="H19" s="1105">
        <v>49.686233328138037</v>
      </c>
      <c r="I19" s="1105">
        <v>59.756835717692155</v>
      </c>
      <c r="J19" s="1105">
        <f>SUM('19'!E19:J19)/'19'!Q19%</f>
        <v>67.467891819709479</v>
      </c>
      <c r="K19" s="1105">
        <f>SUM('19'!E19:F19)/'19'!Q19%</f>
        <v>16.281955603278895</v>
      </c>
      <c r="L19" s="770"/>
    </row>
    <row r="20" spans="1:13" s="321" customFormat="1" ht="14.25" customHeight="1">
      <c r="A20" s="747">
        <v>2023</v>
      </c>
      <c r="B20" s="899"/>
      <c r="C20" s="1105">
        <v>29.257353825207353</v>
      </c>
      <c r="D20" s="1105">
        <v>26.958960363044746</v>
      </c>
      <c r="E20" s="1105">
        <v>58.299721461128115</v>
      </c>
      <c r="F20" s="1105">
        <v>36.284430075000962</v>
      </c>
      <c r="G20" s="1105">
        <v>43.98780616246912</v>
      </c>
      <c r="H20" s="1105">
        <v>50.184380117004451</v>
      </c>
      <c r="I20" s="1105">
        <v>58.99536881174506</v>
      </c>
      <c r="J20" s="1105">
        <f>SUM('19'!E20:J20)/'19'!Q20%</f>
        <v>66.480378644626583</v>
      </c>
      <c r="K20" s="1105">
        <f>SUM('19'!E20:F20)/'19'!Q20%</f>
        <v>14.259863874941809</v>
      </c>
      <c r="L20" s="770"/>
    </row>
    <row r="21" spans="1:13" s="321" customFormat="1" ht="14.25" customHeight="1">
      <c r="A21" s="747">
        <v>2024</v>
      </c>
      <c r="B21" s="899"/>
      <c r="C21" s="1105">
        <v>29.542244688659853</v>
      </c>
      <c r="D21" s="1105">
        <v>26.760997674010671</v>
      </c>
      <c r="E21" s="1105">
        <v>59.901457663319732</v>
      </c>
      <c r="F21" s="1105">
        <v>35.594979793004747</v>
      </c>
      <c r="G21" s="1105">
        <v>45.721551780163075</v>
      </c>
      <c r="H21" s="1105">
        <v>49.318073117192029</v>
      </c>
      <c r="I21" s="1105">
        <v>60.640290504070997</v>
      </c>
      <c r="J21" s="1105">
        <v>65.005043770072845</v>
      </c>
      <c r="K21" s="1105">
        <v>13.846911755635505</v>
      </c>
      <c r="L21" s="770"/>
    </row>
    <row r="22" spans="1:13" s="321" customFormat="1" ht="14.25" customHeight="1">
      <c r="A22" s="906">
        <v>2025</v>
      </c>
      <c r="B22" s="907"/>
      <c r="C22" s="974">
        <f t="shared" ref="C22:I22" si="0">C28</f>
        <v>28.830411003801551</v>
      </c>
      <c r="D22" s="974">
        <f t="shared" si="0"/>
        <v>25.480147791687898</v>
      </c>
      <c r="E22" s="974">
        <f t="shared" si="0"/>
        <v>59.431132315672023</v>
      </c>
      <c r="F22" s="974">
        <f t="shared" si="0"/>
        <v>35.136746681540806</v>
      </c>
      <c r="G22" s="974">
        <f t="shared" si="0"/>
        <v>48.184238702115799</v>
      </c>
      <c r="H22" s="974">
        <f t="shared" si="0"/>
        <v>48.510620411314214</v>
      </c>
      <c r="I22" s="974">
        <f t="shared" si="0"/>
        <v>59.241907553902607</v>
      </c>
      <c r="J22" s="974">
        <f>SUM('19'!E22:J22)/'19'!Q22%</f>
        <v>63.827654417461751</v>
      </c>
      <c r="K22" s="974">
        <f>SUM('19'!E22:F22)/'19'!Q22%</f>
        <v>13.555340848176474</v>
      </c>
      <c r="L22" s="770"/>
    </row>
    <row r="23" spans="1:13" s="321" customFormat="1" ht="21" customHeight="1">
      <c r="A23" s="747">
        <v>2024</v>
      </c>
      <c r="B23" s="899" t="s">
        <v>237</v>
      </c>
      <c r="C23" s="1105">
        <v>29.289918254313822</v>
      </c>
      <c r="D23" s="1105">
        <v>26.739916836258477</v>
      </c>
      <c r="E23" s="1105">
        <v>57.586009571615975</v>
      </c>
      <c r="F23" s="1105">
        <v>34.374947304350371</v>
      </c>
      <c r="G23" s="1105">
        <v>44.220970274918656</v>
      </c>
      <c r="H23" s="1105">
        <v>50.862906584780553</v>
      </c>
      <c r="I23" s="1105">
        <v>59.003153047288784</v>
      </c>
      <c r="J23" s="1105">
        <f>SUM('19'!E23:J23)/'19'!Q23%</f>
        <v>64.835777066978238</v>
      </c>
      <c r="K23" s="1105">
        <f>SUM('19'!E23:F23)/'19'!Q23%</f>
        <v>13.853912777748437</v>
      </c>
      <c r="L23" s="770"/>
    </row>
    <row r="24" spans="1:13" s="321" customFormat="1" ht="15" customHeight="1">
      <c r="A24" s="747"/>
      <c r="B24" s="899" t="s">
        <v>238</v>
      </c>
      <c r="C24" s="1105">
        <v>29.542244688659853</v>
      </c>
      <c r="D24" s="1105">
        <v>26.760997674010671</v>
      </c>
      <c r="E24" s="1105">
        <v>59.901457663319732</v>
      </c>
      <c r="F24" s="1105">
        <v>35.594979793004747</v>
      </c>
      <c r="G24" s="1105">
        <v>45.721551780163075</v>
      </c>
      <c r="H24" s="1105">
        <v>49.318073117192029</v>
      </c>
      <c r="I24" s="1105">
        <v>60.640290504070997</v>
      </c>
      <c r="J24" s="1105">
        <f>SUM('19'!E24:J24)/'19'!Q24%</f>
        <v>65.005043770072845</v>
      </c>
      <c r="K24" s="1105">
        <f>SUM('19'!E24:F24)/'19'!Q24%</f>
        <v>13.846911755635505</v>
      </c>
      <c r="L24" s="770"/>
    </row>
    <row r="25" spans="1:13" s="321" customFormat="1" ht="21" customHeight="1">
      <c r="A25" s="747">
        <v>2025</v>
      </c>
      <c r="B25" s="899" t="s">
        <v>239</v>
      </c>
      <c r="C25" s="1105">
        <v>29.704000583967233</v>
      </c>
      <c r="D25" s="1105">
        <v>26.950244199414769</v>
      </c>
      <c r="E25" s="1105">
        <v>60.238676560208262</v>
      </c>
      <c r="F25" s="1105">
        <v>34.439612922715035</v>
      </c>
      <c r="G25" s="1105">
        <v>45.213109193803568</v>
      </c>
      <c r="H25" s="1105">
        <v>49.310513245220832</v>
      </c>
      <c r="I25" s="1105">
        <v>59.967176080892585</v>
      </c>
      <c r="J25" s="1105">
        <v>64.352765286706671</v>
      </c>
      <c r="K25" s="1105">
        <v>14.338515443912973</v>
      </c>
      <c r="L25" s="770"/>
    </row>
    <row r="26" spans="1:13" s="321" customFormat="1" ht="15" customHeight="1">
      <c r="A26" s="747"/>
      <c r="B26" s="899" t="s">
        <v>240</v>
      </c>
      <c r="C26" s="1105">
        <v>28.648880667398775</v>
      </c>
      <c r="D26" s="1105">
        <v>26.328130802823122</v>
      </c>
      <c r="E26" s="1105">
        <v>62.918691519830219</v>
      </c>
      <c r="F26" s="1105">
        <v>35.214294241022657</v>
      </c>
      <c r="G26" s="1105">
        <v>47.117345276339883</v>
      </c>
      <c r="H26" s="1105">
        <v>45.533179370663561</v>
      </c>
      <c r="I26" s="1105">
        <v>64.775606999624344</v>
      </c>
      <c r="J26" s="1105">
        <v>68.096676182778324</v>
      </c>
      <c r="K26" s="1105">
        <v>14.498499987139416</v>
      </c>
      <c r="L26" s="770"/>
    </row>
    <row r="27" spans="1:13" s="321" customFormat="1" ht="15" customHeight="1">
      <c r="A27" s="747"/>
      <c r="B27" s="899" t="s">
        <v>237</v>
      </c>
      <c r="C27" s="1105">
        <v>28.930162508545294</v>
      </c>
      <c r="D27" s="1105">
        <v>25.690780395724303</v>
      </c>
      <c r="E27" s="1105">
        <v>61.993846723255913</v>
      </c>
      <c r="F27" s="1105">
        <v>36.221552238762982</v>
      </c>
      <c r="G27" s="1105">
        <v>47.83220791896764</v>
      </c>
      <c r="H27" s="1105">
        <v>46.666183883847694</v>
      </c>
      <c r="I27" s="1105">
        <v>61.853669075875821</v>
      </c>
      <c r="J27" s="1105">
        <v>66.038465113582561</v>
      </c>
      <c r="K27" s="1105">
        <v>13.958249143201142</v>
      </c>
      <c r="L27" s="770"/>
      <c r="M27" s="905"/>
    </row>
    <row r="28" spans="1:13" s="321" customFormat="1" ht="15" customHeight="1">
      <c r="A28" s="747"/>
      <c r="B28" s="899" t="s">
        <v>238</v>
      </c>
      <c r="C28" s="1105">
        <f t="shared" ref="C28:K28" si="1">C36</f>
        <v>28.830411003801551</v>
      </c>
      <c r="D28" s="1105">
        <f t="shared" si="1"/>
        <v>25.480147791687898</v>
      </c>
      <c r="E28" s="1105">
        <f t="shared" si="1"/>
        <v>59.431132315672023</v>
      </c>
      <c r="F28" s="1105">
        <f t="shared" si="1"/>
        <v>35.136746681540806</v>
      </c>
      <c r="G28" s="1105">
        <f t="shared" si="1"/>
        <v>48.184238702115799</v>
      </c>
      <c r="H28" s="1105">
        <f t="shared" si="1"/>
        <v>48.510620411314214</v>
      </c>
      <c r="I28" s="1105">
        <f t="shared" si="1"/>
        <v>59.241907553902607</v>
      </c>
      <c r="J28" s="1105">
        <f t="shared" si="1"/>
        <v>63.827654417461751</v>
      </c>
      <c r="K28" s="1105">
        <f t="shared" si="1"/>
        <v>13.555340848176474</v>
      </c>
      <c r="L28" s="770"/>
      <c r="M28" s="905"/>
    </row>
    <row r="29" spans="1:13" s="321" customFormat="1" ht="21" customHeight="1">
      <c r="A29" s="747">
        <v>2026</v>
      </c>
      <c r="B29" s="899" t="s">
        <v>239</v>
      </c>
      <c r="C29" s="1105">
        <f t="shared" ref="C29:K29" si="2">C39</f>
        <v>28.258091482546138</v>
      </c>
      <c r="D29" s="1105">
        <f t="shared" si="2"/>
        <v>24.6968225036237</v>
      </c>
      <c r="E29" s="1105">
        <f t="shared" si="2"/>
        <v>59.228856027456807</v>
      </c>
      <c r="F29" s="1105">
        <f t="shared" si="2"/>
        <v>34.876535612876403</v>
      </c>
      <c r="G29" s="1105">
        <f t="shared" si="2"/>
        <v>48.764870893718488</v>
      </c>
      <c r="H29" s="1105">
        <f t="shared" si="2"/>
        <v>47.710007212441333</v>
      </c>
      <c r="I29" s="1105">
        <f t="shared" si="2"/>
        <v>58.429956444004908</v>
      </c>
      <c r="J29" s="1105">
        <f t="shared" si="2"/>
        <v>62.913580362580099</v>
      </c>
      <c r="K29" s="1105">
        <f t="shared" si="2"/>
        <v>14.703071179992333</v>
      </c>
      <c r="L29" s="770"/>
      <c r="M29" s="905"/>
    </row>
    <row r="30" spans="1:13" s="321" customFormat="1" ht="15" customHeight="1">
      <c r="A30" s="906"/>
      <c r="B30" s="907" t="s">
        <v>240</v>
      </c>
      <c r="C30" s="974">
        <f t="shared" ref="C30:K30" si="3">C42</f>
        <v>28.956697638491388</v>
      </c>
      <c r="D30" s="974">
        <f t="shared" si="3"/>
        <v>25.263379403294834</v>
      </c>
      <c r="E30" s="974">
        <f t="shared" si="3"/>
        <v>58.863496968734417</v>
      </c>
      <c r="F30" s="974">
        <f t="shared" si="3"/>
        <v>35.773648595705922</v>
      </c>
      <c r="G30" s="974">
        <f t="shared" si="3"/>
        <v>46.822983702132774</v>
      </c>
      <c r="H30" s="974">
        <f t="shared" si="3"/>
        <v>49.192961902810254</v>
      </c>
      <c r="I30" s="974">
        <f t="shared" si="3"/>
        <v>57.665905679584533</v>
      </c>
      <c r="J30" s="974">
        <f t="shared" si="3"/>
        <v>64.581175216326002</v>
      </c>
      <c r="K30" s="974">
        <f t="shared" si="3"/>
        <v>14.677322050866012</v>
      </c>
      <c r="L30" s="1819"/>
      <c r="M30" s="905"/>
    </row>
    <row r="31" spans="1:13" s="321" customFormat="1" ht="21" customHeight="1">
      <c r="A31" s="747">
        <v>2025</v>
      </c>
      <c r="B31" s="899" t="s">
        <v>420</v>
      </c>
      <c r="C31" s="1105">
        <v>28.596028748666559</v>
      </c>
      <c r="D31" s="1105">
        <v>26.055654199421276</v>
      </c>
      <c r="E31" s="1105">
        <v>62.050805936320742</v>
      </c>
      <c r="F31" s="1105">
        <v>35.590752644825152</v>
      </c>
      <c r="G31" s="1105">
        <v>47.58476435410185</v>
      </c>
      <c r="H31" s="1105">
        <v>46.084862746203584</v>
      </c>
      <c r="I31" s="1105">
        <v>63.352302632097661</v>
      </c>
      <c r="J31" s="1105">
        <f>SUM('19'!E31:J31)/'19'!Q31%</f>
        <v>66.286416040260576</v>
      </c>
      <c r="K31" s="1105">
        <f>SUM('19'!E31:F31)/'19'!Q31%</f>
        <v>14.222007290647705</v>
      </c>
      <c r="L31" s="770"/>
      <c r="M31" s="905"/>
    </row>
    <row r="32" spans="1:13" s="321" customFormat="1" ht="17.25" customHeight="1">
      <c r="A32" s="747"/>
      <c r="B32" s="899" t="s">
        <v>421</v>
      </c>
      <c r="C32" s="1105">
        <v>28.582027674371869</v>
      </c>
      <c r="D32" s="1105">
        <v>25.640194863921963</v>
      </c>
      <c r="E32" s="1105">
        <v>61.590757287072968</v>
      </c>
      <c r="F32" s="1105">
        <v>36.635452385132062</v>
      </c>
      <c r="G32" s="1105">
        <v>48.055150056826349</v>
      </c>
      <c r="H32" s="1105">
        <v>46.406358572848447</v>
      </c>
      <c r="I32" s="1105">
        <v>62.451072006100354</v>
      </c>
      <c r="J32" s="1105">
        <f>SUM('19'!E32:J32)/'19'!Q32%</f>
        <v>65.844014344406474</v>
      </c>
      <c r="K32" s="1105">
        <f>SUM('19'!E32:F32)/'19'!Q32%</f>
        <v>14.358559664507249</v>
      </c>
      <c r="L32" s="770"/>
    </row>
    <row r="33" spans="1:12" s="321" customFormat="1" ht="17.25" customHeight="1">
      <c r="A33" s="747"/>
      <c r="B33" s="899" t="s">
        <v>422</v>
      </c>
      <c r="C33" s="1105">
        <v>28.930162508545294</v>
      </c>
      <c r="D33" s="1105">
        <v>25.690780395724303</v>
      </c>
      <c r="E33" s="1105">
        <v>61.993846723255913</v>
      </c>
      <c r="F33" s="1105">
        <v>36.221552238762982</v>
      </c>
      <c r="G33" s="1105">
        <v>47.83220791896764</v>
      </c>
      <c r="H33" s="1105">
        <v>46.666183883847694</v>
      </c>
      <c r="I33" s="1105">
        <v>61.853669075875821</v>
      </c>
      <c r="J33" s="1105">
        <f>SUM('19'!E33:J33)/'19'!Q33%</f>
        <v>66.038465113582561</v>
      </c>
      <c r="K33" s="1105">
        <f>SUM('19'!E33:F33)/'19'!Q33%</f>
        <v>13.958249143201142</v>
      </c>
      <c r="L33" s="770"/>
    </row>
    <row r="34" spans="1:12" s="321" customFormat="1" ht="17.25" customHeight="1">
      <c r="A34" s="747"/>
      <c r="B34" s="899" t="s">
        <v>411</v>
      </c>
      <c r="C34" s="1105">
        <v>28.91697378571784</v>
      </c>
      <c r="D34" s="1105">
        <v>25.663944594597986</v>
      </c>
      <c r="E34" s="1105">
        <v>60.736905801469931</v>
      </c>
      <c r="F34" s="1105">
        <v>35.478303839554627</v>
      </c>
      <c r="G34" s="1105">
        <v>48.659789688765393</v>
      </c>
      <c r="H34" s="1105">
        <v>47.610218867978624</v>
      </c>
      <c r="I34" s="1105">
        <v>59.948068811620082</v>
      </c>
      <c r="J34" s="1105">
        <f>SUM('19'!E34:J34)/'19'!Q34%</f>
        <v>64.697199262722805</v>
      </c>
      <c r="K34" s="1105">
        <f>SUM('19'!E34:F34)/'19'!Q34%</f>
        <v>13.847475947235088</v>
      </c>
      <c r="L34" s="770"/>
    </row>
    <row r="35" spans="1:12" s="321" customFormat="1" ht="17.25" customHeight="1">
      <c r="A35" s="747"/>
      <c r="B35" s="899" t="s">
        <v>412</v>
      </c>
      <c r="C35" s="1105">
        <v>28.764326095753535</v>
      </c>
      <c r="D35" s="1105">
        <v>25.433102060454008</v>
      </c>
      <c r="E35" s="1105">
        <v>59.922739148787478</v>
      </c>
      <c r="F35" s="1105">
        <v>35.295350605813987</v>
      </c>
      <c r="G35" s="1105">
        <v>48.14324153346881</v>
      </c>
      <c r="H35" s="1105">
        <v>48.002355206647081</v>
      </c>
      <c r="I35" s="1105">
        <v>59.358798409785877</v>
      </c>
      <c r="J35" s="1105">
        <f>SUM('19'!E35:J35)/'19'!Q35%</f>
        <v>64.433466579539385</v>
      </c>
      <c r="K35" s="1105">
        <f>SUM('19'!E35:F35)/'19'!Q35%</f>
        <v>13.98949994500081</v>
      </c>
      <c r="L35" s="770"/>
    </row>
    <row r="36" spans="1:12" s="321" customFormat="1" ht="17.25" customHeight="1">
      <c r="A36" s="747"/>
      <c r="B36" s="899" t="s">
        <v>413</v>
      </c>
      <c r="C36" s="1105">
        <v>28.830411003801551</v>
      </c>
      <c r="D36" s="1105">
        <v>25.480147791687898</v>
      </c>
      <c r="E36" s="1105">
        <v>59.431132315672023</v>
      </c>
      <c r="F36" s="1105">
        <v>35.136746681540806</v>
      </c>
      <c r="G36" s="1105">
        <v>48.184238702115799</v>
      </c>
      <c r="H36" s="1105">
        <v>48.510620411314214</v>
      </c>
      <c r="I36" s="1105">
        <v>59.241907553902607</v>
      </c>
      <c r="J36" s="1105">
        <f>SUM('19'!E36:J36)/'19'!Q36%</f>
        <v>63.827654417461751</v>
      </c>
      <c r="K36" s="1105">
        <f>SUM('19'!E36:F36)/'19'!Q36%</f>
        <v>13.555340848176474</v>
      </c>
      <c r="L36" s="770"/>
    </row>
    <row r="37" spans="1:12" s="321" customFormat="1" ht="21" customHeight="1">
      <c r="A37" s="747">
        <v>2026</v>
      </c>
      <c r="B37" s="899" t="s">
        <v>414</v>
      </c>
      <c r="C37" s="1105">
        <v>28.419390188706039</v>
      </c>
      <c r="D37" s="1105">
        <v>25.046031195328052</v>
      </c>
      <c r="E37" s="1105">
        <v>58.037423549916674</v>
      </c>
      <c r="F37" s="1105">
        <v>35.397436876723042</v>
      </c>
      <c r="G37" s="1105">
        <v>47.970198153059975</v>
      </c>
      <c r="H37" s="1105">
        <v>48.967353218674781</v>
      </c>
      <c r="I37" s="1105">
        <v>58.338119647132942</v>
      </c>
      <c r="J37" s="1105">
        <f>SUM('19'!E37:J37)/'19'!Q37%</f>
        <v>63.452767522056291</v>
      </c>
      <c r="K37" s="1105">
        <f>SUM('19'!E37:F37)/'19'!Q37%</f>
        <v>14.124120105521659</v>
      </c>
      <c r="L37" s="770"/>
    </row>
    <row r="38" spans="1:12" s="321" customFormat="1" ht="17.25" customHeight="1">
      <c r="A38" s="747"/>
      <c r="B38" s="899" t="s">
        <v>415</v>
      </c>
      <c r="C38" s="1105">
        <v>28.059901373349327</v>
      </c>
      <c r="D38" s="1105">
        <v>24.58771517027796</v>
      </c>
      <c r="E38" s="1105">
        <v>57.53014566554257</v>
      </c>
      <c r="F38" s="1105">
        <v>36.257143817651631</v>
      </c>
      <c r="G38" s="1105">
        <v>48.398005896477798</v>
      </c>
      <c r="H38" s="1105">
        <v>48.774257476208135</v>
      </c>
      <c r="I38" s="1105">
        <v>57.48603010617758</v>
      </c>
      <c r="J38" s="1105">
        <f>SUM('19'!E38:J38)/'19'!Q38%</f>
        <v>63.445779512236868</v>
      </c>
      <c r="K38" s="1105">
        <f>SUM('19'!E38:F38)/'19'!Q38%</f>
        <v>13.86704559361432</v>
      </c>
      <c r="L38" s="770"/>
    </row>
    <row r="39" spans="1:12" s="321" customFormat="1" ht="17.25" customHeight="1">
      <c r="A39" s="747"/>
      <c r="B39" s="899" t="s">
        <v>416</v>
      </c>
      <c r="C39" s="1105">
        <v>28.258091482546138</v>
      </c>
      <c r="D39" s="1105">
        <v>24.6968225036237</v>
      </c>
      <c r="E39" s="1105">
        <v>59.228856027456807</v>
      </c>
      <c r="F39" s="1105">
        <v>34.876535612876403</v>
      </c>
      <c r="G39" s="1105">
        <v>48.764870893718488</v>
      </c>
      <c r="H39" s="1105">
        <v>47.710007212441333</v>
      </c>
      <c r="I39" s="1105">
        <v>58.429956444004908</v>
      </c>
      <c r="J39" s="1105">
        <f>SUM('19'!E39:J39)/'19'!Q39%</f>
        <v>62.913580362580099</v>
      </c>
      <c r="K39" s="1105">
        <f>SUM('19'!E39:F39)/'19'!Q39%</f>
        <v>14.703071179992333</v>
      </c>
      <c r="L39" s="770"/>
    </row>
    <row r="40" spans="1:12" s="321" customFormat="1" ht="17.25" customHeight="1">
      <c r="A40" s="747"/>
      <c r="B40" s="899" t="s">
        <v>417</v>
      </c>
      <c r="C40" s="1105">
        <v>28.480726432464252</v>
      </c>
      <c r="D40" s="1105">
        <v>24.912957899942789</v>
      </c>
      <c r="E40" s="1105">
        <v>58.813269037010762</v>
      </c>
      <c r="F40" s="1105">
        <v>35.88994128112396</v>
      </c>
      <c r="G40" s="1105">
        <v>47.709235957146127</v>
      </c>
      <c r="H40" s="1105">
        <v>48.425681651093967</v>
      </c>
      <c r="I40" s="1105">
        <v>58.548067708539534</v>
      </c>
      <c r="J40" s="1105">
        <f>SUM('19'!E40:J40)/'19'!Q40%</f>
        <v>64.576260790729407</v>
      </c>
      <c r="K40" s="1105">
        <f>SUM('19'!E40:F40)/'19'!Q40%</f>
        <v>16.067085863970068</v>
      </c>
      <c r="L40" s="770"/>
    </row>
    <row r="41" spans="1:12" s="321" customFormat="1" ht="17.25" customHeight="1">
      <c r="A41" s="747"/>
      <c r="B41" s="899" t="s">
        <v>418</v>
      </c>
      <c r="C41" s="1105">
        <v>28.515734859130291</v>
      </c>
      <c r="D41" s="1105">
        <v>24.920585879865442</v>
      </c>
      <c r="E41" s="1105">
        <v>58.668777805650706</v>
      </c>
      <c r="F41" s="1105">
        <v>35.938544342023221</v>
      </c>
      <c r="G41" s="1105">
        <v>47.194363296485072</v>
      </c>
      <c r="H41" s="1105">
        <v>48.604617184276485</v>
      </c>
      <c r="I41" s="1105">
        <v>58.375236994190935</v>
      </c>
      <c r="J41" s="1105">
        <f>SUM('19'!E41:J41)/'19'!Q41%</f>
        <v>64.23984346331369</v>
      </c>
      <c r="K41" s="1105">
        <f>SUM('19'!E41:F41)/'19'!Q41%</f>
        <v>15.928113073253323</v>
      </c>
      <c r="L41" s="770"/>
    </row>
    <row r="42" spans="1:12" s="321" customFormat="1" ht="17.25" customHeight="1">
      <c r="A42" s="747"/>
      <c r="B42" s="899" t="s">
        <v>419</v>
      </c>
      <c r="C42" s="1105">
        <v>28.956697638491388</v>
      </c>
      <c r="D42" s="1105">
        <v>25.263379403294834</v>
      </c>
      <c r="E42" s="1105">
        <v>58.863496968734417</v>
      </c>
      <c r="F42" s="1105">
        <v>35.773648595705922</v>
      </c>
      <c r="G42" s="1105">
        <v>46.822983702132774</v>
      </c>
      <c r="H42" s="1105">
        <v>49.192961902810254</v>
      </c>
      <c r="I42" s="1105">
        <v>57.665905679584533</v>
      </c>
      <c r="J42" s="1105">
        <f>SUM('19'!E42:J42)/'19'!Q42%</f>
        <v>64.581175216326002</v>
      </c>
      <c r="K42" s="1105">
        <f>SUM('19'!E42:F42)/'19'!Q42%</f>
        <v>14.677322050866012</v>
      </c>
      <c r="L42" s="770"/>
    </row>
    <row r="43" spans="1:12" s="321" customFormat="1" ht="17.25" customHeight="1">
      <c r="A43" s="747"/>
      <c r="B43" s="899" t="s">
        <v>420</v>
      </c>
      <c r="C43" s="1105">
        <v>28.747653263809109</v>
      </c>
      <c r="D43" s="1105">
        <v>25.076226750979554</v>
      </c>
      <c r="E43" s="1105">
        <v>59.957547002050454</v>
      </c>
      <c r="F43" s="1105">
        <v>36.136389951761657</v>
      </c>
      <c r="G43" s="1105">
        <v>47.204360555548369</v>
      </c>
      <c r="H43" s="1105">
        <v>47.946680111556233</v>
      </c>
      <c r="I43" s="1105">
        <v>58.240195933991465</v>
      </c>
      <c r="J43" s="1105">
        <f>SUM('19'!E43:J43)/'19'!Q43%</f>
        <v>65.31383510086745</v>
      </c>
      <c r="K43" s="1105">
        <f>SUM('19'!E43:F43)/'19'!Q43%</f>
        <v>14.535124059401809</v>
      </c>
      <c r="L43" s="770"/>
    </row>
    <row r="44" spans="1:12" ht="20.25" customHeight="1">
      <c r="A44" s="279"/>
      <c r="B44" s="280"/>
      <c r="C44" s="280"/>
      <c r="D44" s="280"/>
      <c r="E44" s="280"/>
      <c r="F44" s="280"/>
      <c r="G44" s="280"/>
      <c r="H44" s="280"/>
      <c r="I44" s="280"/>
      <c r="J44" s="280"/>
      <c r="K44" s="280"/>
    </row>
    <row r="45" spans="1:12">
      <c r="C45" s="348"/>
      <c r="D45" s="348"/>
      <c r="E45" s="348"/>
      <c r="F45" s="348"/>
      <c r="G45" s="348"/>
      <c r="H45" s="348"/>
      <c r="I45" s="348"/>
      <c r="J45" s="348"/>
      <c r="K45" s="348"/>
    </row>
    <row r="46" spans="1:12" ht="12.75" customHeight="1">
      <c r="A46" s="149"/>
      <c r="B46" s="281"/>
      <c r="C46" s="637"/>
      <c r="D46" s="637"/>
      <c r="E46" s="1740"/>
      <c r="F46" s="637"/>
      <c r="G46" s="637"/>
      <c r="H46" s="637"/>
      <c r="I46" s="637"/>
      <c r="J46" s="637"/>
      <c r="K46" s="637"/>
    </row>
    <row r="47" spans="1:12" ht="12.75" customHeight="1">
      <c r="A47" s="319" t="s">
        <v>981</v>
      </c>
      <c r="B47" s="320"/>
      <c r="C47" s="320"/>
      <c r="D47" s="320"/>
      <c r="E47" s="320"/>
      <c r="F47" s="320"/>
      <c r="G47" s="320"/>
      <c r="H47" s="320"/>
      <c r="I47" s="320"/>
      <c r="J47" s="282"/>
      <c r="K47" s="282"/>
    </row>
    <row r="48" spans="1:12" ht="16.8">
      <c r="B48" s="283"/>
      <c r="C48" s="276"/>
      <c r="E48" s="1820"/>
      <c r="F48" s="1821"/>
      <c r="I48" s="348"/>
    </row>
    <row r="49" spans="1:9" ht="16.8">
      <c r="A49" s="282"/>
      <c r="B49" s="283"/>
      <c r="C49" s="276"/>
      <c r="E49" s="1820"/>
      <c r="F49" s="1821"/>
      <c r="I49" s="348"/>
    </row>
    <row r="50" spans="1:9" ht="16.8">
      <c r="A50" s="247"/>
      <c r="B50" s="284"/>
      <c r="E50" s="1820"/>
      <c r="F50" s="1821"/>
      <c r="I50" s="348"/>
    </row>
    <row r="51" spans="1:9" ht="16.8">
      <c r="E51" s="1820"/>
      <c r="F51" s="1821"/>
      <c r="I51" s="348"/>
    </row>
    <row r="52" spans="1:9" ht="16.8">
      <c r="E52" s="1820"/>
      <c r="F52" s="1821"/>
      <c r="I52" s="348"/>
    </row>
    <row r="53" spans="1:9" ht="16.8">
      <c r="E53" s="1820"/>
      <c r="F53" s="1821"/>
      <c r="I53" s="348"/>
    </row>
    <row r="54" spans="1:9" ht="16.8">
      <c r="E54" s="1820"/>
      <c r="F54" s="1821"/>
      <c r="I54" s="348"/>
    </row>
    <row r="55" spans="1:9" ht="16.8">
      <c r="E55" s="352"/>
      <c r="F55" s="1821"/>
      <c r="I55" s="348"/>
    </row>
    <row r="56" spans="1:9">
      <c r="E56" s="352"/>
      <c r="F56" s="353"/>
      <c r="I56" s="348"/>
    </row>
    <row r="57" spans="1:9">
      <c r="E57" s="352"/>
      <c r="F57" s="353"/>
    </row>
    <row r="58" spans="1:9">
      <c r="E58" s="352"/>
      <c r="F58" s="353"/>
    </row>
    <row r="59" spans="1:9">
      <c r="E59" s="352"/>
      <c r="F59" s="353"/>
    </row>
    <row r="60" spans="1:9">
      <c r="E60" s="352"/>
      <c r="F60" s="353"/>
    </row>
    <row r="61" spans="1:9">
      <c r="E61" s="352"/>
      <c r="F61" s="353"/>
    </row>
    <row r="62" spans="1:9">
      <c r="E62" s="352"/>
      <c r="F62" s="353"/>
    </row>
    <row r="63" spans="1:9">
      <c r="E63" s="352"/>
      <c r="F63" s="353"/>
    </row>
  </sheetData>
  <mergeCells count="1">
    <mergeCell ref="A10:B10"/>
  </mergeCells>
  <phoneticPr fontId="0" type="noConversion"/>
  <printOptions horizontalCentered="1" verticalCentered="1"/>
  <pageMargins left="0" right="0" top="0" bottom="0" header="0.51181102362204722" footer="0.51181102362204722"/>
  <pageSetup paperSize="9" scale="75"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6">
    <pageSetUpPr fitToPage="1"/>
  </sheetPr>
  <dimension ref="A1:S49"/>
  <sheetViews>
    <sheetView zoomScale="75" zoomScaleNormal="75" workbookViewId="0">
      <pane ySplit="12" topLeftCell="A39" activePane="bottomLeft" state="frozen"/>
      <selection activeCell="B2" sqref="B2"/>
      <selection pane="bottomLeft" activeCell="J44" sqref="J44"/>
    </sheetView>
  </sheetViews>
  <sheetFormatPr defaultColWidth="8.77734375" defaultRowHeight="13.2"/>
  <cols>
    <col min="1" max="2" width="9.77734375" style="1413" customWidth="1"/>
    <col min="3" max="3" width="9.44140625" style="1413" customWidth="1"/>
    <col min="4" max="4" width="12.77734375" style="1413" customWidth="1"/>
    <col min="5" max="5" width="14.77734375" style="1413" customWidth="1"/>
    <col min="6" max="6" width="12" style="1413" customWidth="1"/>
    <col min="7" max="7" width="10.21875" style="1413" customWidth="1"/>
    <col min="8" max="8" width="10.77734375" style="1413" customWidth="1"/>
    <col min="9" max="9" width="12.77734375" style="1413" customWidth="1"/>
    <col min="10" max="10" width="14.77734375" style="1413" customWidth="1"/>
    <col min="11" max="11" width="11.77734375" style="1413" customWidth="1"/>
    <col min="12" max="12" width="13.44140625" style="1413" customWidth="1"/>
    <col min="13" max="13" width="11" style="1413" customWidth="1"/>
    <col min="14" max="14" width="11.21875" style="1413" customWidth="1"/>
    <col min="15" max="15" width="11.77734375" style="1413" customWidth="1"/>
    <col min="16" max="16" width="10.77734375" style="1413" customWidth="1"/>
    <col min="17" max="16384" width="8.77734375" style="1413"/>
  </cols>
  <sheetData>
    <row r="1" spans="1:19" s="8" customFormat="1" ht="18" customHeight="1">
      <c r="A1" s="1717" t="s">
        <v>1761</v>
      </c>
      <c r="B1" s="1716"/>
      <c r="C1" s="1716"/>
      <c r="D1" s="1716"/>
      <c r="E1" s="1716"/>
      <c r="F1" s="1716"/>
      <c r="G1" s="1716"/>
      <c r="H1" s="1716"/>
      <c r="I1" s="1716"/>
      <c r="J1" s="1716"/>
      <c r="K1" s="1716"/>
      <c r="L1" s="1716"/>
      <c r="M1" s="1716"/>
      <c r="N1" s="1716"/>
      <c r="O1" s="1716"/>
      <c r="P1" s="1716"/>
    </row>
    <row r="2" spans="1:19" s="8" customFormat="1" ht="18" customHeight="1">
      <c r="A2" s="1715" t="s">
        <v>982</v>
      </c>
      <c r="B2" s="1716"/>
      <c r="C2" s="1716"/>
      <c r="D2" s="1716"/>
      <c r="E2" s="1716"/>
      <c r="F2" s="1716"/>
      <c r="G2" s="1716"/>
      <c r="H2" s="1716"/>
      <c r="I2" s="1716"/>
      <c r="J2" s="1716"/>
      <c r="K2" s="1716"/>
      <c r="L2" s="1716"/>
      <c r="M2" s="1716"/>
      <c r="N2" s="1716"/>
      <c r="O2" s="1716"/>
      <c r="P2" s="1716"/>
    </row>
    <row r="3" spans="1:19" s="8" customFormat="1" ht="18" customHeight="1">
      <c r="A3" s="1717" t="s">
        <v>983</v>
      </c>
      <c r="B3" s="1716"/>
      <c r="C3" s="1716"/>
      <c r="D3" s="1716"/>
      <c r="E3" s="1716"/>
      <c r="F3" s="1716"/>
      <c r="G3" s="1716"/>
      <c r="H3" s="1716"/>
      <c r="I3" s="1716"/>
      <c r="J3" s="1716"/>
      <c r="K3" s="1716"/>
      <c r="L3" s="1716"/>
      <c r="M3" s="1716"/>
      <c r="N3" s="1716"/>
      <c r="O3" s="1716"/>
      <c r="P3" s="1716"/>
    </row>
    <row r="4" spans="1:19" s="8" customFormat="1" ht="18" customHeight="1">
      <c r="A4" s="1717" t="s">
        <v>984</v>
      </c>
      <c r="B4" s="1716"/>
      <c r="C4" s="1716"/>
      <c r="D4" s="1716"/>
      <c r="E4" s="1716"/>
      <c r="F4" s="1716"/>
      <c r="G4" s="1716"/>
      <c r="H4" s="1716"/>
      <c r="I4" s="1716"/>
      <c r="J4" s="1716"/>
      <c r="K4" s="1716"/>
      <c r="L4" s="1716"/>
      <c r="M4" s="1716"/>
      <c r="N4" s="1716"/>
      <c r="O4" s="1716"/>
      <c r="P4" s="1716"/>
    </row>
    <row r="5" spans="1:19" s="25" customFormat="1" ht="20.25" customHeight="1">
      <c r="A5" s="16" t="s">
        <v>985</v>
      </c>
      <c r="B5" s="4"/>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1730" t="s">
        <v>492</v>
      </c>
      <c r="D7" s="40"/>
      <c r="E7" s="123"/>
      <c r="F7" s="123"/>
      <c r="G7" s="1731"/>
      <c r="H7" s="1732" t="s">
        <v>986</v>
      </c>
      <c r="I7" s="1733" t="s">
        <v>987</v>
      </c>
      <c r="J7" s="40"/>
      <c r="K7" s="123"/>
      <c r="L7" s="123"/>
      <c r="M7" s="1731"/>
      <c r="N7" s="1734" t="s">
        <v>988</v>
      </c>
      <c r="O7" s="1721"/>
      <c r="P7" s="1721"/>
    </row>
    <row r="8" spans="1:19" s="39" customFormat="1" ht="16.5" customHeight="1">
      <c r="A8" s="370" t="s">
        <v>379</v>
      </c>
      <c r="B8" s="81"/>
      <c r="D8" s="270" t="s">
        <v>989</v>
      </c>
      <c r="E8" s="270" t="s">
        <v>989</v>
      </c>
      <c r="F8" s="270" t="s">
        <v>989</v>
      </c>
      <c r="H8" s="270"/>
      <c r="I8" s="270" t="s">
        <v>989</v>
      </c>
      <c r="J8" s="270" t="s">
        <v>989</v>
      </c>
      <c r="K8" s="371"/>
      <c r="L8" s="372" t="s">
        <v>990</v>
      </c>
      <c r="N8" s="371"/>
      <c r="O8" s="270" t="s">
        <v>429</v>
      </c>
      <c r="P8" s="270" t="s">
        <v>991</v>
      </c>
    </row>
    <row r="9" spans="1:19" s="39" customFormat="1" ht="16.5" customHeight="1">
      <c r="A9" s="62" t="s">
        <v>387</v>
      </c>
      <c r="B9" s="74"/>
      <c r="C9" s="270" t="s">
        <v>771</v>
      </c>
      <c r="D9" s="79" t="s">
        <v>431</v>
      </c>
      <c r="E9" s="271" t="s">
        <v>811</v>
      </c>
      <c r="F9" s="95" t="s">
        <v>390</v>
      </c>
      <c r="G9" s="270" t="s">
        <v>391</v>
      </c>
      <c r="H9" s="270" t="s">
        <v>382</v>
      </c>
      <c r="I9" s="79" t="s">
        <v>431</v>
      </c>
      <c r="J9" s="271" t="s">
        <v>811</v>
      </c>
      <c r="K9" s="270" t="s">
        <v>777</v>
      </c>
      <c r="L9" s="372" t="s">
        <v>992</v>
      </c>
      <c r="M9" s="270" t="s">
        <v>391</v>
      </c>
      <c r="N9" s="373" t="s">
        <v>382</v>
      </c>
      <c r="O9" s="63" t="s">
        <v>372</v>
      </c>
      <c r="P9" s="63" t="s">
        <v>993</v>
      </c>
    </row>
    <row r="10" spans="1:19" s="39" customFormat="1" ht="16.5" customHeight="1">
      <c r="A10" s="82"/>
      <c r="B10" s="74"/>
      <c r="C10" s="374" t="s">
        <v>774</v>
      </c>
      <c r="D10" s="107" t="s">
        <v>994</v>
      </c>
      <c r="E10" s="107" t="s">
        <v>994</v>
      </c>
      <c r="F10" s="107" t="s">
        <v>994</v>
      </c>
      <c r="G10" s="228" t="s">
        <v>995</v>
      </c>
      <c r="H10" s="374" t="s">
        <v>392</v>
      </c>
      <c r="I10" s="107" t="s">
        <v>994</v>
      </c>
      <c r="J10" s="107" t="s">
        <v>994</v>
      </c>
      <c r="K10" s="228" t="s">
        <v>784</v>
      </c>
      <c r="L10" s="375" t="s">
        <v>996</v>
      </c>
      <c r="M10" s="228" t="s">
        <v>995</v>
      </c>
      <c r="N10" s="376" t="s">
        <v>392</v>
      </c>
      <c r="O10" s="374" t="s">
        <v>392</v>
      </c>
      <c r="P10" s="374" t="s">
        <v>997</v>
      </c>
    </row>
    <row r="11" spans="1:19" s="39" customFormat="1" ht="16.5" customHeight="1">
      <c r="A11" s="82"/>
      <c r="B11" s="74"/>
      <c r="C11" s="374"/>
      <c r="D11" s="107" t="s">
        <v>998</v>
      </c>
      <c r="E11" s="107" t="s">
        <v>999</v>
      </c>
      <c r="F11" s="107" t="s">
        <v>1000</v>
      </c>
      <c r="G11" s="228"/>
      <c r="H11" s="228"/>
      <c r="I11" s="107" t="s">
        <v>998</v>
      </c>
      <c r="J11" s="107" t="s">
        <v>999</v>
      </c>
      <c r="K11" s="75"/>
      <c r="L11" s="375" t="s">
        <v>1001</v>
      </c>
      <c r="M11" s="228"/>
      <c r="N11" s="377"/>
      <c r="O11" s="228" t="s">
        <v>371</v>
      </c>
      <c r="P11" s="228" t="s">
        <v>740</v>
      </c>
    </row>
    <row r="12" spans="1:19" s="39" customFormat="1" ht="16.5" customHeight="1">
      <c r="A12" s="87"/>
      <c r="B12" s="98"/>
      <c r="C12" s="378"/>
      <c r="D12" s="139" t="s">
        <v>782</v>
      </c>
      <c r="E12" s="379" t="s">
        <v>409</v>
      </c>
      <c r="F12" s="139"/>
      <c r="G12" s="138"/>
      <c r="H12" s="138"/>
      <c r="I12" s="139"/>
      <c r="J12" s="379" t="s">
        <v>409</v>
      </c>
      <c r="K12" s="130"/>
      <c r="L12" s="139"/>
      <c r="M12" s="138"/>
      <c r="N12" s="230"/>
      <c r="O12" s="138" t="s">
        <v>781</v>
      </c>
      <c r="P12" s="138" t="s">
        <v>1002</v>
      </c>
    </row>
    <row r="13" spans="1:19" s="39" customFormat="1" ht="21" customHeight="1">
      <c r="A13" s="405">
        <v>2016</v>
      </c>
      <c r="B13" s="60"/>
      <c r="C13" s="796">
        <v>6.3999999999999995</v>
      </c>
      <c r="D13" s="796">
        <v>197.20931514773042</v>
      </c>
      <c r="E13" s="796">
        <v>755.69671795778845</v>
      </c>
      <c r="F13" s="796">
        <v>80.622</v>
      </c>
      <c r="G13" s="796">
        <v>22.357629524000004</v>
      </c>
      <c r="H13" s="796">
        <v>1062.2756626295188</v>
      </c>
      <c r="I13" s="796">
        <v>180.065</v>
      </c>
      <c r="J13" s="796">
        <v>384.46875376100002</v>
      </c>
      <c r="K13" s="796">
        <v>26.543474660969999</v>
      </c>
      <c r="L13" s="796">
        <v>0</v>
      </c>
      <c r="M13" s="796">
        <v>4.5</v>
      </c>
      <c r="N13" s="796">
        <v>595.57722842197006</v>
      </c>
      <c r="O13" s="796">
        <v>1657.852891051489</v>
      </c>
      <c r="P13" s="776">
        <v>8.9</v>
      </c>
      <c r="Q13" s="321"/>
      <c r="R13" s="321"/>
      <c r="S13" s="321"/>
    </row>
    <row r="14" spans="1:19" s="39" customFormat="1" ht="14.25" customHeight="1">
      <c r="A14" s="405">
        <v>2017</v>
      </c>
      <c r="B14" s="60"/>
      <c r="C14" s="796">
        <v>0.7</v>
      </c>
      <c r="D14" s="796">
        <v>105.05272791200001</v>
      </c>
      <c r="E14" s="796">
        <v>733.13499523712005</v>
      </c>
      <c r="F14" s="796">
        <v>46.446999999999996</v>
      </c>
      <c r="G14" s="796">
        <v>8.6514088931465647</v>
      </c>
      <c r="H14" s="796">
        <v>893.98613204226672</v>
      </c>
      <c r="I14" s="796">
        <v>88.11999999999999</v>
      </c>
      <c r="J14" s="796">
        <v>421.15999999999997</v>
      </c>
      <c r="K14" s="796">
        <v>10.07</v>
      </c>
      <c r="L14" s="796">
        <v>0</v>
      </c>
      <c r="M14" s="796">
        <v>3.5</v>
      </c>
      <c r="N14" s="796">
        <v>522.85</v>
      </c>
      <c r="O14" s="796">
        <v>1416.8561320422666</v>
      </c>
      <c r="P14" s="776">
        <v>0</v>
      </c>
      <c r="Q14" s="321"/>
      <c r="R14" s="321"/>
      <c r="S14" s="321"/>
    </row>
    <row r="15" spans="1:19" s="1031" customFormat="1" ht="14.25" customHeight="1">
      <c r="A15" s="405">
        <v>2018</v>
      </c>
      <c r="B15" s="1113"/>
      <c r="C15" s="796">
        <v>0.8</v>
      </c>
      <c r="D15" s="796">
        <v>98.873211310999977</v>
      </c>
      <c r="E15" s="796">
        <v>720.34329391263725</v>
      </c>
      <c r="F15" s="796">
        <v>62.382044116378168</v>
      </c>
      <c r="G15" s="796">
        <v>4.0184891994038079</v>
      </c>
      <c r="H15" s="796">
        <v>886.43703853941918</v>
      </c>
      <c r="I15" s="796">
        <v>90.295329178711086</v>
      </c>
      <c r="J15" s="796">
        <v>412.38831199569279</v>
      </c>
      <c r="K15" s="796">
        <v>53.839999999999996</v>
      </c>
      <c r="L15" s="796">
        <v>0</v>
      </c>
      <c r="M15" s="796">
        <v>3.7646708212889157</v>
      </c>
      <c r="N15" s="796">
        <v>560.28831199569277</v>
      </c>
      <c r="O15" s="796">
        <v>1446.7253505351118</v>
      </c>
      <c r="P15" s="776">
        <v>0</v>
      </c>
      <c r="Q15" s="321"/>
      <c r="R15" s="321"/>
      <c r="S15" s="321"/>
    </row>
    <row r="16" spans="1:19" s="1031" customFormat="1" ht="14.25" customHeight="1">
      <c r="A16" s="405">
        <v>2019</v>
      </c>
      <c r="B16" s="1113"/>
      <c r="C16" s="796">
        <v>0.9</v>
      </c>
      <c r="D16" s="796">
        <v>106.15606847700001</v>
      </c>
      <c r="E16" s="796">
        <v>767.07447262767494</v>
      </c>
      <c r="F16" s="796">
        <v>54.099999999999994</v>
      </c>
      <c r="G16" s="796">
        <v>7.1979842229950259</v>
      </c>
      <c r="H16" s="796">
        <v>935.45852532766992</v>
      </c>
      <c r="I16" s="796">
        <v>43.6</v>
      </c>
      <c r="J16" s="796">
        <v>388.43530578772834</v>
      </c>
      <c r="K16" s="796">
        <v>101.77</v>
      </c>
      <c r="L16" s="796">
        <v>0</v>
      </c>
      <c r="M16" s="796">
        <v>9.2000000000000011</v>
      </c>
      <c r="N16" s="796">
        <v>543.03530578772836</v>
      </c>
      <c r="O16" s="796">
        <v>1478.4637997781185</v>
      </c>
      <c r="P16" s="776">
        <v>0</v>
      </c>
      <c r="Q16" s="321"/>
      <c r="R16" s="321"/>
      <c r="S16" s="321"/>
    </row>
    <row r="17" spans="1:19" s="1031" customFormat="1" ht="14.25" customHeight="1">
      <c r="A17" s="405">
        <v>2020</v>
      </c>
      <c r="B17" s="1113"/>
      <c r="C17" s="796">
        <v>0.9</v>
      </c>
      <c r="D17" s="796">
        <v>90.710103341000007</v>
      </c>
      <c r="E17" s="796">
        <v>935.90397370847359</v>
      </c>
      <c r="F17" s="796">
        <v>90.072999999999993</v>
      </c>
      <c r="G17" s="796">
        <v>9.2620316770000368</v>
      </c>
      <c r="H17" s="796">
        <v>1126.8587494604456</v>
      </c>
      <c r="I17" s="796">
        <v>25.5</v>
      </c>
      <c r="J17" s="796">
        <v>232.94000000000003</v>
      </c>
      <c r="K17" s="796">
        <v>165.5</v>
      </c>
      <c r="L17" s="796">
        <v>0</v>
      </c>
      <c r="M17" s="796">
        <v>22.400000000000002</v>
      </c>
      <c r="N17" s="796">
        <v>446.34000000000003</v>
      </c>
      <c r="O17" s="796">
        <v>1573.188727676702</v>
      </c>
      <c r="P17" s="776">
        <v>0</v>
      </c>
      <c r="Q17" s="321"/>
      <c r="R17" s="321"/>
      <c r="S17" s="321"/>
    </row>
    <row r="18" spans="1:19" s="1031" customFormat="1" ht="14.25" customHeight="1">
      <c r="A18" s="405">
        <v>2021</v>
      </c>
      <c r="B18" s="1113"/>
      <c r="C18" s="796">
        <v>0.92575661499999973</v>
      </c>
      <c r="D18" s="796">
        <v>65.133557546439988</v>
      </c>
      <c r="E18" s="796">
        <v>968.10479340452503</v>
      </c>
      <c r="F18" s="796">
        <v>102.57147591536001</v>
      </c>
      <c r="G18" s="796">
        <v>15.35537643306132</v>
      </c>
      <c r="H18" s="796">
        <v>1152.0704919291911</v>
      </c>
      <c r="I18" s="796">
        <v>48.656519040197836</v>
      </c>
      <c r="J18" s="796">
        <v>242.90953266424964</v>
      </c>
      <c r="K18" s="796">
        <v>108.63470564829625</v>
      </c>
      <c r="L18" s="796">
        <v>0</v>
      </c>
      <c r="M18" s="796">
        <v>6.3908862586100064</v>
      </c>
      <c r="N18" s="796">
        <v>406.59164361135373</v>
      </c>
      <c r="O18" s="796">
        <v>1558.6621097761608</v>
      </c>
      <c r="P18" s="776">
        <v>0</v>
      </c>
      <c r="Q18" s="321"/>
      <c r="R18" s="321"/>
      <c r="S18" s="321"/>
    </row>
    <row r="19" spans="1:19" s="1031" customFormat="1" ht="14.25" customHeight="1">
      <c r="A19" s="405">
        <v>2022</v>
      </c>
      <c r="B19" s="1113"/>
      <c r="C19" s="796">
        <v>0.68198592500000033</v>
      </c>
      <c r="D19" s="796">
        <v>521.40691048157396</v>
      </c>
      <c r="E19" s="796">
        <v>1006.4889761459139</v>
      </c>
      <c r="F19" s="796">
        <v>132.36958789631998</v>
      </c>
      <c r="G19" s="796">
        <v>27.627767206378309</v>
      </c>
      <c r="H19" s="796">
        <v>1688.5752276551862</v>
      </c>
      <c r="I19" s="796">
        <v>51.096698772763752</v>
      </c>
      <c r="J19" s="796">
        <v>215.07671747051347</v>
      </c>
      <c r="K19" s="796">
        <v>142.7402259684838</v>
      </c>
      <c r="L19" s="796">
        <v>0</v>
      </c>
      <c r="M19" s="796">
        <v>0.45956955999600008</v>
      </c>
      <c r="N19" s="796">
        <v>409.38321177175703</v>
      </c>
      <c r="O19" s="796">
        <v>2097.9584394269432</v>
      </c>
      <c r="P19" s="776">
        <v>0</v>
      </c>
      <c r="Q19" s="321"/>
      <c r="R19" s="321"/>
      <c r="S19" s="321"/>
    </row>
    <row r="20" spans="1:19" s="1031" customFormat="1" ht="14.25" customHeight="1">
      <c r="A20" s="405">
        <v>2023</v>
      </c>
      <c r="B20" s="1113"/>
      <c r="C20" s="796">
        <v>13.545799190898997</v>
      </c>
      <c r="D20" s="796">
        <v>554.87390134701627</v>
      </c>
      <c r="E20" s="796">
        <v>2013.2661118929429</v>
      </c>
      <c r="F20" s="796">
        <v>666.66359432526997</v>
      </c>
      <c r="G20" s="796">
        <v>158.53581192627917</v>
      </c>
      <c r="H20" s="796">
        <v>3406.885218682407</v>
      </c>
      <c r="I20" s="796">
        <v>787.34084128010807</v>
      </c>
      <c r="J20" s="796">
        <v>1325.5669674364399</v>
      </c>
      <c r="K20" s="796">
        <v>2604.5023685434971</v>
      </c>
      <c r="L20" s="796">
        <v>286.56707653629667</v>
      </c>
      <c r="M20" s="796">
        <v>162.73571000570161</v>
      </c>
      <c r="N20" s="796">
        <v>5166.7129638020433</v>
      </c>
      <c r="O20" s="796">
        <v>8573.5981824844512</v>
      </c>
      <c r="P20" s="776">
        <v>0</v>
      </c>
      <c r="Q20" s="321"/>
      <c r="R20" s="321"/>
      <c r="S20" s="321"/>
    </row>
    <row r="21" spans="1:19" s="1031" customFormat="1" ht="14.25" customHeight="1">
      <c r="A21" s="405">
        <v>2024</v>
      </c>
      <c r="B21" s="1113"/>
      <c r="C21" s="796">
        <v>0</v>
      </c>
      <c r="D21" s="796">
        <v>0</v>
      </c>
      <c r="E21" s="796">
        <v>609.99869317155117</v>
      </c>
      <c r="F21" s="796">
        <v>33.97</v>
      </c>
      <c r="G21" s="796">
        <v>57.193427390225168</v>
      </c>
      <c r="H21" s="796">
        <v>701.16212056177631</v>
      </c>
      <c r="I21" s="796">
        <v>0</v>
      </c>
      <c r="J21" s="796">
        <v>1.4784E-2</v>
      </c>
      <c r="K21" s="796">
        <v>0</v>
      </c>
      <c r="L21" s="796">
        <v>0</v>
      </c>
      <c r="M21" s="796">
        <v>-5.6547999999999378E-5</v>
      </c>
      <c r="N21" s="796">
        <v>1.4727452E-2</v>
      </c>
      <c r="O21" s="796">
        <v>701.17684801377629</v>
      </c>
      <c r="P21" s="776">
        <v>0</v>
      </c>
      <c r="Q21" s="770"/>
      <c r="R21" s="770"/>
      <c r="S21" s="770"/>
    </row>
    <row r="22" spans="1:19" s="1031" customFormat="1" ht="14.25" customHeight="1">
      <c r="A22" s="713">
        <v>2025</v>
      </c>
      <c r="B22" s="1015"/>
      <c r="C22" s="1174">
        <f t="shared" ref="C22:P22" si="0">C28</f>
        <v>0</v>
      </c>
      <c r="D22" s="1174">
        <f t="shared" si="0"/>
        <v>0</v>
      </c>
      <c r="E22" s="1174">
        <f t="shared" si="0"/>
        <v>627.20535209514389</v>
      </c>
      <c r="F22" s="1174">
        <f t="shared" si="0"/>
        <v>58.254999999999995</v>
      </c>
      <c r="G22" s="1174">
        <f t="shared" si="0"/>
        <v>9.2454986202366829</v>
      </c>
      <c r="H22" s="1174">
        <f t="shared" si="0"/>
        <v>694.70585071538051</v>
      </c>
      <c r="I22" s="1174">
        <f t="shared" si="0"/>
        <v>0</v>
      </c>
      <c r="J22" s="1174">
        <f t="shared" si="0"/>
        <v>28.118486369999999</v>
      </c>
      <c r="K22" s="1174">
        <f t="shared" si="0"/>
        <v>0</v>
      </c>
      <c r="L22" s="1174">
        <f t="shared" si="0"/>
        <v>0</v>
      </c>
      <c r="M22" s="1174">
        <f t="shared" si="0"/>
        <v>0</v>
      </c>
      <c r="N22" s="1174">
        <f t="shared" si="0"/>
        <v>28.118486369999999</v>
      </c>
      <c r="O22" s="1174">
        <f t="shared" si="0"/>
        <v>722.82433708538053</v>
      </c>
      <c r="P22" s="1026">
        <f t="shared" si="0"/>
        <v>0</v>
      </c>
      <c r="Q22" s="770"/>
      <c r="R22" s="770"/>
      <c r="S22" s="770"/>
    </row>
    <row r="23" spans="1:19" s="1031" customFormat="1" ht="21" customHeight="1">
      <c r="A23" s="405">
        <v>2024</v>
      </c>
      <c r="B23" s="748" t="s">
        <v>237</v>
      </c>
      <c r="C23" s="796">
        <v>0</v>
      </c>
      <c r="D23" s="796">
        <v>0</v>
      </c>
      <c r="E23" s="796">
        <v>561.93579369947543</v>
      </c>
      <c r="F23" s="796">
        <v>39.4</v>
      </c>
      <c r="G23" s="796">
        <v>94.169193339999993</v>
      </c>
      <c r="H23" s="796">
        <v>695.51051969400771</v>
      </c>
      <c r="I23" s="796">
        <v>0</v>
      </c>
      <c r="J23" s="796">
        <v>4.9394791250000001</v>
      </c>
      <c r="K23" s="796">
        <v>0</v>
      </c>
      <c r="L23" s="796">
        <v>0</v>
      </c>
      <c r="M23" s="796">
        <v>0</v>
      </c>
      <c r="N23" s="1812">
        <v>4.9394584027599997</v>
      </c>
      <c r="O23" s="772">
        <v>700.44997809676761</v>
      </c>
      <c r="P23" s="776">
        <v>0</v>
      </c>
      <c r="Q23" s="321"/>
      <c r="R23" s="321"/>
      <c r="S23" s="321"/>
    </row>
    <row r="24" spans="1:19" s="1031" customFormat="1" ht="15" customHeight="1">
      <c r="A24" s="405"/>
      <c r="B24" s="748" t="s">
        <v>238</v>
      </c>
      <c r="C24" s="796">
        <v>0</v>
      </c>
      <c r="D24" s="796">
        <v>0</v>
      </c>
      <c r="E24" s="796">
        <v>609.99869317155117</v>
      </c>
      <c r="F24" s="796">
        <v>33.97</v>
      </c>
      <c r="G24" s="796">
        <v>57.193427390225168</v>
      </c>
      <c r="H24" s="796">
        <v>701.16212056177631</v>
      </c>
      <c r="I24" s="796">
        <v>0</v>
      </c>
      <c r="J24" s="796">
        <v>1.4784E-2</v>
      </c>
      <c r="K24" s="796">
        <v>0</v>
      </c>
      <c r="L24" s="796">
        <v>0</v>
      </c>
      <c r="M24" s="796">
        <v>-5.6547999999999378E-5</v>
      </c>
      <c r="N24" s="1812">
        <v>1.4727452E-2</v>
      </c>
      <c r="O24" s="772">
        <v>701.17684801377629</v>
      </c>
      <c r="P24" s="776">
        <v>0</v>
      </c>
      <c r="Q24" s="770"/>
      <c r="R24" s="770"/>
      <c r="S24" s="770"/>
    </row>
    <row r="25" spans="1:19" s="1031" customFormat="1" ht="21" customHeight="1">
      <c r="A25" s="405">
        <v>2025</v>
      </c>
      <c r="B25" s="748" t="s">
        <v>239</v>
      </c>
      <c r="C25" s="796">
        <v>0</v>
      </c>
      <c r="D25" s="796">
        <v>0</v>
      </c>
      <c r="E25" s="796">
        <v>644.53654373370853</v>
      </c>
      <c r="F25" s="796">
        <v>33.97</v>
      </c>
      <c r="G25" s="796">
        <v>16.374064928716599</v>
      </c>
      <c r="H25" s="796">
        <v>694.88060866242517</v>
      </c>
      <c r="I25" s="796">
        <v>0</v>
      </c>
      <c r="J25" s="796">
        <v>12.335087039999999</v>
      </c>
      <c r="K25" s="796">
        <v>0</v>
      </c>
      <c r="L25" s="796">
        <v>0</v>
      </c>
      <c r="M25" s="796">
        <v>-2.0058800000001042E-5</v>
      </c>
      <c r="N25" s="1812">
        <v>12.335066981200001</v>
      </c>
      <c r="O25" s="772">
        <v>707.21567564362522</v>
      </c>
      <c r="P25" s="776">
        <v>0</v>
      </c>
      <c r="Q25" s="770"/>
      <c r="R25" s="770"/>
      <c r="S25" s="770"/>
    </row>
    <row r="26" spans="1:19" s="1031" customFormat="1" ht="15" customHeight="1">
      <c r="A26" s="405"/>
      <c r="B26" s="748" t="s">
        <v>240</v>
      </c>
      <c r="C26" s="796">
        <v>0</v>
      </c>
      <c r="D26" s="796">
        <v>0</v>
      </c>
      <c r="E26" s="796">
        <v>655.6459175638746</v>
      </c>
      <c r="F26" s="796">
        <v>34.96</v>
      </c>
      <c r="G26" s="796">
        <v>11.309029259781088</v>
      </c>
      <c r="H26" s="796">
        <v>701.89094682365578</v>
      </c>
      <c r="I26" s="796">
        <v>0</v>
      </c>
      <c r="J26" s="796">
        <v>16.328052535999998</v>
      </c>
      <c r="K26" s="796">
        <v>0</v>
      </c>
      <c r="L26" s="796">
        <v>0</v>
      </c>
      <c r="M26" s="796">
        <v>-6.7163039999996961E-5</v>
      </c>
      <c r="N26" s="1812">
        <v>16.327985372960001</v>
      </c>
      <c r="O26" s="772">
        <v>718.2189321966157</v>
      </c>
      <c r="P26" s="776">
        <v>0</v>
      </c>
      <c r="Q26" s="770"/>
      <c r="R26" s="770"/>
      <c r="S26" s="770"/>
    </row>
    <row r="27" spans="1:19" s="1031" customFormat="1" ht="15" customHeight="1">
      <c r="A27" s="405"/>
      <c r="B27" s="748" t="s">
        <v>237</v>
      </c>
      <c r="C27" s="796">
        <v>0</v>
      </c>
      <c r="D27" s="796">
        <v>0</v>
      </c>
      <c r="E27" s="796">
        <v>614.94625167952313</v>
      </c>
      <c r="F27" s="796">
        <v>35.46</v>
      </c>
      <c r="G27" s="796">
        <v>40.659289700999999</v>
      </c>
      <c r="H27" s="796">
        <v>691.05754138052305</v>
      </c>
      <c r="I27" s="796">
        <v>0</v>
      </c>
      <c r="J27" s="796">
        <v>17.238442399</v>
      </c>
      <c r="K27" s="796">
        <v>0</v>
      </c>
      <c r="L27" s="796">
        <v>0</v>
      </c>
      <c r="M27" s="796">
        <v>0</v>
      </c>
      <c r="N27" s="1812">
        <v>17.238442399</v>
      </c>
      <c r="O27" s="772">
        <v>708.26598377952303</v>
      </c>
      <c r="P27" s="776">
        <v>0</v>
      </c>
      <c r="Q27" s="770"/>
      <c r="R27" s="770"/>
      <c r="S27" s="770"/>
    </row>
    <row r="28" spans="1:19" s="1031" customFormat="1" ht="15" customHeight="1">
      <c r="A28" s="405"/>
      <c r="B28" s="748" t="s">
        <v>238</v>
      </c>
      <c r="C28" s="796">
        <f t="shared" ref="C28:P28" si="1">C36</f>
        <v>0</v>
      </c>
      <c r="D28" s="796">
        <f t="shared" si="1"/>
        <v>0</v>
      </c>
      <c r="E28" s="796">
        <f t="shared" si="1"/>
        <v>627.20535209514389</v>
      </c>
      <c r="F28" s="796">
        <f t="shared" si="1"/>
        <v>58.254999999999995</v>
      </c>
      <c r="G28" s="796">
        <f t="shared" si="1"/>
        <v>9.2454986202366829</v>
      </c>
      <c r="H28" s="796">
        <f t="shared" si="1"/>
        <v>694.70585071538051</v>
      </c>
      <c r="I28" s="796">
        <f t="shared" si="1"/>
        <v>0</v>
      </c>
      <c r="J28" s="796">
        <f t="shared" si="1"/>
        <v>28.118486369999999</v>
      </c>
      <c r="K28" s="796">
        <f t="shared" si="1"/>
        <v>0</v>
      </c>
      <c r="L28" s="796">
        <f t="shared" si="1"/>
        <v>0</v>
      </c>
      <c r="M28" s="796">
        <f t="shared" si="1"/>
        <v>0</v>
      </c>
      <c r="N28" s="1812">
        <f t="shared" si="1"/>
        <v>28.118486369999999</v>
      </c>
      <c r="O28" s="772">
        <f t="shared" si="1"/>
        <v>722.82433708538053</v>
      </c>
      <c r="P28" s="776">
        <f t="shared" si="1"/>
        <v>0</v>
      </c>
      <c r="Q28" s="770"/>
      <c r="R28" s="770"/>
      <c r="S28" s="770"/>
    </row>
    <row r="29" spans="1:19" s="1031" customFormat="1" ht="21" customHeight="1">
      <c r="A29" s="405">
        <v>2026</v>
      </c>
      <c r="B29" s="748" t="s">
        <v>239</v>
      </c>
      <c r="C29" s="796">
        <f t="shared" ref="C29:P29" si="2">C39</f>
        <v>0</v>
      </c>
      <c r="D29" s="796">
        <f t="shared" si="2"/>
        <v>2</v>
      </c>
      <c r="E29" s="796">
        <f t="shared" si="2"/>
        <v>637.03075797615929</v>
      </c>
      <c r="F29" s="796">
        <f t="shared" si="2"/>
        <v>30.41</v>
      </c>
      <c r="G29" s="796">
        <f t="shared" si="2"/>
        <v>9.1587764472646747</v>
      </c>
      <c r="H29" s="796">
        <f t="shared" si="2"/>
        <v>678.57953442342387</v>
      </c>
      <c r="I29" s="796">
        <f t="shared" si="2"/>
        <v>0</v>
      </c>
      <c r="J29" s="796">
        <f t="shared" si="2"/>
        <v>34.175626658999995</v>
      </c>
      <c r="K29" s="796">
        <f t="shared" si="2"/>
        <v>0</v>
      </c>
      <c r="L29" s="796">
        <f t="shared" si="2"/>
        <v>0</v>
      </c>
      <c r="M29" s="796">
        <f t="shared" si="2"/>
        <v>3.1318399999999966E-4</v>
      </c>
      <c r="N29" s="1812">
        <f t="shared" si="2"/>
        <v>34.175939842999995</v>
      </c>
      <c r="O29" s="772">
        <f t="shared" si="2"/>
        <v>712.7554742664239</v>
      </c>
      <c r="P29" s="776">
        <f t="shared" si="2"/>
        <v>0</v>
      </c>
      <c r="Q29" s="770"/>
      <c r="R29" s="770"/>
      <c r="S29" s="770"/>
    </row>
    <row r="30" spans="1:19" s="1031" customFormat="1" ht="15" customHeight="1">
      <c r="A30" s="713"/>
      <c r="B30" s="997" t="s">
        <v>240</v>
      </c>
      <c r="C30" s="1174">
        <f t="shared" ref="C30:P30" si="3">C42</f>
        <v>0</v>
      </c>
      <c r="D30" s="1174">
        <f t="shared" si="3"/>
        <v>1.89</v>
      </c>
      <c r="E30" s="1174">
        <f t="shared" si="3"/>
        <v>645.08750816693032</v>
      </c>
      <c r="F30" s="1174">
        <f t="shared" si="3"/>
        <v>30.85</v>
      </c>
      <c r="G30" s="1174">
        <f t="shared" si="3"/>
        <v>0.90493496541353802</v>
      </c>
      <c r="H30" s="1174">
        <f t="shared" si="3"/>
        <v>678.76244313234383</v>
      </c>
      <c r="I30" s="1174">
        <f t="shared" si="3"/>
        <v>0</v>
      </c>
      <c r="J30" s="1174">
        <f t="shared" si="3"/>
        <v>53.941118635000002</v>
      </c>
      <c r="K30" s="1174">
        <f t="shared" si="3"/>
        <v>0</v>
      </c>
      <c r="L30" s="1174">
        <f t="shared" si="3"/>
        <v>0</v>
      </c>
      <c r="M30" s="1174">
        <f t="shared" si="3"/>
        <v>-2.6693200000003968E-5</v>
      </c>
      <c r="N30" s="1813">
        <f t="shared" si="3"/>
        <v>53.941091941800003</v>
      </c>
      <c r="O30" s="1030">
        <f t="shared" si="3"/>
        <v>732.67353507414373</v>
      </c>
      <c r="P30" s="1026">
        <f t="shared" si="3"/>
        <v>0</v>
      </c>
      <c r="Q30" s="770"/>
      <c r="R30" s="770"/>
      <c r="S30" s="770"/>
    </row>
    <row r="31" spans="1:19" s="321" customFormat="1" ht="21" customHeight="1">
      <c r="A31" s="747">
        <v>2025</v>
      </c>
      <c r="B31" s="748" t="s">
        <v>420</v>
      </c>
      <c r="C31" s="796">
        <v>0</v>
      </c>
      <c r="D31" s="796">
        <v>0</v>
      </c>
      <c r="E31" s="796">
        <v>663.88069516920052</v>
      </c>
      <c r="F31" s="796">
        <v>34.96</v>
      </c>
      <c r="G31" s="796">
        <v>1.2162649540000001</v>
      </c>
      <c r="H31" s="796">
        <v>700.0569601232005</v>
      </c>
      <c r="I31" s="796">
        <v>0</v>
      </c>
      <c r="J31" s="796">
        <v>16.908231820000001</v>
      </c>
      <c r="K31" s="796">
        <v>0</v>
      </c>
      <c r="L31" s="796">
        <v>0</v>
      </c>
      <c r="M31" s="796">
        <v>0</v>
      </c>
      <c r="N31" s="796">
        <v>16.908231820000001</v>
      </c>
      <c r="O31" s="796">
        <v>716.96519194320047</v>
      </c>
      <c r="P31" s="776">
        <v>0</v>
      </c>
      <c r="Q31" s="770"/>
      <c r="R31" s="770"/>
      <c r="S31" s="770"/>
    </row>
    <row r="32" spans="1:19" s="321" customFormat="1" ht="17.25" customHeight="1">
      <c r="A32" s="747"/>
      <c r="B32" s="748" t="s">
        <v>421</v>
      </c>
      <c r="C32" s="796">
        <v>0</v>
      </c>
      <c r="D32" s="796">
        <v>0</v>
      </c>
      <c r="E32" s="796">
        <v>607.80476406136961</v>
      </c>
      <c r="F32" s="796">
        <v>34.96</v>
      </c>
      <c r="G32" s="796">
        <v>41.127007126400351</v>
      </c>
      <c r="H32" s="796">
        <v>683.94177118776997</v>
      </c>
      <c r="I32" s="796">
        <v>0</v>
      </c>
      <c r="J32" s="796">
        <v>17.160431850999998</v>
      </c>
      <c r="K32" s="796">
        <v>0</v>
      </c>
      <c r="L32" s="796">
        <v>0</v>
      </c>
      <c r="M32" s="796">
        <v>0</v>
      </c>
      <c r="N32" s="796">
        <v>17.160431850999998</v>
      </c>
      <c r="O32" s="796">
        <v>701.10220303876997</v>
      </c>
      <c r="P32" s="776">
        <v>0</v>
      </c>
      <c r="Q32" s="770"/>
      <c r="R32" s="770"/>
      <c r="S32" s="770"/>
    </row>
    <row r="33" spans="1:19" s="321" customFormat="1" ht="17.25" customHeight="1">
      <c r="A33" s="747"/>
      <c r="B33" s="748" t="s">
        <v>422</v>
      </c>
      <c r="C33" s="796">
        <v>0</v>
      </c>
      <c r="D33" s="796">
        <v>0</v>
      </c>
      <c r="E33" s="796">
        <v>614.94625167952313</v>
      </c>
      <c r="F33" s="796">
        <v>35.46</v>
      </c>
      <c r="G33" s="796">
        <v>40.659289700999999</v>
      </c>
      <c r="H33" s="796">
        <v>691.05754138052305</v>
      </c>
      <c r="I33" s="796">
        <v>0</v>
      </c>
      <c r="J33" s="796">
        <v>17.238442399</v>
      </c>
      <c r="K33" s="796">
        <v>0</v>
      </c>
      <c r="L33" s="796">
        <v>0</v>
      </c>
      <c r="M33" s="796">
        <v>0</v>
      </c>
      <c r="N33" s="796">
        <v>17.238442399</v>
      </c>
      <c r="O33" s="796">
        <v>708.26598377952303</v>
      </c>
      <c r="P33" s="776">
        <v>0</v>
      </c>
      <c r="Q33" s="770"/>
      <c r="R33" s="770"/>
      <c r="S33" s="770"/>
    </row>
    <row r="34" spans="1:19" s="321" customFormat="1" ht="17.25" customHeight="1">
      <c r="A34" s="747"/>
      <c r="B34" s="748" t="s">
        <v>411</v>
      </c>
      <c r="C34" s="796">
        <v>0</v>
      </c>
      <c r="D34" s="796">
        <v>1.2</v>
      </c>
      <c r="E34" s="796">
        <v>624.23723256221831</v>
      </c>
      <c r="F34" s="796">
        <v>35.46</v>
      </c>
      <c r="G34" s="796">
        <v>33.923688595000002</v>
      </c>
      <c r="H34" s="796">
        <v>694.82092115721821</v>
      </c>
      <c r="I34" s="796">
        <v>0</v>
      </c>
      <c r="J34" s="796">
        <v>17.238442399</v>
      </c>
      <c r="K34" s="796">
        <v>0</v>
      </c>
      <c r="L34" s="796">
        <v>0</v>
      </c>
      <c r="M34" s="796">
        <v>0</v>
      </c>
      <c r="N34" s="796">
        <v>17.238442399</v>
      </c>
      <c r="O34" s="796">
        <v>712.03936355621806</v>
      </c>
      <c r="P34" s="776">
        <v>0</v>
      </c>
      <c r="Q34" s="770"/>
      <c r="R34" s="770"/>
      <c r="S34" s="770"/>
    </row>
    <row r="35" spans="1:19" s="321" customFormat="1" ht="17.25" customHeight="1">
      <c r="A35" s="747"/>
      <c r="B35" s="748" t="s">
        <v>412</v>
      </c>
      <c r="C35" s="796">
        <v>0</v>
      </c>
      <c r="D35" s="796">
        <v>1.5</v>
      </c>
      <c r="E35" s="796">
        <v>618.0256362851062</v>
      </c>
      <c r="F35" s="796">
        <v>63.755000000000003</v>
      </c>
      <c r="G35" s="796">
        <v>13.813532641340947</v>
      </c>
      <c r="H35" s="796">
        <v>697.07416892644699</v>
      </c>
      <c r="I35" s="796">
        <v>0</v>
      </c>
      <c r="J35" s="796">
        <v>17.518451827999996</v>
      </c>
      <c r="K35" s="796">
        <v>0</v>
      </c>
      <c r="L35" s="796">
        <v>0</v>
      </c>
      <c r="M35" s="796">
        <v>-2.0058800000001042E-5</v>
      </c>
      <c r="N35" s="796">
        <v>17.518431769199996</v>
      </c>
      <c r="O35" s="796">
        <v>714.59260069564698</v>
      </c>
      <c r="P35" s="776">
        <v>0</v>
      </c>
      <c r="Q35" s="770"/>
      <c r="R35" s="770"/>
      <c r="S35" s="770"/>
    </row>
    <row r="36" spans="1:19" s="321" customFormat="1" ht="17.25" customHeight="1">
      <c r="A36" s="747"/>
      <c r="B36" s="748" t="s">
        <v>413</v>
      </c>
      <c r="C36" s="796">
        <v>0</v>
      </c>
      <c r="D36" s="796">
        <v>0</v>
      </c>
      <c r="E36" s="796">
        <v>627.20535209514389</v>
      </c>
      <c r="F36" s="796">
        <v>58.254999999999995</v>
      </c>
      <c r="G36" s="796">
        <v>9.2454986202366829</v>
      </c>
      <c r="H36" s="796">
        <v>694.70585071538051</v>
      </c>
      <c r="I36" s="796">
        <v>0</v>
      </c>
      <c r="J36" s="796">
        <v>28.118486369999999</v>
      </c>
      <c r="K36" s="796">
        <v>0</v>
      </c>
      <c r="L36" s="796">
        <v>0</v>
      </c>
      <c r="M36" s="796">
        <v>0</v>
      </c>
      <c r="N36" s="796">
        <v>28.118486369999999</v>
      </c>
      <c r="O36" s="796">
        <v>722.82433708538053</v>
      </c>
      <c r="P36" s="776">
        <v>0</v>
      </c>
      <c r="Q36" s="770"/>
      <c r="R36" s="770"/>
      <c r="S36" s="770"/>
    </row>
    <row r="37" spans="1:19" s="321" customFormat="1" ht="21" customHeight="1">
      <c r="A37" s="747">
        <v>2026</v>
      </c>
      <c r="B37" s="748" t="s">
        <v>414</v>
      </c>
      <c r="C37" s="796">
        <v>0</v>
      </c>
      <c r="D37" s="796">
        <v>2</v>
      </c>
      <c r="E37" s="796">
        <v>633.87959636958658</v>
      </c>
      <c r="F37" s="796">
        <v>58.244999999999997</v>
      </c>
      <c r="G37" s="796">
        <v>0.76319654516400315</v>
      </c>
      <c r="H37" s="796">
        <v>694.94779291475038</v>
      </c>
      <c r="I37" s="796">
        <v>0</v>
      </c>
      <c r="J37" s="796">
        <v>29.427678879999998</v>
      </c>
      <c r="K37" s="796">
        <v>0</v>
      </c>
      <c r="L37" s="796">
        <v>0</v>
      </c>
      <c r="M37" s="796">
        <v>-3.001040000000188E-5</v>
      </c>
      <c r="N37" s="796">
        <v>29.427648869599999</v>
      </c>
      <c r="O37" s="796">
        <v>724.34544178435044</v>
      </c>
      <c r="P37" s="776">
        <v>0</v>
      </c>
      <c r="Q37" s="770"/>
      <c r="R37" s="770"/>
      <c r="S37" s="770"/>
    </row>
    <row r="38" spans="1:19" s="321" customFormat="1" ht="17.25" customHeight="1">
      <c r="A38" s="747"/>
      <c r="B38" s="748" t="s">
        <v>415</v>
      </c>
      <c r="C38" s="796">
        <v>0</v>
      </c>
      <c r="D38" s="796">
        <v>1.89</v>
      </c>
      <c r="E38" s="796">
        <v>639.57082698483703</v>
      </c>
      <c r="F38" s="796">
        <v>58.254999999999995</v>
      </c>
      <c r="G38" s="796">
        <v>1.5494387425763723</v>
      </c>
      <c r="H38" s="796">
        <v>701.31526572741336</v>
      </c>
      <c r="I38" s="796">
        <v>0</v>
      </c>
      <c r="J38" s="796">
        <v>40.603509176000003</v>
      </c>
      <c r="K38" s="796">
        <v>0</v>
      </c>
      <c r="L38" s="796">
        <v>0</v>
      </c>
      <c r="M38" s="796">
        <v>-3.001040000000188E-5</v>
      </c>
      <c r="N38" s="796">
        <v>40.6034791656</v>
      </c>
      <c r="O38" s="796">
        <v>741.91874489301347</v>
      </c>
      <c r="P38" s="776">
        <v>0</v>
      </c>
      <c r="Q38" s="770"/>
      <c r="R38" s="770"/>
      <c r="S38" s="770"/>
    </row>
    <row r="39" spans="1:19" s="321" customFormat="1" ht="17.25" customHeight="1">
      <c r="A39" s="747"/>
      <c r="B39" s="748" t="s">
        <v>416</v>
      </c>
      <c r="C39" s="796">
        <v>0</v>
      </c>
      <c r="D39" s="796">
        <v>2</v>
      </c>
      <c r="E39" s="796">
        <v>637.03075797615929</v>
      </c>
      <c r="F39" s="796">
        <v>30.41</v>
      </c>
      <c r="G39" s="796">
        <v>9.1587764472646747</v>
      </c>
      <c r="H39" s="796">
        <v>678.57953442342387</v>
      </c>
      <c r="I39" s="796">
        <v>0</v>
      </c>
      <c r="J39" s="796">
        <v>34.175626658999995</v>
      </c>
      <c r="K39" s="796">
        <v>0</v>
      </c>
      <c r="L39" s="796">
        <v>0</v>
      </c>
      <c r="M39" s="796">
        <v>3.1318399999999966E-4</v>
      </c>
      <c r="N39" s="796">
        <v>34.175939842999995</v>
      </c>
      <c r="O39" s="796">
        <v>712.7554742664239</v>
      </c>
      <c r="P39" s="776">
        <v>0</v>
      </c>
      <c r="Q39" s="770"/>
      <c r="R39" s="770"/>
      <c r="S39" s="770"/>
    </row>
    <row r="40" spans="1:19" s="321" customFormat="1" ht="17.25" customHeight="1">
      <c r="A40" s="747"/>
      <c r="B40" s="748" t="s">
        <v>417</v>
      </c>
      <c r="C40" s="796">
        <v>0</v>
      </c>
      <c r="D40" s="796">
        <v>3.5</v>
      </c>
      <c r="E40" s="796">
        <v>643.16742483822259</v>
      </c>
      <c r="F40" s="796">
        <v>30.41</v>
      </c>
      <c r="G40" s="796">
        <v>1.0222328684964346</v>
      </c>
      <c r="H40" s="796">
        <v>678.09965770671897</v>
      </c>
      <c r="I40" s="796">
        <v>0</v>
      </c>
      <c r="J40" s="796">
        <v>54.179177780000003</v>
      </c>
      <c r="K40" s="796">
        <v>0</v>
      </c>
      <c r="L40" s="796">
        <v>0</v>
      </c>
      <c r="M40" s="796">
        <v>-1.2289200000000023E-4</v>
      </c>
      <c r="N40" s="796">
        <v>54.179054888000003</v>
      </c>
      <c r="O40" s="796">
        <v>732.27871259471908</v>
      </c>
      <c r="P40" s="776">
        <v>0</v>
      </c>
      <c r="Q40" s="770"/>
      <c r="R40" s="770"/>
      <c r="S40" s="770"/>
    </row>
    <row r="41" spans="1:19" s="321" customFormat="1" ht="17.25" customHeight="1">
      <c r="A41" s="747"/>
      <c r="B41" s="748" t="s">
        <v>418</v>
      </c>
      <c r="C41" s="796">
        <v>0</v>
      </c>
      <c r="D41" s="796">
        <v>3.5</v>
      </c>
      <c r="E41" s="796">
        <v>652.06007008776623</v>
      </c>
      <c r="F41" s="796">
        <v>30.41</v>
      </c>
      <c r="G41" s="796">
        <v>1.4135739757611698</v>
      </c>
      <c r="H41" s="796">
        <v>687.35364406352755</v>
      </c>
      <c r="I41" s="796">
        <v>0</v>
      </c>
      <c r="J41" s="796">
        <v>53.847972794</v>
      </c>
      <c r="K41" s="796">
        <v>0</v>
      </c>
      <c r="L41" s="796">
        <v>0</v>
      </c>
      <c r="M41" s="796">
        <v>-2.6693200000003968E-5</v>
      </c>
      <c r="N41" s="796">
        <v>53.847946100800002</v>
      </c>
      <c r="O41" s="796">
        <v>741.20159016432751</v>
      </c>
      <c r="P41" s="776">
        <v>0</v>
      </c>
      <c r="Q41" s="770"/>
      <c r="R41" s="770"/>
      <c r="S41" s="770"/>
    </row>
    <row r="42" spans="1:19" s="321" customFormat="1" ht="17.25" customHeight="1">
      <c r="A42" s="747"/>
      <c r="B42" s="748" t="s">
        <v>419</v>
      </c>
      <c r="C42" s="796">
        <v>0</v>
      </c>
      <c r="D42" s="796">
        <v>1.89</v>
      </c>
      <c r="E42" s="796">
        <v>645.08750816693032</v>
      </c>
      <c r="F42" s="796">
        <v>30.85</v>
      </c>
      <c r="G42" s="796">
        <v>0.90493496541353802</v>
      </c>
      <c r="H42" s="796">
        <v>678.76244313234383</v>
      </c>
      <c r="I42" s="796">
        <v>0</v>
      </c>
      <c r="J42" s="796">
        <v>53.941118635000002</v>
      </c>
      <c r="K42" s="796">
        <v>0</v>
      </c>
      <c r="L42" s="796">
        <v>0</v>
      </c>
      <c r="M42" s="796">
        <v>-2.6693200000003968E-5</v>
      </c>
      <c r="N42" s="796">
        <v>53.941091941800003</v>
      </c>
      <c r="O42" s="796">
        <v>732.67353507414373</v>
      </c>
      <c r="P42" s="776">
        <v>0</v>
      </c>
      <c r="Q42" s="770"/>
      <c r="R42" s="770"/>
      <c r="S42" s="770"/>
    </row>
    <row r="43" spans="1:19" s="321" customFormat="1" ht="17.25" customHeight="1">
      <c r="A43" s="747"/>
      <c r="B43" s="748" t="s">
        <v>420</v>
      </c>
      <c r="C43" s="796">
        <v>0</v>
      </c>
      <c r="D43" s="796">
        <v>1.89</v>
      </c>
      <c r="E43" s="796">
        <v>652.94491768214061</v>
      </c>
      <c r="F43" s="796">
        <v>30.85</v>
      </c>
      <c r="G43" s="796">
        <v>0.89589932151578888</v>
      </c>
      <c r="H43" s="796">
        <v>686.58081700365653</v>
      </c>
      <c r="I43" s="796">
        <v>0</v>
      </c>
      <c r="J43" s="796">
        <v>53.489939351000004</v>
      </c>
      <c r="K43" s="796">
        <v>0</v>
      </c>
      <c r="L43" s="796">
        <v>0</v>
      </c>
      <c r="M43" s="796">
        <v>-3.7308240000001544E-5</v>
      </c>
      <c r="N43" s="796">
        <v>53.489902042760008</v>
      </c>
      <c r="O43" s="796">
        <v>740.07071904641646</v>
      </c>
      <c r="P43" s="776">
        <v>0</v>
      </c>
      <c r="Q43" s="770"/>
      <c r="R43" s="770"/>
      <c r="S43" s="770"/>
    </row>
    <row r="44" spans="1:19" ht="19.5" customHeight="1">
      <c r="A44" s="380" t="s">
        <v>1003</v>
      </c>
      <c r="B44" s="1410"/>
      <c r="C44" s="1410"/>
      <c r="D44" s="1410"/>
      <c r="E44" s="1410"/>
      <c r="F44" s="220"/>
      <c r="G44" s="220"/>
      <c r="H44" s="1814"/>
      <c r="I44" s="220"/>
      <c r="J44" s="220"/>
      <c r="K44" s="220"/>
      <c r="L44" s="220"/>
      <c r="M44" s="220"/>
      <c r="N44" s="220"/>
      <c r="O44" s="726"/>
      <c r="P44" s="1728" t="s">
        <v>1004</v>
      </c>
    </row>
    <row r="45" spans="1:19">
      <c r="A45" s="381" t="s">
        <v>1005</v>
      </c>
      <c r="F45" s="25"/>
      <c r="O45" s="1729"/>
      <c r="P45" s="1729" t="s">
        <v>1006</v>
      </c>
    </row>
    <row r="46" spans="1:19">
      <c r="A46" s="381" t="s">
        <v>1007</v>
      </c>
      <c r="O46" s="1729"/>
      <c r="P46" s="1729" t="s">
        <v>1008</v>
      </c>
    </row>
    <row r="47" spans="1:19">
      <c r="A47" s="25" t="s">
        <v>1009</v>
      </c>
      <c r="P47" s="736" t="s">
        <v>1010</v>
      </c>
    </row>
    <row r="49" spans="1:16">
      <c r="A49" s="382" t="s">
        <v>1011</v>
      </c>
      <c r="B49" s="1414"/>
      <c r="C49" s="1414"/>
      <c r="D49" s="1414"/>
      <c r="E49" s="1414"/>
      <c r="F49" s="1414"/>
      <c r="G49" s="1414"/>
      <c r="H49" s="1414"/>
      <c r="I49" s="1414"/>
      <c r="J49" s="1414"/>
      <c r="K49" s="1414"/>
      <c r="L49" s="1414"/>
      <c r="M49" s="1414"/>
      <c r="N49" s="1414"/>
      <c r="O49" s="1414"/>
      <c r="P49" s="1414"/>
    </row>
  </sheetData>
  <printOptions horizontalCentered="1" verticalCentered="1"/>
  <pageMargins left="0" right="0" top="0" bottom="0" header="0.5" footer="0.5"/>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121"/>
  <sheetViews>
    <sheetView zoomScale="90" zoomScaleNormal="90" workbookViewId="0">
      <selection activeCell="B2" sqref="B2"/>
    </sheetView>
  </sheetViews>
  <sheetFormatPr defaultColWidth="9.21875" defaultRowHeight="13.2"/>
  <cols>
    <col min="1" max="1" width="63.77734375" style="381" customWidth="1"/>
    <col min="2" max="6" width="10.77734375" style="381" customWidth="1"/>
    <col min="7" max="7" width="60.77734375" style="381" customWidth="1"/>
    <col min="8" max="16384" width="9.21875" style="381"/>
  </cols>
  <sheetData>
    <row r="1" spans="1:7" s="1312" customFormat="1" ht="20.25" customHeight="1">
      <c r="A1" s="1310" t="s">
        <v>228</v>
      </c>
      <c r="B1" s="1311"/>
      <c r="C1" s="1311"/>
      <c r="D1" s="1311"/>
      <c r="E1" s="1311"/>
      <c r="F1" s="1311"/>
      <c r="G1" s="1311"/>
    </row>
    <row r="2" spans="1:7" s="1312" customFormat="1" ht="17.399999999999999">
      <c r="A2" s="1313" t="s">
        <v>229</v>
      </c>
      <c r="B2" s="1311"/>
      <c r="C2" s="1311"/>
      <c r="D2" s="1311"/>
      <c r="E2" s="1311"/>
      <c r="F2" s="1311"/>
      <c r="G2" s="1311"/>
    </row>
    <row r="4" spans="1:7" s="1312" customFormat="1" ht="18" customHeight="1">
      <c r="A4" s="1314" t="s">
        <v>230</v>
      </c>
      <c r="B4" s="1315">
        <v>2025</v>
      </c>
      <c r="C4" s="1315"/>
      <c r="D4" s="1315"/>
      <c r="E4" s="1315">
        <v>2026</v>
      </c>
      <c r="F4" s="1315"/>
      <c r="G4" s="1316" t="s">
        <v>231</v>
      </c>
    </row>
    <row r="5" spans="1:7" s="1320" customFormat="1" ht="14.85" customHeight="1">
      <c r="A5" s="1317"/>
      <c r="B5" s="1318" t="s">
        <v>232</v>
      </c>
      <c r="C5" s="1318" t="s">
        <v>232</v>
      </c>
      <c r="D5" s="1318" t="s">
        <v>232</v>
      </c>
      <c r="E5" s="1318" t="s">
        <v>232</v>
      </c>
      <c r="F5" s="1318" t="s">
        <v>232</v>
      </c>
      <c r="G5" s="1319"/>
    </row>
    <row r="6" spans="1:7" s="1320" customFormat="1" ht="14.85" customHeight="1">
      <c r="A6" s="1317"/>
      <c r="B6" s="1321" t="s">
        <v>236</v>
      </c>
      <c r="C6" s="1321" t="s">
        <v>233</v>
      </c>
      <c r="D6" s="1321" t="s">
        <v>234</v>
      </c>
      <c r="E6" s="1321" t="s">
        <v>235</v>
      </c>
      <c r="F6" s="1321" t="s">
        <v>236</v>
      </c>
      <c r="G6" s="1319"/>
    </row>
    <row r="7" spans="1:7" s="1312" customFormat="1" ht="14.85" customHeight="1">
      <c r="A7" s="1322"/>
      <c r="B7" s="1323" t="s">
        <v>240</v>
      </c>
      <c r="C7" s="1323" t="s">
        <v>237</v>
      </c>
      <c r="D7" s="1323" t="s">
        <v>238</v>
      </c>
      <c r="E7" s="1323" t="s">
        <v>239</v>
      </c>
      <c r="F7" s="1323" t="s">
        <v>240</v>
      </c>
      <c r="G7" s="1324"/>
    </row>
    <row r="8" spans="1:7" ht="20.25" customHeight="1">
      <c r="A8" s="1325" t="s">
        <v>241</v>
      </c>
      <c r="B8" s="1326"/>
      <c r="C8" s="1326"/>
      <c r="D8" s="1326"/>
      <c r="E8" s="1326"/>
      <c r="F8" s="1326"/>
      <c r="G8" s="1327" t="s">
        <v>242</v>
      </c>
    </row>
    <row r="9" spans="1:7" ht="14.25" customHeight="1">
      <c r="A9" s="1328" t="s">
        <v>243</v>
      </c>
      <c r="B9" s="665">
        <v>6820.5</v>
      </c>
      <c r="C9" s="665">
        <f>'1'!$H$33</f>
        <v>6135.7</v>
      </c>
      <c r="D9" s="665">
        <f>'1'!$H$36</f>
        <v>6334.5</v>
      </c>
      <c r="E9" s="665">
        <f>'1'!$H$39</f>
        <v>7453.7000000000007</v>
      </c>
      <c r="F9" s="665">
        <f>'1'!$H$42</f>
        <v>6683.5</v>
      </c>
      <c r="G9" s="1329" t="s">
        <v>244</v>
      </c>
    </row>
    <row r="10" spans="1:7" ht="20.25" customHeight="1">
      <c r="A10" s="1330" t="s">
        <v>245</v>
      </c>
      <c r="B10" s="769"/>
      <c r="C10" s="769"/>
      <c r="D10" s="769"/>
      <c r="E10" s="769"/>
      <c r="F10" s="769"/>
      <c r="G10" s="1331" t="s">
        <v>246</v>
      </c>
    </row>
    <row r="11" spans="1:7" ht="14.25" customHeight="1">
      <c r="A11" s="1332" t="s">
        <v>247</v>
      </c>
      <c r="B11" s="665">
        <v>2917.1000000000004</v>
      </c>
      <c r="C11" s="665">
        <f>'3'!$H$33</f>
        <v>2798</v>
      </c>
      <c r="D11" s="665">
        <f>'3'!$H$36</f>
        <v>2855.4</v>
      </c>
      <c r="E11" s="665">
        <f>'3'!$H$39</f>
        <v>3102.8</v>
      </c>
      <c r="F11" s="665">
        <f>'3'!$H$42</f>
        <v>3144.6</v>
      </c>
      <c r="G11" s="1329" t="s">
        <v>248</v>
      </c>
    </row>
    <row r="12" spans="1:7" ht="14.25" customHeight="1">
      <c r="A12" s="1328" t="s">
        <v>249</v>
      </c>
      <c r="B12" s="665">
        <v>-1.1018443178736099</v>
      </c>
      <c r="C12" s="665">
        <f>(C11-B11)/B11%</f>
        <v>-4.0828219807343027</v>
      </c>
      <c r="D12" s="665">
        <f>(D11-C11)/C11%</f>
        <v>2.0514653323802747</v>
      </c>
      <c r="E12" s="665">
        <f>(E11-D11)/D11%</f>
        <v>8.6642852139805306</v>
      </c>
      <c r="F12" s="665">
        <f>(F11-E11)/E11%</f>
        <v>1.3471702977955307</v>
      </c>
      <c r="G12" s="1333" t="s">
        <v>1726</v>
      </c>
    </row>
    <row r="13" spans="1:7" ht="14.25" customHeight="1">
      <c r="A13" s="1332" t="s">
        <v>250</v>
      </c>
      <c r="B13" s="665">
        <v>14083</v>
      </c>
      <c r="C13" s="665">
        <f>'3'!$I$33</f>
        <v>14037.1</v>
      </c>
      <c r="D13" s="665">
        <f>'3'!$I$36</f>
        <v>14437.2</v>
      </c>
      <c r="E13" s="665">
        <f>'3'!$I$39</f>
        <v>14620</v>
      </c>
      <c r="F13" s="665">
        <f>'3'!$I$42</f>
        <v>15383.300000000001</v>
      </c>
      <c r="G13" s="1329" t="s">
        <v>251</v>
      </c>
    </row>
    <row r="14" spans="1:7" ht="14.25" customHeight="1">
      <c r="A14" s="1328" t="s">
        <v>249</v>
      </c>
      <c r="B14" s="665">
        <v>0.16287224130695824</v>
      </c>
      <c r="C14" s="665">
        <f>(C13-B13)/B13%</f>
        <v>-0.32592487396151126</v>
      </c>
      <c r="D14" s="665">
        <f>(D13-C13)/C13%</f>
        <v>2.850303837687274</v>
      </c>
      <c r="E14" s="665">
        <f>(E13-D13)/D13%</f>
        <v>1.2661734962458042</v>
      </c>
      <c r="F14" s="665">
        <f>(F13-E13)/E13%</f>
        <v>5.220930232558147</v>
      </c>
      <c r="G14" s="1334" t="s">
        <v>1726</v>
      </c>
    </row>
    <row r="15" spans="1:7" ht="14.25" customHeight="1">
      <c r="A15" s="1328" t="s">
        <v>252</v>
      </c>
      <c r="B15" s="665">
        <v>87.750015577294533</v>
      </c>
      <c r="C15" s="665">
        <f>C13/16049*100</f>
        <v>87.464016449623031</v>
      </c>
      <c r="D15" s="665">
        <f>D13/16049*100</f>
        <v>89.957006667082055</v>
      </c>
      <c r="E15" s="665">
        <f>E13/16049*100</f>
        <v>91.096018443516741</v>
      </c>
      <c r="F15" s="665">
        <f>F13/16049*100</f>
        <v>95.852078011091038</v>
      </c>
      <c r="G15" s="1335" t="s">
        <v>253</v>
      </c>
    </row>
    <row r="16" spans="1:7" ht="14.25" customHeight="1">
      <c r="A16" s="1332" t="s">
        <v>254</v>
      </c>
      <c r="B16" s="665">
        <v>16466.599999999999</v>
      </c>
      <c r="C16" s="665">
        <f>'3'!$J$33</f>
        <v>16237.1</v>
      </c>
      <c r="D16" s="665">
        <f>'3'!$J$36</f>
        <v>16548.5</v>
      </c>
      <c r="E16" s="665">
        <f>'3'!$J$39</f>
        <v>17338.900000000001</v>
      </c>
      <c r="F16" s="665">
        <f>'3'!$J$42</f>
        <v>18113</v>
      </c>
      <c r="G16" s="1329" t="s">
        <v>255</v>
      </c>
    </row>
    <row r="17" spans="1:7" ht="14.25" customHeight="1">
      <c r="A17" s="1328" t="s">
        <v>249</v>
      </c>
      <c r="B17" s="665">
        <v>-0.32013727959056637</v>
      </c>
      <c r="C17" s="665">
        <f>(C16-B16)/B16%</f>
        <v>-1.3937303389892157</v>
      </c>
      <c r="D17" s="665">
        <f>(D16-C16)/C16%</f>
        <v>1.9178301543994902</v>
      </c>
      <c r="E17" s="665">
        <f>(E16-D16)/D16%</f>
        <v>4.7762637097017944</v>
      </c>
      <c r="F17" s="665">
        <f>(F16-E16)/E16%</f>
        <v>4.4645277382071438</v>
      </c>
      <c r="G17" s="1334" t="s">
        <v>1726</v>
      </c>
    </row>
    <row r="18" spans="1:7" ht="20.25" customHeight="1">
      <c r="A18" s="1330" t="s">
        <v>256</v>
      </c>
      <c r="B18" s="769"/>
      <c r="C18" s="769"/>
      <c r="D18" s="769"/>
      <c r="E18" s="769"/>
      <c r="F18" s="769"/>
      <c r="G18" s="1331" t="s">
        <v>257</v>
      </c>
    </row>
    <row r="19" spans="1:7" ht="14.25" customHeight="1">
      <c r="A19" s="1332" t="s">
        <v>258</v>
      </c>
      <c r="B19" s="665">
        <v>252348.04680851064</v>
      </c>
      <c r="C19" s="665">
        <f>'13'!$I$33</f>
        <v>256418.91276595744</v>
      </c>
      <c r="D19" s="665">
        <f>'13'!$I$36</f>
        <v>254454.67659574468</v>
      </c>
      <c r="E19" s="665">
        <f>'13'!$I$39</f>
        <v>256878.88723404257</v>
      </c>
      <c r="F19" s="665">
        <f>'13'!$I$42</f>
        <v>250570.12340425531</v>
      </c>
      <c r="G19" s="1329" t="s">
        <v>259</v>
      </c>
    </row>
    <row r="20" spans="1:7" ht="14.25" customHeight="1">
      <c r="A20" s="1328" t="s">
        <v>252</v>
      </c>
      <c r="B20" s="665">
        <v>591.206099786594</v>
      </c>
      <c r="C20" s="665">
        <f>C19/42683.6*100</f>
        <v>600.74340675565668</v>
      </c>
      <c r="D20" s="665">
        <f>D19/42683.6*100</f>
        <v>596.14155459179801</v>
      </c>
      <c r="E20" s="665">
        <f>E19/42683.6*100</f>
        <v>601.82104422785937</v>
      </c>
      <c r="F20" s="665">
        <f>F19/42683.6*100</f>
        <v>587.04074493307803</v>
      </c>
      <c r="G20" s="1335" t="s">
        <v>253</v>
      </c>
    </row>
    <row r="21" spans="1:7" ht="14.25" customHeight="1">
      <c r="A21" s="1332" t="s">
        <v>260</v>
      </c>
      <c r="B21" s="665">
        <v>115832.35730620612</v>
      </c>
      <c r="C21" s="665">
        <f>ROUND('14'!$L$33,1)/0.376</f>
        <v>117182.71276595743</v>
      </c>
      <c r="D21" s="665">
        <f>ROUND('14'!$L$36,1)/0.376</f>
        <v>119683.77659574468</v>
      </c>
      <c r="E21" s="665">
        <f>ROUND('14'!$L$39,1)/0.376</f>
        <v>124567.28723404257</v>
      </c>
      <c r="F21" s="665">
        <f>ROUND('14'!$L$42,1)/0.376</f>
        <v>124391.22340425532</v>
      </c>
      <c r="G21" s="1329" t="s">
        <v>261</v>
      </c>
    </row>
    <row r="22" spans="1:7" ht="14.25" customHeight="1">
      <c r="A22" s="1328" t="s">
        <v>252</v>
      </c>
      <c r="B22" s="665">
        <v>271.37438572708515</v>
      </c>
      <c r="C22" s="665">
        <f>C21/42683.6*100</f>
        <v>274.53802576623679</v>
      </c>
      <c r="D22" s="665">
        <f>D21/42683.6*100</f>
        <v>280.39756861123402</v>
      </c>
      <c r="E22" s="665">
        <f>E21/42683.6*100</f>
        <v>291.8387559485202</v>
      </c>
      <c r="F22" s="665">
        <f>F21/42683.6*100</f>
        <v>291.42627005279621</v>
      </c>
      <c r="G22" s="1335" t="s">
        <v>253</v>
      </c>
    </row>
    <row r="23" spans="1:7" ht="14.25" customHeight="1">
      <c r="A23" s="1332" t="s">
        <v>262</v>
      </c>
      <c r="B23" s="665">
        <v>136515.61440102605</v>
      </c>
      <c r="C23" s="665">
        <f>'28'!$N$33</f>
        <v>139236.24253638773</v>
      </c>
      <c r="D23" s="665">
        <f>'28'!$N$36</f>
        <v>134770.88699173043</v>
      </c>
      <c r="E23" s="665">
        <f>'28'!$N$39</f>
        <v>132311.6076995756</v>
      </c>
      <c r="F23" s="665">
        <f>'28'!$N$42</f>
        <v>126178.91031688519</v>
      </c>
      <c r="G23" s="1329" t="s">
        <v>263</v>
      </c>
    </row>
    <row r="24" spans="1:7" ht="14.25" customHeight="1">
      <c r="A24" s="1328" t="s">
        <v>252</v>
      </c>
      <c r="B24" s="665">
        <v>319.83153811071713</v>
      </c>
      <c r="C24" s="665">
        <f>C23/42683.6*100</f>
        <v>326.20548064452794</v>
      </c>
      <c r="D24" s="665">
        <f>D23/42683.6*100</f>
        <v>315.74395550452732</v>
      </c>
      <c r="E24" s="665">
        <f>E23/42683.6*100</f>
        <v>309.98230631806035</v>
      </c>
      <c r="F24" s="665">
        <f>F23/42683.6*100</f>
        <v>295.61449905088881</v>
      </c>
      <c r="G24" s="1335" t="s">
        <v>253</v>
      </c>
    </row>
    <row r="25" spans="1:7" ht="14.25" customHeight="1">
      <c r="A25" s="1332" t="s">
        <v>264</v>
      </c>
      <c r="B25" s="665">
        <v>64470.311352506018</v>
      </c>
      <c r="C25" s="665">
        <f>'32'!$O$33</f>
        <v>66539.563279820111</v>
      </c>
      <c r="D25" s="665">
        <f>'32'!$O$36</f>
        <v>67060.904324741496</v>
      </c>
      <c r="E25" s="665">
        <f>'32'!$O$39</f>
        <v>69254.104343225408</v>
      </c>
      <c r="F25" s="665">
        <f>'32'!$O$42</f>
        <v>68952.909012050601</v>
      </c>
      <c r="G25" s="1329" t="s">
        <v>265</v>
      </c>
    </row>
    <row r="26" spans="1:7" ht="14.25" customHeight="1">
      <c r="A26" s="1328" t="s">
        <v>252</v>
      </c>
      <c r="B26" s="665">
        <v>151.04234730085096</v>
      </c>
      <c r="C26" s="665">
        <f>C25/42683.6*100</f>
        <v>155.89023250105453</v>
      </c>
      <c r="D26" s="665">
        <f>D25/42683.6*100</f>
        <v>157.11164082865901</v>
      </c>
      <c r="E26" s="665">
        <f>E25/42683.6*100</f>
        <v>162.24991411976828</v>
      </c>
      <c r="F26" s="665">
        <f>F25/42683.6*100</f>
        <v>161.54426761578358</v>
      </c>
      <c r="G26" s="1335" t="s">
        <v>253</v>
      </c>
    </row>
    <row r="27" spans="1:7" ht="14.25" customHeight="1">
      <c r="A27" s="1332" t="s">
        <v>266</v>
      </c>
      <c r="B27" s="665">
        <v>96226.619148936166</v>
      </c>
      <c r="C27" s="665">
        <f>'13'!$G$33</f>
        <v>96391.734042553187</v>
      </c>
      <c r="D27" s="665">
        <f>'13'!$G$36</f>
        <v>98595.051063829786</v>
      </c>
      <c r="E27" s="665">
        <f>'13'!$G$39</f>
        <v>103476.00638297873</v>
      </c>
      <c r="F27" s="665">
        <f>'13'!$G$42</f>
        <v>102740.72127659575</v>
      </c>
      <c r="G27" s="1329" t="s">
        <v>267</v>
      </c>
    </row>
    <row r="28" spans="1:7" ht="14.25" customHeight="1">
      <c r="A28" s="1328" t="s">
        <v>252</v>
      </c>
      <c r="B28" s="665">
        <v>225.44166646893927</v>
      </c>
      <c r="C28" s="665">
        <f>C27/42683.6*100</f>
        <v>225.82850097590921</v>
      </c>
      <c r="D28" s="665">
        <f>D27/42683.6*100</f>
        <v>230.99047658545621</v>
      </c>
      <c r="E28" s="665">
        <f>E27/42683.6*100</f>
        <v>242.42567726944006</v>
      </c>
      <c r="F28" s="665">
        <f>F27/42683.6*100</f>
        <v>240.70303647442051</v>
      </c>
      <c r="G28" s="1335" t="s">
        <v>253</v>
      </c>
    </row>
    <row r="29" spans="1:7" ht="14.25" customHeight="1">
      <c r="A29" s="1336" t="s">
        <v>268</v>
      </c>
      <c r="B29" s="665">
        <v>177026.82765957445</v>
      </c>
      <c r="C29" s="665">
        <f>'13'!$O$33</f>
        <v>181642.96382978722</v>
      </c>
      <c r="D29" s="665">
        <f>'13'!$O$36</f>
        <v>178817.51702127658</v>
      </c>
      <c r="E29" s="665">
        <f>'13'!$O$39</f>
        <v>178394.44680851063</v>
      </c>
      <c r="F29" s="665">
        <f>'13'!$O$42</f>
        <v>169260.88297872341</v>
      </c>
      <c r="G29" s="1329" t="s">
        <v>269</v>
      </c>
    </row>
    <row r="30" spans="1:7" ht="14.25" customHeight="1">
      <c r="A30" s="1337" t="s">
        <v>270</v>
      </c>
      <c r="B30" s="665">
        <v>70.151851737496415</v>
      </c>
      <c r="C30" s="665">
        <f>(C29/C19)*100</f>
        <v>70.838364405506681</v>
      </c>
      <c r="D30" s="665">
        <f>(D29/D19)*100</f>
        <v>70.274800767512019</v>
      </c>
      <c r="E30" s="665">
        <f>(E29/E19)*100</f>
        <v>69.446908903017516</v>
      </c>
      <c r="F30" s="665">
        <f>(F29/F19)*100</f>
        <v>67.550305151762942</v>
      </c>
      <c r="G30" s="1335" t="s">
        <v>271</v>
      </c>
    </row>
    <row r="31" spans="1:7" ht="14.25" customHeight="1">
      <c r="A31" s="1328" t="s">
        <v>252</v>
      </c>
      <c r="B31" s="665">
        <v>414.74202658532658</v>
      </c>
      <c r="C31" s="665">
        <f>C29/42683.6*100</f>
        <v>425.55680361962732</v>
      </c>
      <c r="D31" s="665">
        <f>D29/42683.6*100</f>
        <v>418.93728978173488</v>
      </c>
      <c r="E31" s="665">
        <f>E29/42683.6*100</f>
        <v>417.94611234411025</v>
      </c>
      <c r="F31" s="665">
        <f>F29/42683.6*100</f>
        <v>396.54781456747656</v>
      </c>
      <c r="G31" s="1335" t="s">
        <v>253</v>
      </c>
    </row>
    <row r="32" spans="1:7" ht="14.25" customHeight="1">
      <c r="A32" s="1332" t="s">
        <v>272</v>
      </c>
      <c r="B32" s="665">
        <v>29806.525678710448</v>
      </c>
      <c r="C32" s="665">
        <v>30704.381931481897</v>
      </c>
      <c r="D32" s="665">
        <v>31418.439001646177</v>
      </c>
      <c r="E32" s="665">
        <v>30200.38736108681</v>
      </c>
      <c r="F32" s="665">
        <v>31156.562929616128</v>
      </c>
      <c r="G32" s="1329" t="s">
        <v>273</v>
      </c>
    </row>
    <row r="33" spans="1:7" ht="14.25" customHeight="1">
      <c r="A33" s="1337" t="s">
        <v>274</v>
      </c>
      <c r="B33" s="1338">
        <v>11.811672828729497</v>
      </c>
      <c r="C33" s="1338">
        <f>C32/C19%</f>
        <v>11.974304703298882</v>
      </c>
      <c r="D33" s="1338">
        <f>D32/D19%</f>
        <v>12.34736158988386</v>
      </c>
      <c r="E33" s="1338">
        <f>E32/E19%</f>
        <v>11.756663884008191</v>
      </c>
      <c r="F33" s="1338">
        <f>F32/F19%</f>
        <v>12.434268900985428</v>
      </c>
      <c r="G33" s="1339" t="s">
        <v>275</v>
      </c>
    </row>
    <row r="34" spans="1:7" ht="20.25" customHeight="1">
      <c r="A34" s="1330" t="s">
        <v>276</v>
      </c>
      <c r="B34" s="769"/>
      <c r="C34" s="769"/>
      <c r="D34" s="769"/>
      <c r="E34" s="769"/>
      <c r="F34" s="769"/>
      <c r="G34" s="1331" t="s">
        <v>31</v>
      </c>
    </row>
    <row r="35" spans="1:7" ht="14.25" customHeight="1">
      <c r="A35" s="1332" t="s">
        <v>277</v>
      </c>
      <c r="B35" s="665">
        <v>-5184.1000000000004</v>
      </c>
      <c r="C35" s="665">
        <f>'16'!$J$33</f>
        <v>-5115.7000000000007</v>
      </c>
      <c r="D35" s="665">
        <f>'16'!$J$36</f>
        <v>-5871.5000000000018</v>
      </c>
      <c r="E35" s="665">
        <f>'16'!$J$39</f>
        <v>-6504.8999999999978</v>
      </c>
      <c r="F35" s="665">
        <f>'16'!$J$42</f>
        <v>-5168</v>
      </c>
      <c r="G35" s="1329" t="s">
        <v>278</v>
      </c>
    </row>
    <row r="36" spans="1:7" ht="14.25" customHeight="1">
      <c r="A36" s="1332" t="s">
        <v>279</v>
      </c>
      <c r="B36" s="665">
        <v>15783.5</v>
      </c>
      <c r="C36" s="665">
        <f>ROUND('19'!$K$33,1)+ROUND('19'!$L$33,1)</f>
        <v>15777.2</v>
      </c>
      <c r="D36" s="665">
        <f>ROUND('19'!$K$36,1)+ROUND('19'!$L$36,1)</f>
        <v>16044.3</v>
      </c>
      <c r="E36" s="665">
        <f>ROUND('19'!$K$39,1)+ROUND('19'!$L$39,1)</f>
        <v>16777.3</v>
      </c>
      <c r="F36" s="665">
        <f>ROUND('19'!$K$42,1)+ROUND('19'!$L$42,1)</f>
        <v>17587.400000000001</v>
      </c>
      <c r="G36" s="1329" t="s">
        <v>280</v>
      </c>
    </row>
    <row r="37" spans="1:7" ht="14.25" customHeight="1">
      <c r="A37" s="1328" t="s">
        <v>252</v>
      </c>
      <c r="B37" s="665">
        <v>98.345691320331483</v>
      </c>
      <c r="C37" s="665">
        <f>C36/16049*100</f>
        <v>98.306436538102076</v>
      </c>
      <c r="D37" s="665">
        <f>D36/16049*100</f>
        <v>99.970714686273283</v>
      </c>
      <c r="E37" s="665">
        <f>E36/16049*100</f>
        <v>104.53797744407751</v>
      </c>
      <c r="F37" s="665">
        <f>F36/16049*100</f>
        <v>109.5856439653561</v>
      </c>
      <c r="G37" s="1335" t="s">
        <v>253</v>
      </c>
    </row>
    <row r="38" spans="1:7" ht="14.25" customHeight="1">
      <c r="A38" s="1340" t="s">
        <v>281</v>
      </c>
      <c r="B38" s="665">
        <v>12477.506100759178</v>
      </c>
      <c r="C38" s="665">
        <f>'20'!$L$33</f>
        <v>12746.785557590629</v>
      </c>
      <c r="D38" s="665">
        <f>'20'!$L$36</f>
        <v>12974.080110870829</v>
      </c>
      <c r="E38" s="665">
        <f>'20'!$L$39</f>
        <v>13235.326234715823</v>
      </c>
      <c r="F38" s="665">
        <f>'20'!$L$42</f>
        <v>13543.393624094284</v>
      </c>
      <c r="G38" s="1329" t="s">
        <v>282</v>
      </c>
    </row>
    <row r="39" spans="1:7" ht="14.25" customHeight="1">
      <c r="A39" s="1328" t="s">
        <v>252</v>
      </c>
      <c r="B39" s="665">
        <v>77.746315039935055</v>
      </c>
      <c r="C39" s="665">
        <f>C38/16049*100</f>
        <v>79.424173204502637</v>
      </c>
      <c r="D39" s="665">
        <f>D38/16049*100</f>
        <v>80.840426885605524</v>
      </c>
      <c r="E39" s="665">
        <f>E38/16049*100</f>
        <v>82.468230012560426</v>
      </c>
      <c r="F39" s="665">
        <f>F38/16049*100</f>
        <v>84.387772597010922</v>
      </c>
      <c r="G39" s="1335" t="s">
        <v>253</v>
      </c>
    </row>
    <row r="40" spans="1:7" s="1312" customFormat="1" ht="20.25" customHeight="1">
      <c r="A40" s="1341" t="s">
        <v>283</v>
      </c>
      <c r="B40" s="1342"/>
      <c r="C40" s="1342"/>
      <c r="D40" s="1342"/>
      <c r="E40" s="1342"/>
      <c r="F40" s="1342"/>
      <c r="G40" s="1343" t="s">
        <v>284</v>
      </c>
    </row>
    <row r="41" spans="1:7" ht="14.25" customHeight="1">
      <c r="A41" s="1344"/>
      <c r="B41" s="1088"/>
      <c r="C41" s="1088"/>
      <c r="D41" s="1088"/>
      <c r="E41" s="1088"/>
      <c r="F41" s="1088"/>
      <c r="G41" s="1345"/>
    </row>
    <row r="42" spans="1:7" ht="14.25" customHeight="1">
      <c r="A42" s="1344"/>
      <c r="B42" s="792"/>
      <c r="C42" s="792"/>
      <c r="D42" s="792"/>
      <c r="E42" s="792"/>
      <c r="F42" s="792"/>
      <c r="G42" s="1345"/>
    </row>
    <row r="43" spans="1:7" ht="14.25" customHeight="1">
      <c r="A43" s="1344"/>
      <c r="G43" s="1345"/>
    </row>
    <row r="44" spans="1:7" ht="14.25" customHeight="1">
      <c r="A44" s="1344"/>
      <c r="G44" s="1345"/>
    </row>
    <row r="45" spans="1:7" s="1312" customFormat="1" ht="20.25" customHeight="1">
      <c r="A45" s="1310" t="s">
        <v>228</v>
      </c>
      <c r="B45" s="1311"/>
      <c r="C45" s="1311"/>
      <c r="D45" s="1311"/>
      <c r="E45" s="1311"/>
      <c r="F45" s="1311"/>
      <c r="G45" s="1311"/>
    </row>
    <row r="46" spans="1:7" s="1312" customFormat="1" ht="17.399999999999999">
      <c r="A46" s="1313" t="s">
        <v>229</v>
      </c>
      <c r="B46" s="1311"/>
      <c r="C46" s="1311"/>
      <c r="D46" s="1311"/>
      <c r="E46" s="1311"/>
      <c r="F46" s="1311"/>
      <c r="G46" s="1311"/>
    </row>
    <row r="48" spans="1:7" s="1312" customFormat="1" ht="18" customHeight="1">
      <c r="A48" s="1314" t="s">
        <v>230</v>
      </c>
      <c r="B48" s="1315">
        <v>2025</v>
      </c>
      <c r="C48" s="1315"/>
      <c r="D48" s="1315"/>
      <c r="E48" s="1315">
        <v>2026</v>
      </c>
      <c r="F48" s="1315"/>
      <c r="G48" s="1316" t="s">
        <v>231</v>
      </c>
    </row>
    <row r="49" spans="1:7" s="1320" customFormat="1" ht="14.85" customHeight="1">
      <c r="A49" s="1317"/>
      <c r="B49" s="1318" t="s">
        <v>232</v>
      </c>
      <c r="C49" s="1318" t="s">
        <v>232</v>
      </c>
      <c r="D49" s="1318" t="s">
        <v>232</v>
      </c>
      <c r="E49" s="1318" t="s">
        <v>232</v>
      </c>
      <c r="F49" s="1318" t="s">
        <v>232</v>
      </c>
      <c r="G49" s="1319"/>
    </row>
    <row r="50" spans="1:7" s="1320" customFormat="1" ht="14.85" customHeight="1">
      <c r="A50" s="1317"/>
      <c r="B50" s="1321" t="s">
        <v>236</v>
      </c>
      <c r="C50" s="1321" t="str">
        <f t="shared" ref="C50" si="0">C6</f>
        <v>الثالث</v>
      </c>
      <c r="D50" s="1321" t="str">
        <f t="shared" ref="D50:E50" si="1">D6</f>
        <v>الرابع</v>
      </c>
      <c r="E50" s="1321" t="str">
        <f t="shared" si="1"/>
        <v>الأول</v>
      </c>
      <c r="F50" s="1321" t="str">
        <f t="shared" ref="F50" si="2">F6</f>
        <v>الثاني</v>
      </c>
      <c r="G50" s="1319"/>
    </row>
    <row r="51" spans="1:7" s="1312" customFormat="1" ht="14.85" customHeight="1">
      <c r="A51" s="1322"/>
      <c r="B51" s="1323" t="s">
        <v>240</v>
      </c>
      <c r="C51" s="1323" t="str">
        <f t="shared" ref="C51" si="3">C7</f>
        <v>Q3</v>
      </c>
      <c r="D51" s="1323" t="str">
        <f t="shared" ref="D51:E51" si="4">D7</f>
        <v>Q4</v>
      </c>
      <c r="E51" s="1323" t="str">
        <f t="shared" si="4"/>
        <v>Q1</v>
      </c>
      <c r="F51" s="1323" t="str">
        <f t="shared" ref="F51" si="5">F7</f>
        <v>Q2</v>
      </c>
      <c r="G51" s="1324"/>
    </row>
    <row r="52" spans="1:7" ht="20.25" customHeight="1">
      <c r="A52" s="1330" t="s">
        <v>285</v>
      </c>
      <c r="B52" s="1346"/>
      <c r="C52" s="1346"/>
      <c r="D52" s="1346"/>
      <c r="E52" s="1346"/>
      <c r="F52" s="1346"/>
      <c r="G52" s="1331" t="s">
        <v>286</v>
      </c>
    </row>
    <row r="53" spans="1:7" ht="14.25" customHeight="1">
      <c r="A53" s="1332" t="s">
        <v>287</v>
      </c>
      <c r="B53" s="1347">
        <v>4.938767689781181</v>
      </c>
      <c r="C53" s="1347">
        <f>'7'!$R$33</f>
        <v>4.8709867170648486</v>
      </c>
      <c r="D53" s="1347">
        <f>'7'!$R$36</f>
        <v>5.1640006237482581</v>
      </c>
      <c r="E53" s="1347">
        <f>'7'!$R$39</f>
        <v>4.8236317035349936</v>
      </c>
      <c r="F53" s="1347">
        <f>'7'!$R$42</f>
        <v>5.0009842354319529</v>
      </c>
      <c r="G53" s="1329" t="s">
        <v>288</v>
      </c>
    </row>
    <row r="54" spans="1:7" ht="14.25" customHeight="1">
      <c r="A54" s="1332" t="s">
        <v>289</v>
      </c>
      <c r="B54" s="1347">
        <v>6.597520196513238</v>
      </c>
      <c r="C54" s="1347">
        <f>'7'!$K$33</f>
        <v>6.0520034513959535</v>
      </c>
      <c r="D54" s="1347">
        <f>'7'!$K$36</f>
        <v>5.6573786144805753</v>
      </c>
      <c r="E54" s="1347">
        <f>'7'!$K$39</f>
        <v>5.7441138146038107</v>
      </c>
      <c r="F54" s="1347">
        <f>'7'!$K$42</f>
        <v>4.5667273713575183</v>
      </c>
      <c r="G54" s="1329" t="s">
        <v>290</v>
      </c>
    </row>
    <row r="55" spans="1:7" ht="14.25" customHeight="1">
      <c r="A55" s="1332" t="s">
        <v>291</v>
      </c>
      <c r="B55" s="1347">
        <v>2.1509768907584985</v>
      </c>
      <c r="C55" s="1347">
        <f>'7'!$F$33</f>
        <v>2.0101091771880517</v>
      </c>
      <c r="D55" s="1347">
        <f>'7'!$F$36</f>
        <v>1.9382274763750591</v>
      </c>
      <c r="E55" s="1347">
        <f>'7'!$F$39</f>
        <v>2.0011417253796924</v>
      </c>
      <c r="F55" s="1347">
        <f>'7'!$F$42</f>
        <v>2.6320430886234867</v>
      </c>
      <c r="G55" s="1329" t="s">
        <v>292</v>
      </c>
    </row>
    <row r="56" spans="1:7" ht="20.25" customHeight="1">
      <c r="A56" s="1330" t="s">
        <v>293</v>
      </c>
      <c r="B56" s="769"/>
      <c r="C56" s="769"/>
      <c r="D56" s="769"/>
      <c r="E56" s="769"/>
      <c r="F56" s="769"/>
      <c r="G56" s="1348" t="s">
        <v>1727</v>
      </c>
    </row>
    <row r="57" spans="1:7" ht="14.25" customHeight="1">
      <c r="A57" s="1328" t="s">
        <v>294</v>
      </c>
      <c r="B57" s="1347">
        <v>4.29</v>
      </c>
      <c r="C57" s="1347">
        <v>4.22</v>
      </c>
      <c r="D57" s="1347">
        <v>3.82</v>
      </c>
      <c r="E57" s="1347">
        <v>3.65</v>
      </c>
      <c r="F57" s="1347">
        <v>3.67</v>
      </c>
      <c r="G57" s="1335" t="s">
        <v>295</v>
      </c>
    </row>
    <row r="58" spans="1:7" ht="14.25" customHeight="1">
      <c r="A58" s="1328" t="s">
        <v>296</v>
      </c>
      <c r="B58" s="1347">
        <v>4.21</v>
      </c>
      <c r="C58" s="1347">
        <v>4.0406000000000004</v>
      </c>
      <c r="D58" s="1347">
        <v>3.7167669999999999</v>
      </c>
      <c r="E58" s="1347">
        <v>3.6292666666666666</v>
      </c>
      <c r="F58" s="1347">
        <v>3.6980666666666671</v>
      </c>
      <c r="G58" s="1335" t="s">
        <v>297</v>
      </c>
    </row>
    <row r="59" spans="1:7" ht="14.25" customHeight="1">
      <c r="A59" s="1332" t="s">
        <v>298</v>
      </c>
      <c r="B59" s="1347">
        <v>6</v>
      </c>
      <c r="C59" s="1347">
        <v>5.9160000000000004</v>
      </c>
      <c r="D59" s="1347">
        <v>5.42</v>
      </c>
      <c r="E59" s="1347">
        <v>5.25</v>
      </c>
      <c r="F59" s="1347">
        <v>5.25</v>
      </c>
      <c r="G59" s="1329" t="s">
        <v>299</v>
      </c>
    </row>
    <row r="60" spans="1:7" ht="20.25" customHeight="1">
      <c r="A60" s="1330" t="s">
        <v>300</v>
      </c>
      <c r="B60" s="1349"/>
      <c r="C60" s="1349"/>
      <c r="D60" s="1349"/>
      <c r="E60" s="1349"/>
      <c r="F60" s="1349"/>
      <c r="G60" s="1348" t="s">
        <v>1728</v>
      </c>
    </row>
    <row r="61" spans="1:7" ht="14.25" customHeight="1">
      <c r="A61" s="1328" t="s">
        <v>294</v>
      </c>
      <c r="B61" s="1347">
        <v>5.25</v>
      </c>
      <c r="C61" s="1347">
        <v>5.26</v>
      </c>
      <c r="D61" s="1347">
        <v>4.97</v>
      </c>
      <c r="E61" s="1347">
        <v>4.9400000000000004</v>
      </c>
      <c r="F61" s="1347">
        <v>5.26</v>
      </c>
      <c r="G61" s="1335" t="s">
        <v>295</v>
      </c>
    </row>
    <row r="62" spans="1:7" ht="14.25" customHeight="1">
      <c r="A62" s="1328" t="s">
        <v>296</v>
      </c>
      <c r="B62" s="1347">
        <v>5.38</v>
      </c>
      <c r="C62" s="1347">
        <v>5.2670000000000003</v>
      </c>
      <c r="D62" s="1347">
        <v>5.0966670000000001</v>
      </c>
      <c r="E62" s="1347">
        <v>5.003333333333333</v>
      </c>
      <c r="F62" s="1347">
        <v>5.3433333333333337</v>
      </c>
      <c r="G62" s="1335" t="s">
        <v>297</v>
      </c>
    </row>
    <row r="63" spans="1:7" ht="14.25" customHeight="1">
      <c r="A63" s="1328" t="s">
        <v>301</v>
      </c>
      <c r="B63" s="1347">
        <v>5.1433330000000002</v>
      </c>
      <c r="C63" s="1347">
        <v>5.13</v>
      </c>
      <c r="D63" s="1347">
        <v>4.9033329999999999</v>
      </c>
      <c r="E63" s="1347">
        <v>4.7166666666666668</v>
      </c>
      <c r="F63" s="1347">
        <v>5.25</v>
      </c>
      <c r="G63" s="1335" t="s">
        <v>302</v>
      </c>
    </row>
    <row r="64" spans="1:7" ht="14.25" customHeight="1">
      <c r="A64" s="1332" t="s">
        <v>303</v>
      </c>
      <c r="B64" s="1347">
        <v>5.2530000000000001</v>
      </c>
      <c r="C64" s="1347">
        <v>5.3029999999999999</v>
      </c>
      <c r="D64" s="1347">
        <v>4.9770000000000003</v>
      </c>
      <c r="E64" s="1347">
        <v>4.8929999999999998</v>
      </c>
      <c r="F64" s="1347">
        <v>5.3070000000000004</v>
      </c>
      <c r="G64" s="1329" t="s">
        <v>304</v>
      </c>
    </row>
    <row r="65" spans="1:7" ht="14.25" customHeight="1">
      <c r="A65" s="1332" t="s">
        <v>305</v>
      </c>
      <c r="B65" s="1347">
        <v>5.2930000000000001</v>
      </c>
      <c r="C65" s="1347">
        <v>5.3233329999999999</v>
      </c>
      <c r="D65" s="1347">
        <v>5.1369999999999996</v>
      </c>
      <c r="E65" s="1347">
        <v>4.8516666666666666</v>
      </c>
      <c r="F65" s="1347">
        <v>5.2665000000000006</v>
      </c>
      <c r="G65" s="1329" t="s">
        <v>306</v>
      </c>
    </row>
    <row r="66" spans="1:7" ht="26.4">
      <c r="A66" s="1350" t="s">
        <v>307</v>
      </c>
      <c r="B66" s="1347">
        <v>6.25</v>
      </c>
      <c r="C66" s="1347">
        <v>5.875</v>
      </c>
      <c r="D66" s="1347">
        <v>5.8734999999999999</v>
      </c>
      <c r="E66" s="1347">
        <v>6.1239999999999997</v>
      </c>
      <c r="F66" s="1347">
        <v>6.1239999999999997</v>
      </c>
      <c r="G66" s="1329" t="s">
        <v>308</v>
      </c>
    </row>
    <row r="67" spans="1:7" ht="20.25" customHeight="1">
      <c r="A67" s="1330" t="s">
        <v>309</v>
      </c>
      <c r="B67" s="1349"/>
      <c r="C67" s="1349"/>
      <c r="D67" s="1349"/>
      <c r="E67" s="1349"/>
      <c r="F67" s="1349"/>
      <c r="G67" s="1348" t="s">
        <v>1729</v>
      </c>
    </row>
    <row r="68" spans="1:7" ht="26.4">
      <c r="A68" s="1350" t="s">
        <v>310</v>
      </c>
      <c r="B68" s="1347">
        <v>6.4580000000000002</v>
      </c>
      <c r="C68" s="1347">
        <v>5.875</v>
      </c>
      <c r="D68" s="1347">
        <v>6.625</v>
      </c>
      <c r="E68" s="1347">
        <v>5.9625000000000004</v>
      </c>
      <c r="F68" s="1347">
        <v>6.6916666666666664</v>
      </c>
      <c r="G68" s="1329" t="s">
        <v>311</v>
      </c>
    </row>
    <row r="69" spans="1:7" ht="20.25" customHeight="1">
      <c r="A69" s="1330" t="s">
        <v>312</v>
      </c>
      <c r="B69" s="1351"/>
      <c r="C69" s="1351"/>
      <c r="D69" s="1351"/>
      <c r="E69" s="1351"/>
      <c r="F69" s="1351"/>
      <c r="G69" s="1331" t="s">
        <v>313</v>
      </c>
    </row>
    <row r="70" spans="1:7" ht="14.25" customHeight="1">
      <c r="A70" s="1332" t="s">
        <v>97</v>
      </c>
      <c r="B70" s="1352">
        <v>14947</v>
      </c>
      <c r="C70" s="1352">
        <v>14971</v>
      </c>
      <c r="D70" s="1352">
        <v>14784</v>
      </c>
      <c r="E70" s="1352">
        <v>14880</v>
      </c>
      <c r="F70" s="1352"/>
      <c r="G70" s="1329" t="s">
        <v>98</v>
      </c>
    </row>
    <row r="71" spans="1:7" ht="14.25" customHeight="1">
      <c r="A71" s="1336" t="s">
        <v>314</v>
      </c>
      <c r="B71" s="1353">
        <v>69.5</v>
      </c>
      <c r="C71" s="1353">
        <v>69.7</v>
      </c>
      <c r="D71" s="1353">
        <v>69.811958874458867</v>
      </c>
      <c r="E71" s="1353">
        <v>70.013440860215042</v>
      </c>
      <c r="F71" s="1353"/>
      <c r="G71" s="1329" t="s">
        <v>315</v>
      </c>
    </row>
    <row r="72" spans="1:7" ht="20.25" customHeight="1">
      <c r="A72" s="1330" t="s">
        <v>316</v>
      </c>
      <c r="B72" s="1351"/>
      <c r="C72" s="1351"/>
      <c r="D72" s="1351"/>
      <c r="E72" s="1351"/>
      <c r="F72" s="1351"/>
      <c r="G72" s="1331" t="s">
        <v>317</v>
      </c>
    </row>
    <row r="73" spans="1:7" ht="14.25" customHeight="1">
      <c r="A73" s="1332" t="s">
        <v>318</v>
      </c>
      <c r="B73" s="1354">
        <v>369</v>
      </c>
      <c r="C73" s="1354">
        <v>375</v>
      </c>
      <c r="D73" s="1354">
        <v>377</v>
      </c>
      <c r="E73" s="1354">
        <v>374</v>
      </c>
      <c r="F73" s="1354">
        <v>377</v>
      </c>
      <c r="G73" s="1329" t="s">
        <v>319</v>
      </c>
    </row>
    <row r="74" spans="1:7" ht="14.25" customHeight="1">
      <c r="A74" s="1332" t="s">
        <v>320</v>
      </c>
      <c r="B74" s="1354">
        <v>1</v>
      </c>
      <c r="C74" s="1354">
        <v>6</v>
      </c>
      <c r="D74" s="1354">
        <v>2</v>
      </c>
      <c r="E74" s="1354">
        <v>1</v>
      </c>
      <c r="F74" s="1354">
        <v>6</v>
      </c>
      <c r="G74" s="1329" t="s">
        <v>321</v>
      </c>
    </row>
    <row r="75" spans="1:7" ht="20.25" customHeight="1">
      <c r="A75" s="1330" t="s">
        <v>115</v>
      </c>
      <c r="B75" s="1351"/>
      <c r="C75" s="1351"/>
      <c r="D75" s="1351"/>
      <c r="E75" s="1351"/>
      <c r="F75" s="1351"/>
      <c r="G75" s="1331" t="s">
        <v>116</v>
      </c>
    </row>
    <row r="76" spans="1:7" ht="14.25" customHeight="1">
      <c r="A76" s="1332" t="s">
        <v>322</v>
      </c>
      <c r="B76" s="1352">
        <v>1733</v>
      </c>
      <c r="C76" s="1352">
        <v>1750</v>
      </c>
      <c r="D76" s="1352">
        <v>1745</v>
      </c>
      <c r="E76" s="1352">
        <v>1749</v>
      </c>
      <c r="F76" s="1352">
        <v>1683</v>
      </c>
      <c r="G76" s="1329" t="s">
        <v>323</v>
      </c>
    </row>
    <row r="77" spans="1:7" ht="14.25" customHeight="1">
      <c r="A77" s="1332" t="s">
        <v>324</v>
      </c>
      <c r="B77" s="1354">
        <v>17</v>
      </c>
      <c r="C77" s="1354">
        <v>32</v>
      </c>
      <c r="D77" s="1354">
        <v>28</v>
      </c>
      <c r="E77" s="1354">
        <v>21</v>
      </c>
      <c r="F77" s="1354">
        <v>19</v>
      </c>
      <c r="G77" s="1329" t="s">
        <v>325</v>
      </c>
    </row>
    <row r="78" spans="1:7" ht="14.25" customHeight="1">
      <c r="A78" s="1336" t="s">
        <v>326</v>
      </c>
      <c r="B78" s="665">
        <v>10914.909</v>
      </c>
      <c r="C78" s="665">
        <f>'59'!$E$31/1000</f>
        <v>11138.686</v>
      </c>
      <c r="D78" s="665">
        <f>'59'!$E$35/1000</f>
        <v>11059.934419879295</v>
      </c>
      <c r="E78" s="665">
        <f>'59'!$E$39/1000</f>
        <v>10929.01734</v>
      </c>
      <c r="F78" s="665">
        <f>'59'!$E$43/1000</f>
        <v>11505.19882</v>
      </c>
      <c r="G78" s="1355" t="s">
        <v>327</v>
      </c>
    </row>
    <row r="79" spans="1:7" ht="20.25" customHeight="1">
      <c r="A79" s="1330" t="s">
        <v>328</v>
      </c>
      <c r="B79" s="1356"/>
      <c r="C79" s="1356"/>
      <c r="D79" s="1356"/>
      <c r="E79" s="1356"/>
      <c r="F79" s="1356"/>
      <c r="G79" s="1357" t="s">
        <v>329</v>
      </c>
    </row>
    <row r="80" spans="1:7" ht="14.25" customHeight="1">
      <c r="A80" s="1332" t="s">
        <v>26</v>
      </c>
      <c r="B80" s="665">
        <v>17330.599999999999</v>
      </c>
      <c r="C80" s="665">
        <f>'12'!$Q$33</f>
        <v>18544.8</v>
      </c>
      <c r="D80" s="665">
        <f>'12'!$Q$36</f>
        <v>19398.8</v>
      </c>
      <c r="E80" s="665">
        <f>'12'!$Q$39</f>
        <v>19768.400000000001</v>
      </c>
      <c r="F80" s="665">
        <f>'12'!$Q$42</f>
        <v>19946.400000000001</v>
      </c>
      <c r="G80" s="1329" t="s">
        <v>27</v>
      </c>
    </row>
    <row r="81" spans="1:7" ht="14.25" customHeight="1">
      <c r="A81" s="1328" t="s">
        <v>330</v>
      </c>
      <c r="B81" s="1353">
        <v>107.98554427067106</v>
      </c>
      <c r="C81" s="1353">
        <f>C80/16049*100</f>
        <v>115.55112468066547</v>
      </c>
      <c r="D81" s="1353">
        <f>D80/16049*100</f>
        <v>120.87232849398717</v>
      </c>
      <c r="E81" s="1353">
        <f>E80/16049*100</f>
        <v>123.17527571811328</v>
      </c>
      <c r="F81" s="1353">
        <f>F80/16049*100</f>
        <v>124.28437908903982</v>
      </c>
      <c r="G81" s="1335" t="s">
        <v>331</v>
      </c>
    </row>
    <row r="82" spans="1:7" ht="14.25" customHeight="1">
      <c r="A82" s="1328" t="s">
        <v>332</v>
      </c>
      <c r="B82" s="665">
        <v>11095</v>
      </c>
      <c r="C82" s="665">
        <f>'12'!$E$33</f>
        <v>11375</v>
      </c>
      <c r="D82" s="665">
        <f>'12'!$E$36</f>
        <v>11751</v>
      </c>
      <c r="E82" s="665">
        <f>'12'!$E$39</f>
        <v>11681.8</v>
      </c>
      <c r="F82" s="665">
        <f>'12'!$E$42</f>
        <v>11769.8</v>
      </c>
      <c r="G82" s="1335" t="s">
        <v>333</v>
      </c>
    </row>
    <row r="83" spans="1:7" ht="14.25" customHeight="1">
      <c r="A83" s="1328" t="s">
        <v>334</v>
      </c>
      <c r="B83" s="665">
        <v>2110</v>
      </c>
      <c r="C83" s="665">
        <f>'12'!$H$33</f>
        <v>2110</v>
      </c>
      <c r="D83" s="665">
        <f>'12'!$H$36</f>
        <v>2110</v>
      </c>
      <c r="E83" s="665">
        <f>'12'!$H$39</f>
        <v>2110</v>
      </c>
      <c r="F83" s="665">
        <f>'12'!$H$42</f>
        <v>2110</v>
      </c>
      <c r="G83" s="1335" t="s">
        <v>335</v>
      </c>
    </row>
    <row r="84" spans="1:7" ht="14.25" customHeight="1">
      <c r="A84" s="1328" t="s">
        <v>336</v>
      </c>
      <c r="B84" s="1353">
        <v>129</v>
      </c>
      <c r="C84" s="1353">
        <f>'12'!$O$33</f>
        <v>150</v>
      </c>
      <c r="D84" s="1353">
        <f>'12'!$O$36</f>
        <v>150</v>
      </c>
      <c r="E84" s="1353">
        <f>'12'!$O$39</f>
        <v>150</v>
      </c>
      <c r="F84" s="1353">
        <f>'12'!$O$42</f>
        <v>150</v>
      </c>
      <c r="G84" s="1335" t="s">
        <v>337</v>
      </c>
    </row>
    <row r="85" spans="1:7" ht="14.25" customHeight="1">
      <c r="A85" s="1328" t="s">
        <v>338</v>
      </c>
      <c r="B85" s="665">
        <v>3996.6</v>
      </c>
      <c r="C85" s="665">
        <f>'12'!$L$33</f>
        <v>4909.8</v>
      </c>
      <c r="D85" s="665">
        <f>'12'!$L$36</f>
        <v>5387.8</v>
      </c>
      <c r="E85" s="665">
        <f>'12'!$L$39</f>
        <v>5826.6</v>
      </c>
      <c r="F85" s="665">
        <f>'12'!$L$42</f>
        <v>5916.6</v>
      </c>
      <c r="G85" s="1335" t="s">
        <v>339</v>
      </c>
    </row>
    <row r="86" spans="1:7" s="1312" customFormat="1" ht="20.25" customHeight="1">
      <c r="A86" s="1341" t="s">
        <v>340</v>
      </c>
      <c r="B86" s="1342"/>
      <c r="C86" s="1342"/>
      <c r="D86" s="1342"/>
      <c r="E86" s="1342"/>
      <c r="F86" s="1342"/>
      <c r="G86" s="1343" t="s">
        <v>341</v>
      </c>
    </row>
    <row r="87" spans="1:7" s="1312" customFormat="1" ht="20.25" customHeight="1">
      <c r="A87" s="1358"/>
      <c r="B87" s="1311"/>
      <c r="C87" s="1311"/>
      <c r="D87" s="1311"/>
      <c r="E87" s="1311"/>
      <c r="F87" s="1311"/>
      <c r="G87" s="1359"/>
    </row>
    <row r="88" spans="1:7" s="1312" customFormat="1" ht="20.25" customHeight="1">
      <c r="A88" s="1358"/>
      <c r="B88" s="1311"/>
      <c r="C88" s="1311"/>
      <c r="D88" s="1311"/>
      <c r="E88" s="1311"/>
      <c r="F88" s="1311"/>
      <c r="G88" s="1359"/>
    </row>
    <row r="89" spans="1:7" s="1312" customFormat="1" ht="20.25" customHeight="1">
      <c r="A89" s="1310" t="s">
        <v>228</v>
      </c>
      <c r="B89" s="1311"/>
      <c r="C89" s="1311"/>
      <c r="D89" s="1311"/>
      <c r="E89" s="1311"/>
      <c r="F89" s="1311"/>
      <c r="G89" s="1311"/>
    </row>
    <row r="90" spans="1:7" s="1312" customFormat="1" ht="17.399999999999999">
      <c r="A90" s="1313" t="s">
        <v>229</v>
      </c>
      <c r="B90" s="1311"/>
      <c r="C90" s="1311"/>
      <c r="D90" s="1311"/>
      <c r="E90" s="1311"/>
      <c r="F90" s="1311"/>
      <c r="G90" s="1311"/>
    </row>
    <row r="92" spans="1:7" s="1312" customFormat="1" ht="18" customHeight="1">
      <c r="A92" s="1314" t="s">
        <v>230</v>
      </c>
      <c r="B92" s="1315">
        <v>2025</v>
      </c>
      <c r="C92" s="1315"/>
      <c r="D92" s="1315"/>
      <c r="E92" s="1315">
        <v>2026</v>
      </c>
      <c r="F92" s="1315"/>
      <c r="G92" s="1316" t="s">
        <v>231</v>
      </c>
    </row>
    <row r="93" spans="1:7" s="1320" customFormat="1" ht="14.85" customHeight="1">
      <c r="A93" s="1317"/>
      <c r="B93" s="1318" t="s">
        <v>232</v>
      </c>
      <c r="C93" s="1318" t="s">
        <v>232</v>
      </c>
      <c r="D93" s="1318" t="s">
        <v>232</v>
      </c>
      <c r="E93" s="1318" t="s">
        <v>232</v>
      </c>
      <c r="F93" s="1318" t="s">
        <v>232</v>
      </c>
      <c r="G93" s="1319"/>
    </row>
    <row r="94" spans="1:7" s="1320" customFormat="1" ht="14.85" customHeight="1">
      <c r="A94" s="1317"/>
      <c r="B94" s="1321" t="s">
        <v>236</v>
      </c>
      <c r="C94" s="1321" t="str">
        <f t="shared" ref="C94" si="6">C6</f>
        <v>الثالث</v>
      </c>
      <c r="D94" s="1321" t="str">
        <f t="shared" ref="D94:E94" si="7">D6</f>
        <v>الرابع</v>
      </c>
      <c r="E94" s="1321" t="str">
        <f t="shared" si="7"/>
        <v>الأول</v>
      </c>
      <c r="F94" s="1321" t="str">
        <f t="shared" ref="F94" si="8">F6</f>
        <v>الثاني</v>
      </c>
      <c r="G94" s="1319"/>
    </row>
    <row r="95" spans="1:7" s="1312" customFormat="1" ht="14.85" customHeight="1">
      <c r="A95" s="1322"/>
      <c r="B95" s="1323" t="s">
        <v>240</v>
      </c>
      <c r="C95" s="1323" t="str">
        <f t="shared" ref="C95" si="9">C7</f>
        <v>Q3</v>
      </c>
      <c r="D95" s="1323" t="str">
        <f t="shared" ref="D95:E95" si="10">D7</f>
        <v>Q4</v>
      </c>
      <c r="E95" s="1323" t="str">
        <f t="shared" si="10"/>
        <v>Q1</v>
      </c>
      <c r="F95" s="1323" t="str">
        <f t="shared" ref="F95" si="11">F7</f>
        <v>Q2</v>
      </c>
      <c r="G95" s="1324"/>
    </row>
    <row r="96" spans="1:7" ht="20.25" customHeight="1">
      <c r="A96" s="1330" t="s">
        <v>342</v>
      </c>
      <c r="B96" s="1360"/>
      <c r="C96" s="1360"/>
      <c r="D96" s="1360"/>
      <c r="E96" s="1360"/>
      <c r="F96" s="1360"/>
      <c r="G96" s="1331" t="s">
        <v>343</v>
      </c>
    </row>
    <row r="97" spans="1:7" ht="14.25" customHeight="1">
      <c r="A97" s="1332" t="s">
        <v>164</v>
      </c>
      <c r="B97" s="1361">
        <v>0.376</v>
      </c>
      <c r="C97" s="1361">
        <f>'6'!$H$33</f>
        <v>0.376</v>
      </c>
      <c r="D97" s="1361">
        <f>'6'!$H$36</f>
        <v>0.376</v>
      </c>
      <c r="E97" s="1361">
        <f>'6'!$H$39</f>
        <v>0.376</v>
      </c>
      <c r="F97" s="1361">
        <f>'6'!$H$42</f>
        <v>0.376</v>
      </c>
      <c r="G97" s="1329" t="s">
        <v>344</v>
      </c>
    </row>
    <row r="98" spans="1:7" ht="14.25" customHeight="1">
      <c r="A98" s="1332" t="s">
        <v>345</v>
      </c>
      <c r="B98" s="1361">
        <v>0.51598299999999997</v>
      </c>
      <c r="C98" s="1361">
        <f>'6'!$I$33</f>
        <v>0.50524599999999997</v>
      </c>
      <c r="D98" s="1361">
        <f>'6'!$I$36</f>
        <v>0.50637500000000002</v>
      </c>
      <c r="E98" s="1361">
        <f>'6'!$I$39</f>
        <v>0.49539299999999997</v>
      </c>
      <c r="F98" s="1361">
        <f>'6'!$I$42</f>
        <v>0.49840200000000001</v>
      </c>
      <c r="G98" s="1329" t="s">
        <v>346</v>
      </c>
    </row>
    <row r="99" spans="1:7" ht="14.25" customHeight="1">
      <c r="A99" s="1332" t="s">
        <v>347</v>
      </c>
      <c r="B99" s="1361">
        <v>0.44108700000000001</v>
      </c>
      <c r="C99" s="1361">
        <f>'6'!$J$33</f>
        <v>0.441162</v>
      </c>
      <c r="D99" s="1361">
        <f>'6'!$J$36</f>
        <v>0.441801</v>
      </c>
      <c r="E99" s="1361">
        <f>'6'!$J$39</f>
        <v>0.43085699999999999</v>
      </c>
      <c r="F99" s="1361">
        <f>'6'!$J$42</f>
        <v>0.42942799999999998</v>
      </c>
      <c r="G99" s="1329" t="s">
        <v>348</v>
      </c>
    </row>
    <row r="100" spans="1:7" ht="14.25" customHeight="1">
      <c r="A100" s="1332" t="s">
        <v>349</v>
      </c>
      <c r="B100" s="1361">
        <v>2.6029999999999998E-3</v>
      </c>
      <c r="C100" s="1361">
        <f>'6'!$K$33</f>
        <v>2.5300000000000001E-3</v>
      </c>
      <c r="D100" s="1361">
        <f>'6'!$K$36</f>
        <v>2.405E-3</v>
      </c>
      <c r="E100" s="1361">
        <f>'6'!$K$39</f>
        <v>2.3530000000000001E-3</v>
      </c>
      <c r="F100" s="1361">
        <f>'6'!$K$42</f>
        <v>2.323E-3</v>
      </c>
      <c r="G100" s="1329" t="s">
        <v>350</v>
      </c>
    </row>
    <row r="101" spans="1:7" ht="20.25" customHeight="1">
      <c r="A101" s="1330" t="s">
        <v>105</v>
      </c>
      <c r="B101" s="1351"/>
      <c r="C101" s="1351"/>
      <c r="D101" s="1351"/>
      <c r="E101" s="1351"/>
      <c r="F101" s="1351"/>
      <c r="G101" s="1331" t="s">
        <v>106</v>
      </c>
    </row>
    <row r="102" spans="1:7" ht="14.25" customHeight="1">
      <c r="A102" s="1332" t="s">
        <v>351</v>
      </c>
      <c r="B102" s="665">
        <v>1943.81</v>
      </c>
      <c r="C102" s="665">
        <f>'55'!$H$33</f>
        <v>1948.17</v>
      </c>
      <c r="D102" s="665">
        <f>'55'!$H$36</f>
        <v>2066.54</v>
      </c>
      <c r="E102" s="665">
        <f>'55'!$H$39</f>
        <v>1899.079</v>
      </c>
      <c r="F102" s="665">
        <f>'55'!$H$42</f>
        <v>2042.56</v>
      </c>
      <c r="G102" s="1329" t="s">
        <v>352</v>
      </c>
    </row>
    <row r="103" spans="1:7" ht="14.25" customHeight="1">
      <c r="A103" s="1332" t="s">
        <v>353</v>
      </c>
      <c r="B103" s="665">
        <v>7556.17</v>
      </c>
      <c r="C103" s="665">
        <f>'55'!$I$33</f>
        <v>7573.13</v>
      </c>
      <c r="D103" s="665">
        <f>'55'!$I$36</f>
        <v>8033.26</v>
      </c>
      <c r="E103" s="665">
        <f>'55'!$I$39</f>
        <v>7367.5744285245028</v>
      </c>
      <c r="F103" s="665">
        <f>'55'!$I$42</f>
        <v>7928.98</v>
      </c>
      <c r="G103" s="1329" t="s">
        <v>354</v>
      </c>
    </row>
    <row r="104" spans="1:7" ht="14.25" customHeight="1">
      <c r="A104" s="1328" t="s">
        <v>249</v>
      </c>
      <c r="B104" s="665">
        <v>-3.4926132552615126E-2</v>
      </c>
      <c r="C104" s="665">
        <f>(C103-B103)/B103%</f>
        <v>0.22445233497922937</v>
      </c>
      <c r="D104" s="665">
        <f>(D103-C103)/C103%</f>
        <v>6.0758233385667495</v>
      </c>
      <c r="E104" s="665">
        <f>(E103-D103)/D103%</f>
        <v>-8.2866180289881992</v>
      </c>
      <c r="F104" s="665">
        <f>(F103-E103)/E103%</f>
        <v>7.6199511375405127</v>
      </c>
      <c r="G104" s="1334" t="s">
        <v>1726</v>
      </c>
    </row>
    <row r="105" spans="1:7" ht="14.25" customHeight="1">
      <c r="A105" s="1332" t="s">
        <v>355</v>
      </c>
      <c r="B105" s="665">
        <v>20096.196808510638</v>
      </c>
      <c r="C105" s="665">
        <f>C103/0.376</f>
        <v>20141.303191489362</v>
      </c>
      <c r="D105" s="665">
        <f>D103/0.376</f>
        <v>21365.053191489362</v>
      </c>
      <c r="E105" s="665">
        <f>E103/0.376</f>
        <v>19594.612841820486</v>
      </c>
      <c r="F105" s="665">
        <f>F103/0.376</f>
        <v>21087.712765957447</v>
      </c>
      <c r="G105" s="1329" t="s">
        <v>356</v>
      </c>
    </row>
    <row r="106" spans="1:7" ht="20.25" customHeight="1">
      <c r="A106" s="1330" t="s">
        <v>357</v>
      </c>
      <c r="B106" s="1351"/>
      <c r="C106" s="1351"/>
      <c r="D106" s="1351"/>
      <c r="E106" s="1351"/>
      <c r="F106" s="1351"/>
      <c r="G106" s="1331" t="s">
        <v>358</v>
      </c>
    </row>
    <row r="107" spans="1:7" ht="14.25" customHeight="1">
      <c r="A107" s="1332" t="s">
        <v>359</v>
      </c>
      <c r="B107" s="665">
        <v>3901.9286656793133</v>
      </c>
      <c r="C107" s="665">
        <v>3928.6786286256315</v>
      </c>
      <c r="D107" s="665">
        <v>4409.8434883291548</v>
      </c>
      <c r="E107" s="665"/>
      <c r="F107" s="665"/>
      <c r="G107" s="1329" t="s">
        <v>360</v>
      </c>
    </row>
    <row r="108" spans="1:7" ht="14.25" hidden="1" customHeight="1">
      <c r="A108" s="1362" t="s">
        <v>361</v>
      </c>
      <c r="B108" s="1363"/>
      <c r="C108" s="1363"/>
      <c r="D108" s="1363"/>
      <c r="E108" s="1363"/>
      <c r="F108" s="1363"/>
      <c r="G108" s="1355" t="s">
        <v>362</v>
      </c>
    </row>
    <row r="109" spans="1:7" ht="20.25" customHeight="1">
      <c r="A109" s="1364" t="s">
        <v>363</v>
      </c>
      <c r="B109" s="380"/>
      <c r="C109" s="380"/>
      <c r="D109" s="380"/>
      <c r="E109" s="380"/>
      <c r="F109" s="380"/>
      <c r="G109" s="1365" t="s">
        <v>364</v>
      </c>
    </row>
    <row r="110" spans="1:7">
      <c r="A110" s="1366"/>
      <c r="G110" s="1367"/>
    </row>
    <row r="111" spans="1:7">
      <c r="G111" s="1368"/>
    </row>
    <row r="121" spans="2:6">
      <c r="B121" s="1088"/>
      <c r="C121" s="1088"/>
      <c r="D121" s="1088"/>
      <c r="E121" s="1088"/>
      <c r="F121" s="1088"/>
    </row>
  </sheetData>
  <mergeCells count="6">
    <mergeCell ref="A92:A95"/>
    <mergeCell ref="G92:G95"/>
    <mergeCell ref="G4:G7"/>
    <mergeCell ref="A4:A7"/>
    <mergeCell ref="A48:A51"/>
    <mergeCell ref="G48:G51"/>
  </mergeCells>
  <phoneticPr fontId="0" type="noConversion"/>
  <printOptions horizontalCentered="1"/>
  <pageMargins left="0" right="0" top="0.3" bottom="0" header="0.511811023622047" footer="0.511811023622047"/>
  <pageSetup paperSize="9" scale="81" orientation="landscape" r:id="rId1"/>
  <headerFooter alignWithMargins="0"/>
  <rowBreaks count="1" manualBreakCount="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pageSetUpPr fitToPage="1"/>
  </sheetPr>
  <dimension ref="A1:S49"/>
  <sheetViews>
    <sheetView zoomScale="75" zoomScaleNormal="75" workbookViewId="0">
      <pane ySplit="12" topLeftCell="A41" activePane="bottomLeft" state="frozen"/>
      <selection activeCell="B2" sqref="B2"/>
      <selection pane="bottomLeft" activeCell="L46" sqref="L46"/>
    </sheetView>
  </sheetViews>
  <sheetFormatPr defaultColWidth="8.77734375" defaultRowHeight="13.2"/>
  <cols>
    <col min="1" max="2" width="9.77734375" style="1413" customWidth="1"/>
    <col min="3" max="3" width="10.21875" style="1413" customWidth="1"/>
    <col min="4" max="4" width="12.77734375" style="1413" customWidth="1"/>
    <col min="5" max="5" width="14" style="1413" customWidth="1"/>
    <col min="6" max="6" width="14.77734375" style="1413" customWidth="1"/>
    <col min="7" max="7" width="8.77734375" style="1413" customWidth="1"/>
    <col min="8" max="8" width="12" style="1413" customWidth="1"/>
    <col min="9" max="9" width="10.44140625" style="1413" customWidth="1"/>
    <col min="10" max="10" width="12.77734375" style="1413" customWidth="1"/>
    <col min="11" max="11" width="14" style="1413" customWidth="1"/>
    <col min="12" max="12" width="12.77734375" style="1413" customWidth="1"/>
    <col min="13" max="13" width="9" style="1413" customWidth="1"/>
    <col min="14" max="14" width="10.77734375" style="1413" customWidth="1"/>
    <col min="15" max="15" width="12.77734375" style="1413" customWidth="1"/>
    <col min="16" max="16" width="10.77734375" style="1413" customWidth="1"/>
    <col min="17" max="16384" width="8.77734375" style="1413"/>
  </cols>
  <sheetData>
    <row r="1" spans="1:19" s="8" customFormat="1" ht="18" customHeight="1">
      <c r="A1" s="1717" t="s">
        <v>1760</v>
      </c>
      <c r="B1" s="10"/>
      <c r="C1" s="10"/>
      <c r="D1" s="10"/>
      <c r="E1" s="10"/>
      <c r="F1" s="10"/>
      <c r="G1" s="10"/>
      <c r="H1" s="10"/>
      <c r="I1" s="10"/>
      <c r="J1" s="10"/>
      <c r="K1" s="10"/>
      <c r="L1" s="10"/>
      <c r="M1" s="10"/>
      <c r="N1" s="10"/>
      <c r="O1" s="10"/>
      <c r="P1" s="10"/>
    </row>
    <row r="2" spans="1:19" s="8" customFormat="1" ht="18" customHeight="1">
      <c r="A2" s="1715" t="s">
        <v>982</v>
      </c>
      <c r="B2" s="1716"/>
      <c r="C2" s="1716"/>
      <c r="D2" s="1716"/>
      <c r="E2" s="1716"/>
      <c r="F2" s="1716"/>
      <c r="G2" s="1716"/>
      <c r="H2" s="1716"/>
      <c r="I2" s="1716"/>
      <c r="J2" s="1716"/>
      <c r="K2" s="1716"/>
      <c r="L2" s="1716"/>
      <c r="M2" s="1716"/>
      <c r="N2" s="1716"/>
      <c r="O2" s="1716"/>
      <c r="P2" s="1716"/>
    </row>
    <row r="3" spans="1:19" s="8" customFormat="1" ht="18" customHeight="1">
      <c r="A3" s="1717" t="s">
        <v>983</v>
      </c>
      <c r="B3" s="1716"/>
      <c r="C3" s="1716"/>
      <c r="D3" s="1716"/>
      <c r="E3" s="1716"/>
      <c r="F3" s="1716"/>
      <c r="G3" s="1716"/>
      <c r="H3" s="1716"/>
      <c r="I3" s="1716"/>
      <c r="J3" s="1716"/>
      <c r="K3" s="1716"/>
      <c r="L3" s="1716"/>
      <c r="M3" s="1716"/>
      <c r="N3" s="1716"/>
      <c r="O3" s="1716"/>
      <c r="P3" s="1716"/>
    </row>
    <row r="4" spans="1:19" s="8" customFormat="1" ht="18" customHeight="1">
      <c r="A4" s="16" t="s">
        <v>1012</v>
      </c>
      <c r="B4" s="10"/>
      <c r="C4" s="10"/>
      <c r="D4" s="10"/>
      <c r="E4" s="10"/>
      <c r="F4" s="10"/>
      <c r="G4" s="10"/>
      <c r="H4" s="10"/>
      <c r="I4" s="10"/>
      <c r="J4" s="10"/>
      <c r="K4" s="10"/>
      <c r="L4" s="10"/>
      <c r="M4" s="10"/>
      <c r="N4" s="10"/>
      <c r="O4" s="10"/>
      <c r="P4" s="10"/>
    </row>
    <row r="5" spans="1:19" s="25" customFormat="1" ht="20.25" customHeight="1">
      <c r="A5" s="1718" t="s">
        <v>1013</v>
      </c>
      <c r="B5" s="3"/>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264" t="s">
        <v>791</v>
      </c>
      <c r="D7" s="40"/>
      <c r="E7" s="123"/>
      <c r="F7" s="123"/>
      <c r="G7" s="123"/>
      <c r="H7" s="1719" t="s">
        <v>792</v>
      </c>
      <c r="I7" s="1720" t="s">
        <v>1014</v>
      </c>
      <c r="J7" s="122"/>
      <c r="K7" s="123"/>
      <c r="L7" s="123"/>
      <c r="M7" s="123"/>
      <c r="N7" s="1719" t="s">
        <v>1015</v>
      </c>
      <c r="O7" s="1721"/>
      <c r="P7" s="1721"/>
    </row>
    <row r="8" spans="1:19" s="39" customFormat="1" ht="16.5" customHeight="1">
      <c r="A8" s="370" t="s">
        <v>379</v>
      </c>
      <c r="B8" s="81"/>
      <c r="D8" s="270" t="s">
        <v>499</v>
      </c>
      <c r="E8" s="270"/>
      <c r="F8" s="270" t="s">
        <v>386</v>
      </c>
      <c r="G8" s="371"/>
      <c r="I8" s="270"/>
      <c r="J8" s="270"/>
      <c r="K8" s="371" t="s">
        <v>990</v>
      </c>
      <c r="L8" s="270" t="s">
        <v>386</v>
      </c>
      <c r="M8" s="372"/>
      <c r="O8" s="63" t="s">
        <v>794</v>
      </c>
      <c r="P8" s="270" t="s">
        <v>991</v>
      </c>
    </row>
    <row r="9" spans="1:19" s="39" customFormat="1" ht="16.5" customHeight="1">
      <c r="A9" s="62" t="s">
        <v>387</v>
      </c>
      <c r="B9" s="74"/>
      <c r="C9" s="270" t="s">
        <v>431</v>
      </c>
      <c r="D9" s="271" t="s">
        <v>755</v>
      </c>
      <c r="E9" s="271" t="s">
        <v>390</v>
      </c>
      <c r="F9" s="271" t="s">
        <v>1016</v>
      </c>
      <c r="G9" s="95" t="s">
        <v>756</v>
      </c>
      <c r="H9" s="270" t="s">
        <v>1017</v>
      </c>
      <c r="I9" s="270" t="s">
        <v>431</v>
      </c>
      <c r="J9" s="79" t="s">
        <v>811</v>
      </c>
      <c r="K9" s="270" t="s">
        <v>992</v>
      </c>
      <c r="L9" s="271" t="s">
        <v>1016</v>
      </c>
      <c r="M9" s="372" t="s">
        <v>391</v>
      </c>
      <c r="N9" s="270" t="s">
        <v>382</v>
      </c>
      <c r="O9" s="270" t="s">
        <v>374</v>
      </c>
      <c r="P9" s="63" t="s">
        <v>993</v>
      </c>
    </row>
    <row r="10" spans="1:19" s="39" customFormat="1" ht="16.5" customHeight="1">
      <c r="A10" s="82"/>
      <c r="B10" s="74"/>
      <c r="C10" s="374"/>
      <c r="D10" s="107" t="s">
        <v>758</v>
      </c>
      <c r="E10" s="107" t="s">
        <v>466</v>
      </c>
      <c r="F10" s="107" t="s">
        <v>403</v>
      </c>
      <c r="G10" s="383"/>
      <c r="H10" s="228"/>
      <c r="I10" s="374"/>
      <c r="J10" s="107"/>
      <c r="K10" s="228" t="s">
        <v>996</v>
      </c>
      <c r="L10" s="107" t="s">
        <v>403</v>
      </c>
      <c r="M10" s="375"/>
      <c r="N10" s="228"/>
      <c r="O10" s="374" t="s">
        <v>392</v>
      </c>
      <c r="P10" s="374" t="s">
        <v>997</v>
      </c>
    </row>
    <row r="11" spans="1:19" s="39" customFormat="1" ht="16.5" customHeight="1">
      <c r="A11" s="82"/>
      <c r="B11" s="74"/>
      <c r="C11" s="374" t="s">
        <v>405</v>
      </c>
      <c r="D11" s="107" t="s">
        <v>759</v>
      </c>
      <c r="E11" s="107" t="s">
        <v>505</v>
      </c>
      <c r="F11" s="107" t="s">
        <v>410</v>
      </c>
      <c r="G11" s="107" t="s">
        <v>399</v>
      </c>
      <c r="H11" s="228" t="s">
        <v>392</v>
      </c>
      <c r="I11" s="228" t="s">
        <v>405</v>
      </c>
      <c r="J11" s="107" t="s">
        <v>759</v>
      </c>
      <c r="K11" s="63" t="s">
        <v>1001</v>
      </c>
      <c r="L11" s="107" t="s">
        <v>410</v>
      </c>
      <c r="M11" s="375" t="s">
        <v>399</v>
      </c>
      <c r="N11" s="228" t="s">
        <v>392</v>
      </c>
      <c r="O11" s="228" t="s">
        <v>373</v>
      </c>
      <c r="P11" s="228" t="s">
        <v>740</v>
      </c>
    </row>
    <row r="12" spans="1:19" s="39" customFormat="1" ht="16.5" customHeight="1">
      <c r="A12" s="87"/>
      <c r="B12" s="98"/>
      <c r="C12" s="378" t="s">
        <v>782</v>
      </c>
      <c r="D12" s="139"/>
      <c r="E12" s="379"/>
      <c r="F12" s="384"/>
      <c r="G12" s="139"/>
      <c r="H12" s="138"/>
      <c r="I12" s="138"/>
      <c r="J12" s="139"/>
      <c r="K12" s="130"/>
      <c r="L12" s="117"/>
      <c r="M12" s="139"/>
      <c r="N12" s="138"/>
      <c r="O12" s="138" t="s">
        <v>781</v>
      </c>
      <c r="P12" s="138" t="s">
        <v>1002</v>
      </c>
    </row>
    <row r="13" spans="1:19" s="39" customFormat="1" ht="21" customHeight="1">
      <c r="A13" s="405">
        <v>2016</v>
      </c>
      <c r="B13" s="60"/>
      <c r="C13" s="763">
        <v>621.64555634643716</v>
      </c>
      <c r="D13" s="737">
        <v>210.86665821162947</v>
      </c>
      <c r="E13" s="740">
        <v>242.18564280398834</v>
      </c>
      <c r="F13" s="774">
        <v>135.67346461222417</v>
      </c>
      <c r="G13" s="738">
        <v>60.5276914151952</v>
      </c>
      <c r="H13" s="724">
        <v>1270.9190133894742</v>
      </c>
      <c r="I13" s="724">
        <v>229.96600000000001</v>
      </c>
      <c r="J13" s="775">
        <v>29.878</v>
      </c>
      <c r="K13" s="1191">
        <v>0</v>
      </c>
      <c r="L13" s="768">
        <v>8.2897783469999986</v>
      </c>
      <c r="M13" s="630">
        <v>1.04</v>
      </c>
      <c r="N13" s="739">
        <v>269.173778347</v>
      </c>
      <c r="O13" s="741">
        <v>1540.0927917364743</v>
      </c>
      <c r="P13" s="776">
        <v>8.9</v>
      </c>
      <c r="Q13" s="321"/>
      <c r="R13" s="321"/>
      <c r="S13" s="321"/>
    </row>
    <row r="14" spans="1:19" s="39" customFormat="1" ht="14.25" customHeight="1">
      <c r="A14" s="405">
        <v>2017</v>
      </c>
      <c r="B14" s="60"/>
      <c r="C14" s="763">
        <v>502.50407615285201</v>
      </c>
      <c r="D14" s="737">
        <v>65.549000000000007</v>
      </c>
      <c r="E14" s="740">
        <v>258.07765769511997</v>
      </c>
      <c r="F14" s="774">
        <v>79.718753881003835</v>
      </c>
      <c r="G14" s="738">
        <v>28.957433020996149</v>
      </c>
      <c r="H14" s="724">
        <v>934.80692074997205</v>
      </c>
      <c r="I14" s="724">
        <v>329.57100000000003</v>
      </c>
      <c r="J14" s="775">
        <v>25.216000000000001</v>
      </c>
      <c r="K14" s="1191">
        <v>4.0000000000000001E-3</v>
      </c>
      <c r="L14" s="768">
        <v>2.96</v>
      </c>
      <c r="M14" s="630">
        <v>1.71</v>
      </c>
      <c r="N14" s="739">
        <v>359.46100000000001</v>
      </c>
      <c r="O14" s="741">
        <v>1294.2679207499718</v>
      </c>
      <c r="P14" s="776">
        <v>0</v>
      </c>
      <c r="Q14" s="321"/>
      <c r="R14" s="321"/>
      <c r="S14" s="321"/>
    </row>
    <row r="15" spans="1:19" s="306" customFormat="1" ht="14.25" customHeight="1">
      <c r="A15" s="405">
        <v>2018</v>
      </c>
      <c r="B15" s="1113"/>
      <c r="C15" s="1114">
        <v>519.93153725181548</v>
      </c>
      <c r="D15" s="1185">
        <v>53.591862137000007</v>
      </c>
      <c r="E15" s="1115">
        <v>222.623177791442</v>
      </c>
      <c r="F15" s="1116">
        <v>96.1531377137063</v>
      </c>
      <c r="G15" s="1117">
        <v>14.426666385293691</v>
      </c>
      <c r="H15" s="1114">
        <v>906.72638127925745</v>
      </c>
      <c r="I15" s="1114">
        <v>398.91481880213291</v>
      </c>
      <c r="J15" s="1118">
        <v>42.621000000000002</v>
      </c>
      <c r="K15" s="1119">
        <v>4.0000000000000001E-3</v>
      </c>
      <c r="L15" s="1118">
        <v>4.5670000000000002</v>
      </c>
      <c r="M15" s="1120">
        <v>5.2221811978670498</v>
      </c>
      <c r="N15" s="1121">
        <v>451.32900000000001</v>
      </c>
      <c r="O15" s="1122">
        <v>1358.0353812792571</v>
      </c>
      <c r="P15" s="776">
        <v>0</v>
      </c>
      <c r="Q15" s="321"/>
      <c r="R15" s="321"/>
      <c r="S15" s="321"/>
    </row>
    <row r="16" spans="1:19" s="306" customFormat="1" ht="14.25" customHeight="1">
      <c r="A16" s="405">
        <v>2019</v>
      </c>
      <c r="B16" s="1113"/>
      <c r="C16" s="1114">
        <v>378.85739584516273</v>
      </c>
      <c r="D16" s="1185">
        <v>92.72399999999999</v>
      </c>
      <c r="E16" s="1115">
        <v>211.31852858888487</v>
      </c>
      <c r="F16" s="1116">
        <v>129.88868868643104</v>
      </c>
      <c r="G16" s="1117">
        <v>32.53535316127536</v>
      </c>
      <c r="H16" s="1114">
        <v>845.31396628175412</v>
      </c>
      <c r="I16" s="1114">
        <v>418.69491924500005</v>
      </c>
      <c r="J16" s="1118">
        <v>141.69500000000002</v>
      </c>
      <c r="K16" s="1119">
        <v>0</v>
      </c>
      <c r="L16" s="1118">
        <v>3.871</v>
      </c>
      <c r="M16" s="1120">
        <v>5.4079056029999997</v>
      </c>
      <c r="N16" s="1121">
        <v>569.66882484799987</v>
      </c>
      <c r="O16" s="1122">
        <v>1414.9827911297541</v>
      </c>
      <c r="P16" s="776">
        <v>0</v>
      </c>
      <c r="Q16" s="321"/>
      <c r="R16" s="321"/>
      <c r="S16" s="321"/>
    </row>
    <row r="17" spans="1:19" s="306" customFormat="1" ht="14.25" customHeight="1">
      <c r="A17" s="405">
        <v>2020</v>
      </c>
      <c r="B17" s="1113"/>
      <c r="C17" s="1114">
        <v>228.1280877787494</v>
      </c>
      <c r="D17" s="1185">
        <v>148.49605688999998</v>
      </c>
      <c r="E17" s="1115">
        <v>8.4</v>
      </c>
      <c r="F17" s="1116">
        <v>339.05228947759099</v>
      </c>
      <c r="G17" s="1117">
        <v>13.332620790098257</v>
      </c>
      <c r="H17" s="1114">
        <v>737.40905493643868</v>
      </c>
      <c r="I17" s="1114">
        <v>354.89112462628555</v>
      </c>
      <c r="J17" s="1118">
        <v>342.63294310999999</v>
      </c>
      <c r="K17" s="1119">
        <v>0</v>
      </c>
      <c r="L17" s="1118">
        <v>2.82</v>
      </c>
      <c r="M17" s="1120">
        <v>3.66</v>
      </c>
      <c r="N17" s="1121">
        <v>703.98406773628562</v>
      </c>
      <c r="O17" s="1122">
        <v>1441.3931226727243</v>
      </c>
      <c r="P17" s="776">
        <v>0</v>
      </c>
      <c r="Q17" s="321"/>
      <c r="R17" s="321"/>
      <c r="S17" s="321"/>
    </row>
    <row r="18" spans="1:19" s="306" customFormat="1" ht="14.25" customHeight="1">
      <c r="A18" s="405">
        <v>2021</v>
      </c>
      <c r="B18" s="1113"/>
      <c r="C18" s="1114">
        <v>277.99867975620919</v>
      </c>
      <c r="D18" s="1185">
        <v>117.62103641215771</v>
      </c>
      <c r="E18" s="1115">
        <v>6.3933975969999999</v>
      </c>
      <c r="F18" s="1116">
        <v>324.36147645317482</v>
      </c>
      <c r="G18" s="1117">
        <v>10.613990665393281</v>
      </c>
      <c r="H18" s="1114">
        <v>736.95858088393493</v>
      </c>
      <c r="I18" s="1114">
        <v>416.810991153656</v>
      </c>
      <c r="J18" s="1118">
        <v>236.86749219067937</v>
      </c>
      <c r="K18" s="1119">
        <v>0</v>
      </c>
      <c r="L18" s="1118">
        <v>6.3109999999999999</v>
      </c>
      <c r="M18" s="1120">
        <v>0.90318670012999969</v>
      </c>
      <c r="N18" s="1121">
        <v>660.89267004446538</v>
      </c>
      <c r="O18" s="1122">
        <v>1397.8512509284005</v>
      </c>
      <c r="P18" s="776">
        <v>0</v>
      </c>
      <c r="Q18" s="321"/>
      <c r="R18" s="321"/>
      <c r="S18" s="321"/>
    </row>
    <row r="19" spans="1:19" s="306" customFormat="1" ht="14.25" customHeight="1">
      <c r="A19" s="405">
        <v>2022</v>
      </c>
      <c r="B19" s="1113"/>
      <c r="C19" s="1114">
        <v>228.4913319768329</v>
      </c>
      <c r="D19" s="1165">
        <v>133.21857988603119</v>
      </c>
      <c r="E19" s="1115">
        <v>8.2460211609999998</v>
      </c>
      <c r="F19" s="1116">
        <v>357.9819663373674</v>
      </c>
      <c r="G19" s="1117">
        <v>30.954315245116842</v>
      </c>
      <c r="H19" s="1114">
        <v>758.89221460634826</v>
      </c>
      <c r="I19" s="1114">
        <v>832.00806159510489</v>
      </c>
      <c r="J19" s="1118">
        <v>351.82746053888661</v>
      </c>
      <c r="K19" s="1119">
        <v>0</v>
      </c>
      <c r="L19" s="1118">
        <v>9.5890000000000004</v>
      </c>
      <c r="M19" s="1120">
        <v>17.822329622760012</v>
      </c>
      <c r="N19" s="1121">
        <v>1211.2468517567513</v>
      </c>
      <c r="O19" s="1122">
        <v>1970.1390663630996</v>
      </c>
      <c r="P19" s="776">
        <v>0</v>
      </c>
      <c r="Q19" s="321"/>
      <c r="R19" s="321"/>
      <c r="S19" s="321"/>
    </row>
    <row r="20" spans="1:19" s="306" customFormat="1" ht="14.25" customHeight="1">
      <c r="A20" s="405">
        <v>2023</v>
      </c>
      <c r="B20" s="1113"/>
      <c r="C20" s="1114">
        <v>1577.348384469715</v>
      </c>
      <c r="D20" s="1185">
        <v>2085.1103111051216</v>
      </c>
      <c r="E20" s="1115">
        <v>124.01586736534</v>
      </c>
      <c r="F20" s="1116">
        <v>892.65165115634807</v>
      </c>
      <c r="G20" s="1117">
        <v>89.052429943505132</v>
      </c>
      <c r="H20" s="1114">
        <v>4768.1786440400301</v>
      </c>
      <c r="I20" s="1114">
        <v>1334.4313168326421</v>
      </c>
      <c r="J20" s="1118">
        <v>957.14572534161687</v>
      </c>
      <c r="K20" s="1119">
        <v>0</v>
      </c>
      <c r="L20" s="1118">
        <v>1347.8860116270198</v>
      </c>
      <c r="M20" s="1120">
        <v>91.985524963642305</v>
      </c>
      <c r="N20" s="1121">
        <v>3731.4485787649201</v>
      </c>
      <c r="O20" s="1122">
        <v>8499.6272228049511</v>
      </c>
      <c r="P20" s="776">
        <v>0</v>
      </c>
      <c r="Q20" s="321"/>
      <c r="R20" s="321"/>
      <c r="S20" s="321"/>
    </row>
    <row r="21" spans="1:19" s="306" customFormat="1" ht="14.25" customHeight="1">
      <c r="A21" s="405">
        <v>2024</v>
      </c>
      <c r="B21" s="1113"/>
      <c r="C21" s="1114">
        <v>226.53072441698077</v>
      </c>
      <c r="D21" s="1185">
        <v>59.887828264590297</v>
      </c>
      <c r="E21" s="1115">
        <v>96.943428811029989</v>
      </c>
      <c r="F21" s="1116">
        <v>217.67840153944951</v>
      </c>
      <c r="G21" s="1117">
        <v>0.76622926499999999</v>
      </c>
      <c r="H21" s="1114">
        <v>601.77661229705063</v>
      </c>
      <c r="I21" s="1114">
        <v>63.241424999914308</v>
      </c>
      <c r="J21" s="1118">
        <v>0.96561100831000701</v>
      </c>
      <c r="K21" s="1119">
        <v>0</v>
      </c>
      <c r="L21" s="1118">
        <v>3.71</v>
      </c>
      <c r="M21" s="1120">
        <v>0</v>
      </c>
      <c r="N21" s="1121">
        <v>67.917036008224315</v>
      </c>
      <c r="O21" s="1122">
        <v>669.69364830527491</v>
      </c>
      <c r="P21" s="776">
        <v>0</v>
      </c>
      <c r="Q21" s="770"/>
      <c r="R21" s="770"/>
      <c r="S21" s="770"/>
    </row>
    <row r="22" spans="1:19" s="306" customFormat="1" ht="14.25" customHeight="1">
      <c r="A22" s="713">
        <v>2025</v>
      </c>
      <c r="B22" s="1015"/>
      <c r="C22" s="1016">
        <f t="shared" ref="C22:P22" si="0">C28</f>
        <v>283.1354847807288</v>
      </c>
      <c r="D22" s="1017">
        <f t="shared" si="0"/>
        <v>114.73297885631995</v>
      </c>
      <c r="E22" s="1018">
        <f t="shared" si="0"/>
        <v>74.162722478990005</v>
      </c>
      <c r="F22" s="1019">
        <f t="shared" si="0"/>
        <v>145.36001246574773</v>
      </c>
      <c r="G22" s="1020">
        <f t="shared" si="0"/>
        <v>2.8379999999999996</v>
      </c>
      <c r="H22" s="1016">
        <f t="shared" si="0"/>
        <v>620.22919858178648</v>
      </c>
      <c r="I22" s="1016">
        <f t="shared" si="0"/>
        <v>110.75358720028406</v>
      </c>
      <c r="J22" s="1021">
        <f t="shared" si="0"/>
        <v>12.645503327229994</v>
      </c>
      <c r="K22" s="1022">
        <f t="shared" si="0"/>
        <v>0</v>
      </c>
      <c r="L22" s="1021">
        <f t="shared" si="0"/>
        <v>8.5730000000000004</v>
      </c>
      <c r="M22" s="1023">
        <f t="shared" si="0"/>
        <v>0</v>
      </c>
      <c r="N22" s="1024">
        <f t="shared" si="0"/>
        <v>131.97209052751407</v>
      </c>
      <c r="O22" s="1025">
        <f t="shared" si="0"/>
        <v>752.20128910930055</v>
      </c>
      <c r="P22" s="1026">
        <f t="shared" si="0"/>
        <v>0</v>
      </c>
      <c r="Q22" s="770"/>
      <c r="R22" s="770"/>
      <c r="S22" s="770"/>
    </row>
    <row r="23" spans="1:19" s="306" customFormat="1" ht="21" customHeight="1">
      <c r="A23" s="405">
        <v>2024</v>
      </c>
      <c r="B23" s="748" t="s">
        <v>237</v>
      </c>
      <c r="C23" s="763">
        <v>170.43236786383912</v>
      </c>
      <c r="D23" s="737">
        <v>57.727215808250065</v>
      </c>
      <c r="E23" s="1800">
        <v>100.44834223101</v>
      </c>
      <c r="F23" s="1130">
        <v>253.21181926896062</v>
      </c>
      <c r="G23" s="1801">
        <v>0.65</v>
      </c>
      <c r="H23" s="763">
        <v>582.44179765905983</v>
      </c>
      <c r="I23" s="763">
        <v>62.810804690347886</v>
      </c>
      <c r="J23" s="775">
        <v>1.6912774212199981</v>
      </c>
      <c r="K23" s="1802">
        <v>0</v>
      </c>
      <c r="L23" s="775">
        <v>3.1789999999999998</v>
      </c>
      <c r="M23" s="749">
        <v>0</v>
      </c>
      <c r="N23" s="1803">
        <v>67.681082111567889</v>
      </c>
      <c r="O23" s="741">
        <v>650.1428797706277</v>
      </c>
      <c r="P23" s="776">
        <v>0</v>
      </c>
      <c r="Q23" s="321"/>
      <c r="R23" s="321"/>
      <c r="S23" s="321"/>
    </row>
    <row r="24" spans="1:19" s="306" customFormat="1" ht="15" customHeight="1">
      <c r="A24" s="405"/>
      <c r="B24" s="748" t="s">
        <v>238</v>
      </c>
      <c r="C24" s="763">
        <v>226.53072441698077</v>
      </c>
      <c r="D24" s="737">
        <v>59.887828264590297</v>
      </c>
      <c r="E24" s="1800">
        <v>96.943428811029989</v>
      </c>
      <c r="F24" s="1130">
        <v>217.67840153944951</v>
      </c>
      <c r="G24" s="1801">
        <v>0.76622926499999999</v>
      </c>
      <c r="H24" s="763">
        <v>601.77661229705063</v>
      </c>
      <c r="I24" s="763">
        <v>63.241424999914308</v>
      </c>
      <c r="J24" s="775">
        <v>0.96561100831000701</v>
      </c>
      <c r="K24" s="1802">
        <v>0</v>
      </c>
      <c r="L24" s="775">
        <v>3.71</v>
      </c>
      <c r="M24" s="749">
        <v>0</v>
      </c>
      <c r="N24" s="1803">
        <v>67.917036008224315</v>
      </c>
      <c r="O24" s="741">
        <v>669.69364830527491</v>
      </c>
      <c r="P24" s="776">
        <v>0</v>
      </c>
      <c r="Q24" s="770"/>
      <c r="R24" s="770"/>
      <c r="S24" s="770"/>
    </row>
    <row r="25" spans="1:19" s="306" customFormat="1" ht="21" customHeight="1">
      <c r="A25" s="405">
        <v>2025</v>
      </c>
      <c r="B25" s="748" t="s">
        <v>239</v>
      </c>
      <c r="C25" s="763">
        <v>242.56343979939672</v>
      </c>
      <c r="D25" s="737">
        <v>77.584598385309988</v>
      </c>
      <c r="E25" s="1800">
        <v>82.715979246019998</v>
      </c>
      <c r="F25" s="1130">
        <v>210.23763790402148</v>
      </c>
      <c r="G25" s="1801">
        <v>2.1042899000000146E-2</v>
      </c>
      <c r="H25" s="763">
        <v>613.10269823374813</v>
      </c>
      <c r="I25" s="763">
        <v>63.737479881056991</v>
      </c>
      <c r="J25" s="775">
        <v>6.9960518101599956</v>
      </c>
      <c r="K25" s="1802">
        <v>0</v>
      </c>
      <c r="L25" s="775">
        <v>4.6639999999999997</v>
      </c>
      <c r="M25" s="749">
        <v>0</v>
      </c>
      <c r="N25" s="1803">
        <v>75.397531691216983</v>
      </c>
      <c r="O25" s="741">
        <v>688.50022992496508</v>
      </c>
      <c r="P25" s="776">
        <v>0</v>
      </c>
      <c r="Q25" s="770"/>
      <c r="R25" s="770"/>
      <c r="S25" s="770"/>
    </row>
    <row r="26" spans="1:19" s="306" customFormat="1" ht="15" customHeight="1">
      <c r="A26" s="405"/>
      <c r="B26" s="748" t="s">
        <v>240</v>
      </c>
      <c r="C26" s="763">
        <v>255.9304422378201</v>
      </c>
      <c r="D26" s="737">
        <v>71.305379247909997</v>
      </c>
      <c r="E26" s="1800">
        <v>85.194113346020004</v>
      </c>
      <c r="F26" s="1130">
        <v>199.32538172825048</v>
      </c>
      <c r="G26" s="1801">
        <v>2.7840763900000001</v>
      </c>
      <c r="H26" s="763">
        <v>614.53939295000066</v>
      </c>
      <c r="I26" s="763">
        <v>63.945835993284746</v>
      </c>
      <c r="J26" s="775">
        <v>9.0766998049899996</v>
      </c>
      <c r="K26" s="1802">
        <v>9.9328369600000035E-3</v>
      </c>
      <c r="L26" s="775">
        <v>6.476</v>
      </c>
      <c r="M26" s="749">
        <v>0</v>
      </c>
      <c r="N26" s="1803">
        <v>79.458468635234752</v>
      </c>
      <c r="O26" s="741">
        <v>693.98786158523535</v>
      </c>
      <c r="P26" s="776">
        <v>0</v>
      </c>
      <c r="Q26" s="770"/>
      <c r="R26" s="770"/>
      <c r="S26" s="770"/>
    </row>
    <row r="27" spans="1:19" s="306" customFormat="1" ht="15" customHeight="1">
      <c r="A27" s="405"/>
      <c r="B27" s="748" t="s">
        <v>237</v>
      </c>
      <c r="C27" s="763">
        <v>241.25601742059885</v>
      </c>
      <c r="D27" s="737">
        <v>65.330107880170004</v>
      </c>
      <c r="E27" s="1800">
        <v>79.209641501990006</v>
      </c>
      <c r="F27" s="1130">
        <v>195.3907474413777</v>
      </c>
      <c r="G27" s="1801">
        <v>3.8680000000000003</v>
      </c>
      <c r="H27" s="763">
        <v>585.05451424413661</v>
      </c>
      <c r="I27" s="763">
        <v>97.739575032402996</v>
      </c>
      <c r="J27" s="775">
        <v>9.2366431841299974</v>
      </c>
      <c r="K27" s="1802">
        <v>9.9593745599999908E-3</v>
      </c>
      <c r="L27" s="775">
        <v>7.3369999999999997</v>
      </c>
      <c r="M27" s="749">
        <v>0</v>
      </c>
      <c r="N27" s="1803">
        <v>114.243177591093</v>
      </c>
      <c r="O27" s="741">
        <v>699.31769183522965</v>
      </c>
      <c r="P27" s="776">
        <v>0</v>
      </c>
      <c r="Q27" s="770"/>
      <c r="R27" s="770"/>
      <c r="S27" s="770"/>
    </row>
    <row r="28" spans="1:19" s="306" customFormat="1" ht="15" customHeight="1">
      <c r="A28" s="405"/>
      <c r="B28" s="748" t="s">
        <v>238</v>
      </c>
      <c r="C28" s="763">
        <f t="shared" ref="C28:P28" si="1">C36</f>
        <v>283.1354847807288</v>
      </c>
      <c r="D28" s="737">
        <f t="shared" si="1"/>
        <v>114.73297885631995</v>
      </c>
      <c r="E28" s="1800">
        <f t="shared" si="1"/>
        <v>74.162722478990005</v>
      </c>
      <c r="F28" s="1130">
        <f t="shared" si="1"/>
        <v>145.36001246574773</v>
      </c>
      <c r="G28" s="1801">
        <f t="shared" si="1"/>
        <v>2.8379999999999996</v>
      </c>
      <c r="H28" s="763">
        <f t="shared" si="1"/>
        <v>620.22919858178648</v>
      </c>
      <c r="I28" s="763">
        <f t="shared" si="1"/>
        <v>110.75358720028406</v>
      </c>
      <c r="J28" s="775">
        <f t="shared" si="1"/>
        <v>12.645503327229994</v>
      </c>
      <c r="K28" s="1802">
        <f t="shared" si="1"/>
        <v>0</v>
      </c>
      <c r="L28" s="775">
        <f t="shared" si="1"/>
        <v>8.5730000000000004</v>
      </c>
      <c r="M28" s="749">
        <f t="shared" si="1"/>
        <v>0</v>
      </c>
      <c r="N28" s="1803">
        <f t="shared" si="1"/>
        <v>131.97209052751407</v>
      </c>
      <c r="O28" s="741">
        <f t="shared" si="1"/>
        <v>752.20128910930055</v>
      </c>
      <c r="P28" s="776">
        <f t="shared" si="1"/>
        <v>0</v>
      </c>
      <c r="Q28" s="770"/>
      <c r="R28" s="770"/>
      <c r="S28" s="770"/>
    </row>
    <row r="29" spans="1:19" s="306" customFormat="1" ht="21" customHeight="1">
      <c r="A29" s="405">
        <v>2026</v>
      </c>
      <c r="B29" s="748" t="s">
        <v>239</v>
      </c>
      <c r="C29" s="763">
        <f t="shared" ref="C29:P29" si="2">C39</f>
        <v>292.03706993906337</v>
      </c>
      <c r="D29" s="737">
        <f t="shared" si="2"/>
        <v>86.366473894670577</v>
      </c>
      <c r="E29" s="1800">
        <f t="shared" si="2"/>
        <v>70.360463838979996</v>
      </c>
      <c r="F29" s="1130">
        <f t="shared" si="2"/>
        <v>127.82125838106876</v>
      </c>
      <c r="G29" s="1801">
        <f t="shared" si="2"/>
        <v>1.0857394629999999</v>
      </c>
      <c r="H29" s="763">
        <f t="shared" si="2"/>
        <v>577.67100551678277</v>
      </c>
      <c r="I29" s="763">
        <f t="shared" si="2"/>
        <v>119.89305513434275</v>
      </c>
      <c r="J29" s="775">
        <f t="shared" si="2"/>
        <v>5.0306509722999966</v>
      </c>
      <c r="K29" s="1802">
        <f t="shared" si="2"/>
        <v>0</v>
      </c>
      <c r="L29" s="775">
        <f t="shared" si="2"/>
        <v>9.8569999999999993</v>
      </c>
      <c r="M29" s="749">
        <f t="shared" si="2"/>
        <v>0</v>
      </c>
      <c r="N29" s="1803">
        <f t="shared" si="2"/>
        <v>134.78070610664273</v>
      </c>
      <c r="O29" s="741">
        <f t="shared" si="2"/>
        <v>712.45171162342547</v>
      </c>
      <c r="P29" s="776">
        <f t="shared" si="2"/>
        <v>0</v>
      </c>
      <c r="Q29" s="770"/>
      <c r="R29" s="770"/>
      <c r="S29" s="770"/>
    </row>
    <row r="30" spans="1:19" s="306" customFormat="1" ht="15" customHeight="1">
      <c r="A30" s="713"/>
      <c r="B30" s="997" t="s">
        <v>240</v>
      </c>
      <c r="C30" s="1804">
        <f t="shared" ref="C30:P30" si="3">C42</f>
        <v>331.37183380568626</v>
      </c>
      <c r="D30" s="1805">
        <f t="shared" si="3"/>
        <v>82.228659579510648</v>
      </c>
      <c r="E30" s="1806">
        <f t="shared" si="3"/>
        <v>65.321704063959999</v>
      </c>
      <c r="F30" s="1041">
        <f t="shared" si="3"/>
        <v>101.30744524170524</v>
      </c>
      <c r="G30" s="1807">
        <f t="shared" si="3"/>
        <v>15.033409812</v>
      </c>
      <c r="H30" s="1804">
        <f t="shared" si="3"/>
        <v>595.24305250286216</v>
      </c>
      <c r="I30" s="1804">
        <f t="shared" si="3"/>
        <v>120.36201340179468</v>
      </c>
      <c r="J30" s="1808">
        <f t="shared" si="3"/>
        <v>4.9320024625400061</v>
      </c>
      <c r="K30" s="1809">
        <f t="shared" si="3"/>
        <v>0</v>
      </c>
      <c r="L30" s="1808">
        <f t="shared" si="3"/>
        <v>7.5789999999999997</v>
      </c>
      <c r="M30" s="998">
        <f t="shared" si="3"/>
        <v>0</v>
      </c>
      <c r="N30" s="1810">
        <f t="shared" si="3"/>
        <v>132.87301586433469</v>
      </c>
      <c r="O30" s="1811">
        <f t="shared" si="3"/>
        <v>728.1360683671968</v>
      </c>
      <c r="P30" s="1026">
        <f t="shared" si="3"/>
        <v>0</v>
      </c>
      <c r="Q30" s="770"/>
      <c r="R30" s="770"/>
      <c r="S30" s="770"/>
    </row>
    <row r="31" spans="1:19" s="321" customFormat="1" ht="21" customHeight="1">
      <c r="A31" s="747">
        <v>2025</v>
      </c>
      <c r="B31" s="748" t="s">
        <v>420</v>
      </c>
      <c r="C31" s="763">
        <v>235.18607048798202</v>
      </c>
      <c r="D31" s="737">
        <v>68.768972431910001</v>
      </c>
      <c r="E31" s="740">
        <v>71.022872788000001</v>
      </c>
      <c r="F31" s="774">
        <v>204.02452605374731</v>
      </c>
      <c r="G31" s="738">
        <v>20.638999999999999</v>
      </c>
      <c r="H31" s="724">
        <v>599.64144176163927</v>
      </c>
      <c r="I31" s="724">
        <v>90.401397686532079</v>
      </c>
      <c r="J31" s="775">
        <v>9.3631194869599987</v>
      </c>
      <c r="K31" s="1191">
        <v>0</v>
      </c>
      <c r="L31" s="768">
        <v>6.6269999999999998</v>
      </c>
      <c r="M31" s="630">
        <v>0</v>
      </c>
      <c r="N31" s="739">
        <v>106.36151717349208</v>
      </c>
      <c r="O31" s="741">
        <v>706.00295893513135</v>
      </c>
      <c r="P31" s="776">
        <v>0</v>
      </c>
      <c r="Q31" s="770"/>
      <c r="R31" s="770"/>
      <c r="S31" s="770"/>
    </row>
    <row r="32" spans="1:19" s="321" customFormat="1" ht="16.5" customHeight="1">
      <c r="A32" s="747"/>
      <c r="B32" s="748" t="s">
        <v>421</v>
      </c>
      <c r="C32" s="763">
        <v>239.78223697608698</v>
      </c>
      <c r="D32" s="737">
        <v>70.866530191809758</v>
      </c>
      <c r="E32" s="740">
        <v>71.022872836999994</v>
      </c>
      <c r="F32" s="774">
        <v>205.60416498431439</v>
      </c>
      <c r="G32" s="738">
        <v>3.2356512400000002</v>
      </c>
      <c r="H32" s="724">
        <v>590.51145622921103</v>
      </c>
      <c r="I32" s="724">
        <v>90.592092972588574</v>
      </c>
      <c r="J32" s="775">
        <v>9.2421017081399945</v>
      </c>
      <c r="K32" s="1191">
        <v>0</v>
      </c>
      <c r="L32" s="768">
        <v>7.06</v>
      </c>
      <c r="M32" s="630">
        <v>0</v>
      </c>
      <c r="N32" s="739">
        <v>106.90419468072858</v>
      </c>
      <c r="O32" s="741">
        <v>697.41565090993981</v>
      </c>
      <c r="P32" s="776">
        <v>0</v>
      </c>
      <c r="Q32" s="770"/>
      <c r="R32" s="770"/>
      <c r="S32" s="770"/>
    </row>
    <row r="33" spans="1:19" s="321" customFormat="1" ht="16.5" customHeight="1">
      <c r="A33" s="747"/>
      <c r="B33" s="748" t="s">
        <v>422</v>
      </c>
      <c r="C33" s="763">
        <v>241.25601742059885</v>
      </c>
      <c r="D33" s="737">
        <v>65.330107880170004</v>
      </c>
      <c r="E33" s="740">
        <v>79.209641501990006</v>
      </c>
      <c r="F33" s="774">
        <v>195.3907474413777</v>
      </c>
      <c r="G33" s="738">
        <v>3.8680000000000003</v>
      </c>
      <c r="H33" s="724">
        <v>585.05451424413661</v>
      </c>
      <c r="I33" s="724">
        <v>97.739575032402996</v>
      </c>
      <c r="J33" s="775">
        <v>9.2366431841299974</v>
      </c>
      <c r="K33" s="1191">
        <v>9.9593745599999908E-3</v>
      </c>
      <c r="L33" s="768">
        <v>7.3369999999999997</v>
      </c>
      <c r="M33" s="630">
        <v>0</v>
      </c>
      <c r="N33" s="739">
        <v>114.243177591093</v>
      </c>
      <c r="O33" s="741">
        <v>699.31769183522965</v>
      </c>
      <c r="P33" s="776">
        <v>0</v>
      </c>
      <c r="Q33" s="770"/>
      <c r="R33" s="770"/>
      <c r="S33" s="770"/>
    </row>
    <row r="34" spans="1:19" s="321" customFormat="1" ht="16.5" customHeight="1">
      <c r="A34" s="747"/>
      <c r="B34" s="748" t="s">
        <v>411</v>
      </c>
      <c r="C34" s="763">
        <v>255.1914692546402</v>
      </c>
      <c r="D34" s="737">
        <v>70.268063485720006</v>
      </c>
      <c r="E34" s="740">
        <v>74.142714417990007</v>
      </c>
      <c r="F34" s="774">
        <v>185.97453111499703</v>
      </c>
      <c r="G34" s="738">
        <v>2.4790000000000001</v>
      </c>
      <c r="H34" s="724">
        <v>588.07577827334717</v>
      </c>
      <c r="I34" s="724">
        <v>101.03196824150777</v>
      </c>
      <c r="J34" s="775">
        <v>9.161128183140006</v>
      </c>
      <c r="K34" s="1191">
        <v>0</v>
      </c>
      <c r="L34" s="768">
        <v>7.532</v>
      </c>
      <c r="M34" s="630">
        <v>0</v>
      </c>
      <c r="N34" s="739">
        <v>117.72509642464777</v>
      </c>
      <c r="O34" s="741">
        <v>705.80087469799503</v>
      </c>
      <c r="P34" s="776">
        <v>0</v>
      </c>
      <c r="Q34" s="770"/>
      <c r="R34" s="770"/>
      <c r="S34" s="770"/>
    </row>
    <row r="35" spans="1:19" s="321" customFormat="1" ht="16.5" customHeight="1">
      <c r="A35" s="747"/>
      <c r="B35" s="748" t="s">
        <v>412</v>
      </c>
      <c r="C35" s="763">
        <v>249.51725225669028</v>
      </c>
      <c r="D35" s="737">
        <v>109.14082884025024</v>
      </c>
      <c r="E35" s="740">
        <v>74.162718521990001</v>
      </c>
      <c r="F35" s="774">
        <v>185.97453111499703</v>
      </c>
      <c r="G35" s="738">
        <v>3.2907469630000001</v>
      </c>
      <c r="H35" s="724">
        <v>622.08607769692753</v>
      </c>
      <c r="I35" s="724">
        <v>101.01996824150777</v>
      </c>
      <c r="J35" s="775">
        <v>5.640071851170001</v>
      </c>
      <c r="K35" s="1191">
        <v>0</v>
      </c>
      <c r="L35" s="768">
        <v>8.2970000000000006</v>
      </c>
      <c r="M35" s="630">
        <v>0</v>
      </c>
      <c r="N35" s="739">
        <v>114.93704009267778</v>
      </c>
      <c r="O35" s="741">
        <v>737.04311778960539</v>
      </c>
      <c r="P35" s="776">
        <v>0</v>
      </c>
      <c r="Q35" s="770"/>
      <c r="R35" s="770"/>
      <c r="S35" s="770"/>
    </row>
    <row r="36" spans="1:19" s="321" customFormat="1" ht="16.5" customHeight="1">
      <c r="A36" s="747"/>
      <c r="B36" s="748" t="s">
        <v>413</v>
      </c>
      <c r="C36" s="763">
        <v>283.1354847807288</v>
      </c>
      <c r="D36" s="737">
        <v>114.73297885631995</v>
      </c>
      <c r="E36" s="740">
        <v>74.162722478990005</v>
      </c>
      <c r="F36" s="774">
        <v>145.36001246574773</v>
      </c>
      <c r="G36" s="738">
        <v>2.8379999999999996</v>
      </c>
      <c r="H36" s="724">
        <v>620.22919858178648</v>
      </c>
      <c r="I36" s="724">
        <v>110.75358720028406</v>
      </c>
      <c r="J36" s="775">
        <v>12.645503327229994</v>
      </c>
      <c r="K36" s="1191">
        <v>0</v>
      </c>
      <c r="L36" s="768">
        <v>8.5730000000000004</v>
      </c>
      <c r="M36" s="630">
        <v>0</v>
      </c>
      <c r="N36" s="739">
        <v>131.97209052751407</v>
      </c>
      <c r="O36" s="741">
        <v>752.20128910930055</v>
      </c>
      <c r="P36" s="776">
        <v>0</v>
      </c>
      <c r="Q36" s="770"/>
      <c r="R36" s="770"/>
      <c r="S36" s="770"/>
    </row>
    <row r="37" spans="1:19" s="321" customFormat="1" ht="21" customHeight="1">
      <c r="A37" s="747">
        <v>2026</v>
      </c>
      <c r="B37" s="748" t="s">
        <v>414</v>
      </c>
      <c r="C37" s="763">
        <v>274.76175499453217</v>
      </c>
      <c r="D37" s="737">
        <v>112.89746304270969</v>
      </c>
      <c r="E37" s="740">
        <v>76.341783070990004</v>
      </c>
      <c r="F37" s="774">
        <v>156.04813006081218</v>
      </c>
      <c r="G37" s="738">
        <v>3.9780808350000001</v>
      </c>
      <c r="H37" s="724">
        <v>624.02721200404403</v>
      </c>
      <c r="I37" s="724">
        <v>119.74178569011615</v>
      </c>
      <c r="J37" s="775">
        <v>5.0773866362500071</v>
      </c>
      <c r="K37" s="1191">
        <v>0</v>
      </c>
      <c r="L37" s="768">
        <v>9.1</v>
      </c>
      <c r="M37" s="630">
        <v>0</v>
      </c>
      <c r="N37" s="739">
        <v>133.91917232636615</v>
      </c>
      <c r="O37" s="741">
        <v>757.94638433041007</v>
      </c>
      <c r="P37" s="776">
        <v>0</v>
      </c>
      <c r="Q37" s="770"/>
      <c r="R37" s="770"/>
      <c r="S37" s="770"/>
    </row>
    <row r="38" spans="1:19" s="321" customFormat="1" ht="16.5" customHeight="1">
      <c r="A38" s="747"/>
      <c r="B38" s="748" t="s">
        <v>415</v>
      </c>
      <c r="C38" s="763">
        <v>291.37934349270779</v>
      </c>
      <c r="D38" s="737">
        <v>104.87216020330995</v>
      </c>
      <c r="E38" s="740">
        <v>69.341786350990006</v>
      </c>
      <c r="F38" s="774">
        <v>140.02514221054145</v>
      </c>
      <c r="G38" s="738">
        <v>29.094928976999999</v>
      </c>
      <c r="H38" s="724">
        <v>634.71336123454921</v>
      </c>
      <c r="I38" s="724">
        <v>119.33192449569121</v>
      </c>
      <c r="J38" s="775">
        <v>5.1572956042600042</v>
      </c>
      <c r="K38" s="1191">
        <v>0</v>
      </c>
      <c r="L38" s="768">
        <v>9.3719999999999999</v>
      </c>
      <c r="M38" s="630">
        <v>0</v>
      </c>
      <c r="N38" s="739">
        <v>133.8612200999512</v>
      </c>
      <c r="O38" s="741">
        <v>768.57458133450041</v>
      </c>
      <c r="P38" s="776">
        <v>0</v>
      </c>
      <c r="Q38" s="770"/>
      <c r="R38" s="770"/>
      <c r="S38" s="770"/>
    </row>
    <row r="39" spans="1:19" s="321" customFormat="1" ht="16.5" customHeight="1">
      <c r="A39" s="747"/>
      <c r="B39" s="748" t="s">
        <v>416</v>
      </c>
      <c r="C39" s="763">
        <v>292.03706993906337</v>
      </c>
      <c r="D39" s="737">
        <v>86.366473894670577</v>
      </c>
      <c r="E39" s="740">
        <v>70.360463838979996</v>
      </c>
      <c r="F39" s="774">
        <v>127.82125838106876</v>
      </c>
      <c r="G39" s="738">
        <v>1.0857394629999999</v>
      </c>
      <c r="H39" s="724">
        <v>577.67100551678277</v>
      </c>
      <c r="I39" s="724">
        <v>119.89305513434275</v>
      </c>
      <c r="J39" s="775">
        <v>5.0306509722999966</v>
      </c>
      <c r="K39" s="1191">
        <v>0</v>
      </c>
      <c r="L39" s="768">
        <v>9.8569999999999993</v>
      </c>
      <c r="M39" s="630">
        <v>0</v>
      </c>
      <c r="N39" s="739">
        <v>134.78070610664273</v>
      </c>
      <c r="O39" s="741">
        <v>712.45171162342547</v>
      </c>
      <c r="P39" s="776">
        <v>0</v>
      </c>
      <c r="Q39" s="770"/>
      <c r="R39" s="770"/>
      <c r="S39" s="770"/>
    </row>
    <row r="40" spans="1:19" s="321" customFormat="1" ht="16.5" customHeight="1">
      <c r="A40" s="747"/>
      <c r="B40" s="748" t="s">
        <v>417</v>
      </c>
      <c r="C40" s="763">
        <v>293.24385061123598</v>
      </c>
      <c r="D40" s="737">
        <v>92.295596349367713</v>
      </c>
      <c r="E40" s="740">
        <v>70.381495717980002</v>
      </c>
      <c r="F40" s="774">
        <v>133.25899170527663</v>
      </c>
      <c r="G40" s="738">
        <v>11.073000000000002</v>
      </c>
      <c r="H40" s="724">
        <v>600.25293438386029</v>
      </c>
      <c r="I40" s="724">
        <v>119.63010706677171</v>
      </c>
      <c r="J40" s="775">
        <v>5.0164766924399959</v>
      </c>
      <c r="K40" s="1191">
        <v>0</v>
      </c>
      <c r="L40" s="768">
        <v>10.016</v>
      </c>
      <c r="M40" s="630">
        <v>0</v>
      </c>
      <c r="N40" s="739">
        <v>134.6125837592117</v>
      </c>
      <c r="O40" s="741">
        <v>734.91551814307206</v>
      </c>
      <c r="P40" s="776">
        <v>0</v>
      </c>
      <c r="Q40" s="770"/>
      <c r="R40" s="770"/>
      <c r="S40" s="770"/>
    </row>
    <row r="41" spans="1:19" s="321" customFormat="1" ht="16.5" customHeight="1">
      <c r="A41" s="747"/>
      <c r="B41" s="748" t="s">
        <v>418</v>
      </c>
      <c r="C41" s="763">
        <v>307.08138687276801</v>
      </c>
      <c r="D41" s="737">
        <v>121.56472401235115</v>
      </c>
      <c r="E41" s="740">
        <v>70.402626179980004</v>
      </c>
      <c r="F41" s="774">
        <v>121.54342828781009</v>
      </c>
      <c r="G41" s="738">
        <v>8.2174634420000015</v>
      </c>
      <c r="H41" s="724">
        <v>628.78962879490928</v>
      </c>
      <c r="I41" s="724">
        <v>119.55444920970949</v>
      </c>
      <c r="J41" s="775">
        <v>4.9368678514999953</v>
      </c>
      <c r="K41" s="1191">
        <v>0</v>
      </c>
      <c r="L41" s="768">
        <v>10.218999999999999</v>
      </c>
      <c r="M41" s="630">
        <v>0</v>
      </c>
      <c r="N41" s="739">
        <v>134.71031706120951</v>
      </c>
      <c r="O41" s="741">
        <v>763.49994585611853</v>
      </c>
      <c r="P41" s="776">
        <v>0</v>
      </c>
      <c r="Q41" s="770"/>
      <c r="R41" s="770"/>
      <c r="S41" s="770"/>
    </row>
    <row r="42" spans="1:19" s="321" customFormat="1" ht="16.5" customHeight="1">
      <c r="A42" s="747"/>
      <c r="B42" s="748" t="s">
        <v>419</v>
      </c>
      <c r="C42" s="763">
        <v>331.37183380568626</v>
      </c>
      <c r="D42" s="737">
        <v>82.228659579510648</v>
      </c>
      <c r="E42" s="740">
        <v>65.321704063959999</v>
      </c>
      <c r="F42" s="774">
        <v>101.30744524170524</v>
      </c>
      <c r="G42" s="738">
        <v>15.033409812</v>
      </c>
      <c r="H42" s="724">
        <v>595.24305250286216</v>
      </c>
      <c r="I42" s="724">
        <v>120.36201340179468</v>
      </c>
      <c r="J42" s="775">
        <v>4.9320024625400061</v>
      </c>
      <c r="K42" s="1191">
        <v>0</v>
      </c>
      <c r="L42" s="768">
        <v>7.5789999999999997</v>
      </c>
      <c r="M42" s="630">
        <v>0</v>
      </c>
      <c r="N42" s="739">
        <v>132.87301586433469</v>
      </c>
      <c r="O42" s="741">
        <v>728.1360683671968</v>
      </c>
      <c r="P42" s="776">
        <v>0</v>
      </c>
      <c r="Q42" s="770"/>
      <c r="R42" s="770"/>
      <c r="S42" s="770"/>
    </row>
    <row r="43" spans="1:19" s="321" customFormat="1" ht="16.5" customHeight="1">
      <c r="A43" s="747"/>
      <c r="B43" s="748" t="s">
        <v>420</v>
      </c>
      <c r="C43" s="763">
        <v>342.54777582657243</v>
      </c>
      <c r="D43" s="737">
        <v>99.924013208329939</v>
      </c>
      <c r="E43" s="740">
        <v>61.500764896950002</v>
      </c>
      <c r="F43" s="774">
        <v>95.521042273743575</v>
      </c>
      <c r="G43" s="738">
        <v>13.957476303</v>
      </c>
      <c r="H43" s="724">
        <v>613.44107250859588</v>
      </c>
      <c r="I43" s="724">
        <v>120.06338565240335</v>
      </c>
      <c r="J43" s="775">
        <v>5.2754405976099941</v>
      </c>
      <c r="K43" s="1191">
        <v>0</v>
      </c>
      <c r="L43" s="768">
        <v>8.0250000000000004</v>
      </c>
      <c r="M43" s="630">
        <v>0</v>
      </c>
      <c r="N43" s="739">
        <v>133.36382625001337</v>
      </c>
      <c r="O43" s="741">
        <v>746.8048987586094</v>
      </c>
      <c r="P43" s="776">
        <v>0</v>
      </c>
      <c r="Q43" s="770"/>
      <c r="R43" s="770"/>
      <c r="S43" s="770"/>
    </row>
    <row r="44" spans="1:19" ht="19.5" customHeight="1">
      <c r="A44" s="380" t="s">
        <v>1003</v>
      </c>
      <c r="B44" s="1410"/>
      <c r="C44" s="1410"/>
      <c r="D44" s="1410"/>
      <c r="E44" s="1410"/>
      <c r="F44" s="1410"/>
      <c r="G44" s="1410"/>
      <c r="H44" s="1410"/>
      <c r="I44" s="220"/>
      <c r="J44" s="1410"/>
      <c r="K44" s="1410"/>
      <c r="L44" s="1410"/>
      <c r="M44" s="1410"/>
      <c r="N44" s="220"/>
      <c r="O44" s="726"/>
      <c r="P44" s="1728" t="s">
        <v>1004</v>
      </c>
    </row>
    <row r="45" spans="1:19">
      <c r="A45" s="381" t="s">
        <v>1005</v>
      </c>
      <c r="O45" s="1729"/>
      <c r="P45" s="1729" t="s">
        <v>1006</v>
      </c>
    </row>
    <row r="46" spans="1:19">
      <c r="A46" s="381" t="s">
        <v>1007</v>
      </c>
      <c r="O46" s="1729"/>
      <c r="P46" s="1729" t="s">
        <v>1008</v>
      </c>
    </row>
    <row r="47" spans="1:19">
      <c r="A47" s="25" t="s">
        <v>1009</v>
      </c>
      <c r="P47" s="736" t="s">
        <v>1010</v>
      </c>
    </row>
    <row r="48" spans="1:19">
      <c r="A48" s="25"/>
      <c r="P48" s="736"/>
    </row>
    <row r="49" spans="1:16">
      <c r="A49" s="382" t="s">
        <v>1018</v>
      </c>
      <c r="B49" s="1414"/>
      <c r="C49" s="1414"/>
      <c r="D49" s="1414"/>
      <c r="E49" s="1414"/>
      <c r="F49" s="1414"/>
      <c r="G49" s="1414"/>
      <c r="H49" s="1414"/>
      <c r="I49" s="1414"/>
      <c r="J49" s="1414"/>
      <c r="K49" s="1414"/>
      <c r="L49" s="1414"/>
      <c r="M49" s="1414"/>
      <c r="N49" s="1414"/>
      <c r="O49" s="1414"/>
      <c r="P49" s="1414"/>
    </row>
  </sheetData>
  <printOptions horizontalCentered="1" verticalCentered="1"/>
  <pageMargins left="0" right="0" top="0" bottom="0" header="0.5" footer="0.5"/>
  <pageSetup paperSize="9" scale="7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7"/>
  <dimension ref="A1:R49"/>
  <sheetViews>
    <sheetView zoomScale="80" zoomScaleNormal="80" workbookViewId="0">
      <pane ySplit="12" topLeftCell="A40" activePane="bottomLeft" state="frozen"/>
      <selection activeCell="B2" sqref="B2"/>
      <selection pane="bottomLeft" activeCell="I44" sqref="I44"/>
    </sheetView>
  </sheetViews>
  <sheetFormatPr defaultColWidth="7.77734375" defaultRowHeight="13.2"/>
  <cols>
    <col min="1" max="2" width="9.21875" style="381" customWidth="1"/>
    <col min="3" max="3" width="10.77734375" style="381" customWidth="1"/>
    <col min="4" max="4" width="12.77734375" style="381" customWidth="1"/>
    <col min="5" max="5" width="13.77734375" style="381" customWidth="1"/>
    <col min="6" max="6" width="12.21875" style="381" customWidth="1"/>
    <col min="7" max="8" width="10.77734375" style="381" customWidth="1"/>
    <col min="9" max="9" width="14.21875" style="381" customWidth="1"/>
    <col min="10" max="10" width="12.77734375" style="381" customWidth="1"/>
    <col min="11" max="11" width="13.77734375" style="381" customWidth="1"/>
    <col min="12" max="12" width="10.77734375" style="381" customWidth="1"/>
    <col min="13" max="13" width="14.77734375" style="381" customWidth="1"/>
    <col min="14" max="14" width="12.77734375" style="381" customWidth="1"/>
    <col min="15" max="15" width="14.77734375" style="381" customWidth="1"/>
    <col min="16" max="16" width="9.21875" style="381" customWidth="1"/>
    <col min="17" max="16384" width="7.77734375" style="381"/>
  </cols>
  <sheetData>
    <row r="1" spans="1:18" ht="17.399999999999999">
      <c r="A1" s="277" t="s">
        <v>1759</v>
      </c>
      <c r="B1" s="1710"/>
      <c r="C1" s="382"/>
      <c r="D1" s="382"/>
      <c r="E1" s="382"/>
      <c r="F1" s="382"/>
      <c r="G1" s="382"/>
      <c r="H1" s="382"/>
      <c r="I1" s="382"/>
      <c r="J1" s="382"/>
      <c r="K1" s="382"/>
      <c r="L1" s="382"/>
      <c r="M1" s="382"/>
      <c r="N1" s="382"/>
      <c r="O1" s="382"/>
    </row>
    <row r="2" spans="1:18" ht="17.399999999999999">
      <c r="A2" s="1660" t="s">
        <v>1019</v>
      </c>
      <c r="B2" s="1710"/>
      <c r="C2" s="382"/>
      <c r="D2" s="382"/>
      <c r="E2" s="382"/>
      <c r="F2" s="382"/>
      <c r="G2" s="382"/>
      <c r="H2" s="382"/>
      <c r="I2" s="382"/>
      <c r="J2" s="382"/>
      <c r="K2" s="382"/>
      <c r="L2" s="382"/>
      <c r="M2" s="382"/>
      <c r="N2" s="382"/>
      <c r="O2" s="382"/>
    </row>
    <row r="3" spans="1:18" ht="17.399999999999999">
      <c r="A3" s="277" t="s">
        <v>1020</v>
      </c>
      <c r="B3" s="1710"/>
      <c r="C3" s="382"/>
      <c r="D3" s="382"/>
      <c r="E3" s="382"/>
      <c r="F3" s="382"/>
      <c r="G3" s="382"/>
      <c r="H3" s="382"/>
      <c r="I3" s="382"/>
      <c r="J3" s="382"/>
      <c r="K3" s="382"/>
      <c r="L3" s="382"/>
      <c r="M3" s="382"/>
      <c r="N3" s="382"/>
      <c r="O3" s="382"/>
    </row>
    <row r="4" spans="1:18" ht="17.399999999999999">
      <c r="A4" s="1660" t="s">
        <v>372</v>
      </c>
      <c r="B4" s="1710"/>
      <c r="C4" s="382"/>
      <c r="D4" s="382"/>
      <c r="E4" s="382"/>
      <c r="F4" s="382"/>
      <c r="G4" s="382"/>
      <c r="H4" s="382"/>
      <c r="I4" s="382"/>
      <c r="J4" s="382"/>
      <c r="K4" s="382"/>
      <c r="L4" s="382"/>
      <c r="M4" s="382"/>
      <c r="N4" s="382"/>
      <c r="O4" s="382"/>
    </row>
    <row r="5" spans="1:18" ht="17.399999999999999">
      <c r="A5" s="16" t="s">
        <v>371</v>
      </c>
      <c r="B5" s="1710"/>
      <c r="C5" s="382"/>
      <c r="D5" s="382"/>
      <c r="E5" s="382"/>
      <c r="F5" s="382"/>
      <c r="G5" s="382"/>
      <c r="H5" s="382"/>
      <c r="I5" s="382"/>
      <c r="J5" s="382"/>
      <c r="K5" s="382"/>
      <c r="L5" s="382"/>
      <c r="M5" s="382"/>
      <c r="N5" s="382"/>
      <c r="O5" s="382"/>
    </row>
    <row r="6" spans="1:18" s="148" customFormat="1" ht="15">
      <c r="A6" s="1227" t="s">
        <v>752</v>
      </c>
      <c r="B6" s="387"/>
      <c r="O6" s="1579" t="s">
        <v>753</v>
      </c>
    </row>
    <row r="7" spans="1:18" s="161" customFormat="1" ht="18" customHeight="1">
      <c r="A7" s="1741"/>
      <c r="B7" s="159"/>
      <c r="C7" s="1783" t="s">
        <v>492</v>
      </c>
      <c r="D7" s="174"/>
      <c r="E7" s="160"/>
      <c r="F7" s="160"/>
      <c r="G7" s="1743" t="s">
        <v>490</v>
      </c>
      <c r="H7" s="1744" t="s">
        <v>778</v>
      </c>
      <c r="I7" s="160"/>
      <c r="J7" s="160"/>
      <c r="K7" s="160"/>
      <c r="L7" s="160"/>
      <c r="M7" s="1745" t="s">
        <v>1021</v>
      </c>
      <c r="N7" s="1746"/>
      <c r="O7" s="1747" t="s">
        <v>1022</v>
      </c>
    </row>
    <row r="8" spans="1:18" s="1749" customFormat="1" ht="18" customHeight="1">
      <c r="A8" s="1748"/>
      <c r="C8" s="1750"/>
      <c r="D8" s="1751" t="s">
        <v>499</v>
      </c>
      <c r="E8" s="1751"/>
      <c r="F8" s="1752"/>
      <c r="G8" s="614"/>
      <c r="H8" s="1748"/>
      <c r="I8" s="1753"/>
      <c r="J8" s="1753"/>
      <c r="K8" s="1751" t="s">
        <v>990</v>
      </c>
      <c r="L8" s="1754"/>
      <c r="M8" s="1755"/>
      <c r="N8" s="1784" t="s">
        <v>794</v>
      </c>
      <c r="O8" s="1747" t="s">
        <v>770</v>
      </c>
    </row>
    <row r="9" spans="1:18" s="1749" customFormat="1" ht="18" customHeight="1">
      <c r="A9" s="24" t="s">
        <v>379</v>
      </c>
      <c r="B9" s="74"/>
      <c r="C9" s="1750" t="s">
        <v>431</v>
      </c>
      <c r="D9" s="1757" t="s">
        <v>755</v>
      </c>
      <c r="E9" s="1751" t="s">
        <v>390</v>
      </c>
      <c r="F9" s="1751" t="s">
        <v>391</v>
      </c>
      <c r="G9" s="372" t="s">
        <v>1017</v>
      </c>
      <c r="H9" s="1750" t="s">
        <v>431</v>
      </c>
      <c r="I9" s="1751" t="s">
        <v>811</v>
      </c>
      <c r="J9" s="1751" t="s">
        <v>777</v>
      </c>
      <c r="K9" s="1751" t="s">
        <v>992</v>
      </c>
      <c r="L9" s="372" t="s">
        <v>391</v>
      </c>
      <c r="M9" s="372" t="s">
        <v>382</v>
      </c>
      <c r="N9" s="1756" t="s">
        <v>372</v>
      </c>
      <c r="O9" s="1758" t="s">
        <v>773</v>
      </c>
    </row>
    <row r="10" spans="1:18" s="1749" customFormat="1" ht="18" customHeight="1">
      <c r="A10" s="613" t="s">
        <v>387</v>
      </c>
      <c r="B10" s="1759"/>
      <c r="C10" s="1785"/>
      <c r="D10" s="375" t="s">
        <v>758</v>
      </c>
      <c r="E10" s="375" t="s">
        <v>466</v>
      </c>
      <c r="F10" s="375"/>
      <c r="G10" s="375"/>
      <c r="H10" s="1760"/>
      <c r="I10" s="1759"/>
      <c r="J10" s="1761"/>
      <c r="K10" s="375" t="s">
        <v>996</v>
      </c>
      <c r="L10" s="375"/>
      <c r="M10" s="375"/>
      <c r="N10" s="1762" t="s">
        <v>392</v>
      </c>
      <c r="O10" s="1758" t="s">
        <v>1023</v>
      </c>
    </row>
    <row r="11" spans="1:18" s="1749" customFormat="1" ht="18" customHeight="1">
      <c r="A11" s="613"/>
      <c r="B11" s="1759"/>
      <c r="C11" s="1760" t="s">
        <v>405</v>
      </c>
      <c r="D11" s="375" t="s">
        <v>759</v>
      </c>
      <c r="E11" s="375" t="s">
        <v>505</v>
      </c>
      <c r="F11" s="375" t="s">
        <v>399</v>
      </c>
      <c r="G11" s="375" t="s">
        <v>392</v>
      </c>
      <c r="H11" s="1760" t="s">
        <v>405</v>
      </c>
      <c r="I11" s="375" t="s">
        <v>759</v>
      </c>
      <c r="J11" s="375" t="s">
        <v>784</v>
      </c>
      <c r="K11" s="375" t="s">
        <v>1001</v>
      </c>
      <c r="L11" s="375" t="s">
        <v>399</v>
      </c>
      <c r="M11" s="375" t="s">
        <v>392</v>
      </c>
      <c r="N11" s="1762" t="s">
        <v>371</v>
      </c>
      <c r="O11" s="1758" t="s">
        <v>6</v>
      </c>
    </row>
    <row r="12" spans="1:18" s="1749" customFormat="1" ht="18" customHeight="1">
      <c r="A12" s="1763"/>
      <c r="B12" s="1764"/>
      <c r="C12" s="1765" t="s">
        <v>781</v>
      </c>
      <c r="D12" s="1766" t="s">
        <v>782</v>
      </c>
      <c r="E12" s="1766" t="s">
        <v>782</v>
      </c>
      <c r="F12" s="1766"/>
      <c r="G12" s="1766"/>
      <c r="H12" s="1765"/>
      <c r="I12" s="1766"/>
      <c r="J12" s="1766"/>
      <c r="K12" s="1766"/>
      <c r="L12" s="1766"/>
      <c r="M12" s="1766"/>
      <c r="N12" s="1786"/>
      <c r="O12" s="1787" t="s">
        <v>785</v>
      </c>
      <c r="P12" s="1788"/>
    </row>
    <row r="13" spans="1:18" s="306" customFormat="1" ht="20.25" customHeight="1">
      <c r="A13" s="405">
        <v>2016</v>
      </c>
      <c r="B13" s="497"/>
      <c r="C13" s="1774">
        <v>4746.2148481857475</v>
      </c>
      <c r="D13" s="1789">
        <v>2113.2403939080345</v>
      </c>
      <c r="E13" s="1790">
        <v>1060.8250702971472</v>
      </c>
      <c r="F13" s="1774">
        <v>1699.8801214784103</v>
      </c>
      <c r="G13" s="1773">
        <v>9620.0904338693381</v>
      </c>
      <c r="H13" s="1773">
        <v>13303.914467336699</v>
      </c>
      <c r="I13" s="1789">
        <v>31391.640382418533</v>
      </c>
      <c r="J13" s="1791">
        <v>18279.321972054538</v>
      </c>
      <c r="K13" s="1791">
        <v>22184.522629672894</v>
      </c>
      <c r="L13" s="1792">
        <v>8256.4896100395872</v>
      </c>
      <c r="M13" s="1793">
        <v>93415.835874722252</v>
      </c>
      <c r="N13" s="1794">
        <v>103035.94630859156</v>
      </c>
      <c r="O13" s="1795">
        <v>46535.74714493865</v>
      </c>
      <c r="P13" s="778"/>
      <c r="Q13" s="779"/>
      <c r="R13" s="779"/>
    </row>
    <row r="14" spans="1:18" s="408" customFormat="1" ht="14.25" customHeight="1">
      <c r="A14" s="356">
        <v>2017</v>
      </c>
      <c r="B14" s="551"/>
      <c r="C14" s="662">
        <v>4909.6252436315808</v>
      </c>
      <c r="D14" s="744">
        <v>2251.7417224396086</v>
      </c>
      <c r="E14" s="743">
        <v>1284.96091062798</v>
      </c>
      <c r="F14" s="662">
        <v>1397.9398180438468</v>
      </c>
      <c r="G14" s="646">
        <v>9844.2276947430182</v>
      </c>
      <c r="H14" s="646">
        <v>13291.045525877065</v>
      </c>
      <c r="I14" s="744">
        <v>34359.9736177546</v>
      </c>
      <c r="J14" s="674">
        <v>17660.062610313737</v>
      </c>
      <c r="K14" s="674">
        <v>20740.934834519554</v>
      </c>
      <c r="L14" s="745">
        <v>8066.308228883714</v>
      </c>
      <c r="M14" s="765">
        <v>94118.319588158673</v>
      </c>
      <c r="N14" s="760">
        <v>103962.49728290168</v>
      </c>
      <c r="O14" s="777">
        <v>36193.963880562238</v>
      </c>
      <c r="P14" s="778"/>
      <c r="Q14" s="779"/>
      <c r="R14" s="779"/>
    </row>
    <row r="15" spans="1:18" s="321" customFormat="1" ht="14.25" customHeight="1">
      <c r="A15" s="747">
        <v>2018</v>
      </c>
      <c r="B15" s="748"/>
      <c r="C15" s="662">
        <v>5420.2943175968157</v>
      </c>
      <c r="D15" s="744">
        <v>3275.7701589037033</v>
      </c>
      <c r="E15" s="743">
        <v>1832.6447111939806</v>
      </c>
      <c r="F15" s="662">
        <v>1549.2170220757091</v>
      </c>
      <c r="G15" s="646">
        <v>12077.946209770211</v>
      </c>
      <c r="H15" s="646">
        <v>7324.3683677793179</v>
      </c>
      <c r="I15" s="744">
        <v>37132.804795031589</v>
      </c>
      <c r="J15" s="674">
        <v>17785.335737111483</v>
      </c>
      <c r="K15" s="674">
        <v>23146.799525543891</v>
      </c>
      <c r="L15" s="745">
        <v>8562.4797149522747</v>
      </c>
      <c r="M15" s="765">
        <v>93951.841699188546</v>
      </c>
      <c r="N15" s="760">
        <v>106029.74090895876</v>
      </c>
      <c r="O15" s="777">
        <v>31236.408948762768</v>
      </c>
      <c r="P15" s="778"/>
      <c r="Q15" s="779"/>
      <c r="R15" s="779"/>
    </row>
    <row r="16" spans="1:18" s="321" customFormat="1" ht="14.25" customHeight="1">
      <c r="A16" s="747">
        <v>2019</v>
      </c>
      <c r="B16" s="748"/>
      <c r="C16" s="662">
        <v>6010.6811165013451</v>
      </c>
      <c r="D16" s="744">
        <v>4243.2354214858224</v>
      </c>
      <c r="E16" s="743">
        <v>2632.3710868021894</v>
      </c>
      <c r="F16" s="662">
        <v>2579.7651829752485</v>
      </c>
      <c r="G16" s="646">
        <v>15466.065807764608</v>
      </c>
      <c r="H16" s="646">
        <v>8727.4714580277359</v>
      </c>
      <c r="I16" s="744">
        <v>41918.477568865375</v>
      </c>
      <c r="J16" s="674">
        <v>17399.551084633415</v>
      </c>
      <c r="K16" s="674">
        <v>21102.807526597131</v>
      </c>
      <c r="L16" s="745">
        <v>6223.6711662691523</v>
      </c>
      <c r="M16" s="765">
        <v>95372.062573938616</v>
      </c>
      <c r="N16" s="760">
        <v>110838.15838170321</v>
      </c>
      <c r="O16" s="777">
        <v>22654.532529911383</v>
      </c>
      <c r="P16" s="778"/>
      <c r="Q16" s="779"/>
      <c r="R16" s="779"/>
    </row>
    <row r="17" spans="1:18" s="321" customFormat="1" ht="14.25" customHeight="1">
      <c r="A17" s="747">
        <v>2020</v>
      </c>
      <c r="B17" s="748"/>
      <c r="C17" s="662">
        <v>6016.8077566676593</v>
      </c>
      <c r="D17" s="744">
        <v>5272.2612619515094</v>
      </c>
      <c r="E17" s="743">
        <v>2417.0435880272876</v>
      </c>
      <c r="F17" s="662">
        <v>2115.0103790412591</v>
      </c>
      <c r="G17" s="646">
        <v>15821.099381571818</v>
      </c>
      <c r="H17" s="646">
        <v>7108.4601407631117</v>
      </c>
      <c r="I17" s="744">
        <v>42558.178215633314</v>
      </c>
      <c r="J17" s="674">
        <v>17840.455292799801</v>
      </c>
      <c r="K17" s="674">
        <v>23333.27764461566</v>
      </c>
      <c r="L17" s="745">
        <v>6417.1589040640201</v>
      </c>
      <c r="M17" s="765">
        <v>97257.653300501712</v>
      </c>
      <c r="N17" s="760">
        <v>113078.75268207354</v>
      </c>
      <c r="O17" s="777">
        <v>17910.917764677652</v>
      </c>
      <c r="P17" s="778"/>
      <c r="Q17" s="779"/>
      <c r="R17" s="779"/>
    </row>
    <row r="18" spans="1:18" s="321" customFormat="1" ht="14.25" customHeight="1">
      <c r="A18" s="747">
        <v>2021</v>
      </c>
      <c r="B18" s="748"/>
      <c r="C18" s="662">
        <v>7715.4358029330979</v>
      </c>
      <c r="D18" s="744">
        <v>4658.8252680358237</v>
      </c>
      <c r="E18" s="743">
        <v>2995.6509263517369</v>
      </c>
      <c r="F18" s="662">
        <v>1862.3682902639407</v>
      </c>
      <c r="G18" s="646">
        <v>17232.280287584599</v>
      </c>
      <c r="H18" s="646">
        <v>9475.1649271294482</v>
      </c>
      <c r="I18" s="744">
        <v>41373.559931209311</v>
      </c>
      <c r="J18" s="674">
        <v>18324.062489974323</v>
      </c>
      <c r="K18" s="674">
        <v>26048.76247141455</v>
      </c>
      <c r="L18" s="745">
        <v>5648.6510886388469</v>
      </c>
      <c r="M18" s="765">
        <v>100870.38579488648</v>
      </c>
      <c r="N18" s="760">
        <v>118102.66608247109</v>
      </c>
      <c r="O18" s="777">
        <v>19771.152572751202</v>
      </c>
      <c r="P18" s="778"/>
      <c r="Q18" s="779"/>
      <c r="R18" s="779"/>
    </row>
    <row r="19" spans="1:18" s="321" customFormat="1" ht="14.25" customHeight="1">
      <c r="A19" s="747">
        <v>2022</v>
      </c>
      <c r="B19" s="748"/>
      <c r="C19" s="662">
        <v>8329.5350610913702</v>
      </c>
      <c r="D19" s="744">
        <v>4236.5812216210361</v>
      </c>
      <c r="E19" s="743">
        <v>2360.5355732011167</v>
      </c>
      <c r="F19" s="662">
        <v>2992.264217080075</v>
      </c>
      <c r="G19" s="646">
        <v>17918.896072993597</v>
      </c>
      <c r="H19" s="646">
        <v>11476.164838517727</v>
      </c>
      <c r="I19" s="744">
        <v>40413.058258887067</v>
      </c>
      <c r="J19" s="674">
        <v>18697.95525202914</v>
      </c>
      <c r="K19" s="674">
        <v>27348.976651489342</v>
      </c>
      <c r="L19" s="745">
        <v>6517.5942624886275</v>
      </c>
      <c r="M19" s="765">
        <v>104453.89427641191</v>
      </c>
      <c r="N19" s="760">
        <v>122372.79034940488</v>
      </c>
      <c r="O19" s="777">
        <v>21333.636765461961</v>
      </c>
      <c r="P19" s="778"/>
      <c r="Q19" s="779"/>
      <c r="R19" s="779"/>
    </row>
    <row r="20" spans="1:18" s="321" customFormat="1" ht="14.25" customHeight="1">
      <c r="A20" s="747">
        <v>2023</v>
      </c>
      <c r="B20" s="748"/>
      <c r="C20" s="662">
        <v>9028.3279197883876</v>
      </c>
      <c r="D20" s="744">
        <v>4910.3452185124352</v>
      </c>
      <c r="E20" s="743">
        <v>3626.9625969247177</v>
      </c>
      <c r="F20" s="662">
        <v>3036.4568704455642</v>
      </c>
      <c r="G20" s="646">
        <v>20602.092605671103</v>
      </c>
      <c r="H20" s="646">
        <v>16567.89711744224</v>
      </c>
      <c r="I20" s="744">
        <v>39392.398475628332</v>
      </c>
      <c r="J20" s="674">
        <v>22502.594316631552</v>
      </c>
      <c r="K20" s="674">
        <v>28635.147083542506</v>
      </c>
      <c r="L20" s="745">
        <v>3751.6867078935034</v>
      </c>
      <c r="M20" s="765">
        <v>110849.72370113814</v>
      </c>
      <c r="N20" s="760">
        <v>131451.81630680925</v>
      </c>
      <c r="O20" s="777">
        <v>23727.515596664703</v>
      </c>
      <c r="P20" s="778"/>
      <c r="Q20" s="779"/>
      <c r="R20" s="779"/>
    </row>
    <row r="21" spans="1:18" s="321" customFormat="1" ht="14.25" customHeight="1">
      <c r="A21" s="747">
        <v>2024</v>
      </c>
      <c r="B21" s="748"/>
      <c r="C21" s="662">
        <v>8002.6120563905697</v>
      </c>
      <c r="D21" s="744">
        <v>4519.1191233347436</v>
      </c>
      <c r="E21" s="743">
        <v>3623.0376929119725</v>
      </c>
      <c r="F21" s="662">
        <v>2310.0619159484722</v>
      </c>
      <c r="G21" s="646">
        <v>18454.830788585754</v>
      </c>
      <c r="H21" s="646">
        <v>16347.792456020787</v>
      </c>
      <c r="I21" s="744">
        <v>38754.020044443867</v>
      </c>
      <c r="J21" s="674">
        <v>29903.121546682778</v>
      </c>
      <c r="K21" s="674">
        <v>27444.558393767202</v>
      </c>
      <c r="L21" s="745">
        <v>5993.8257631123452</v>
      </c>
      <c r="M21" s="765">
        <v>118443.30820402698</v>
      </c>
      <c r="N21" s="760">
        <v>136898.13899261274</v>
      </c>
      <c r="O21" s="777">
        <v>22479.046840470521</v>
      </c>
      <c r="P21" s="778"/>
      <c r="Q21" s="779"/>
      <c r="R21" s="779"/>
    </row>
    <row r="22" spans="1:18" s="321" customFormat="1" ht="14.25" customHeight="1">
      <c r="A22" s="906">
        <v>2025</v>
      </c>
      <c r="B22" s="997"/>
      <c r="C22" s="1005">
        <f t="shared" ref="C22:O22" si="0">C28</f>
        <v>8933.2713827847765</v>
      </c>
      <c r="D22" s="1010">
        <f t="shared" si="0"/>
        <v>5548.9178154084348</v>
      </c>
      <c r="E22" s="977">
        <f t="shared" si="0"/>
        <v>3569.1726260175833</v>
      </c>
      <c r="F22" s="1005">
        <f t="shared" si="0"/>
        <v>2912.7807648467365</v>
      </c>
      <c r="G22" s="1004">
        <f t="shared" si="0"/>
        <v>20964.162589057531</v>
      </c>
      <c r="H22" s="1004">
        <f t="shared" si="0"/>
        <v>16089.656221460513</v>
      </c>
      <c r="I22" s="1010">
        <f t="shared" si="0"/>
        <v>36881.902471683512</v>
      </c>
      <c r="J22" s="969">
        <f t="shared" si="0"/>
        <v>28873.240399667273</v>
      </c>
      <c r="K22" s="969">
        <f t="shared" si="0"/>
        <v>28689.918251051429</v>
      </c>
      <c r="L22" s="1011">
        <f t="shared" si="0"/>
        <v>3272.0270588101685</v>
      </c>
      <c r="M22" s="1012">
        <f t="shared" si="0"/>
        <v>113806.74440267289</v>
      </c>
      <c r="N22" s="1013">
        <f t="shared" si="0"/>
        <v>134770.88699173043</v>
      </c>
      <c r="O22" s="1014">
        <f t="shared" si="0"/>
        <v>25718.763670048385</v>
      </c>
      <c r="P22" s="778"/>
      <c r="Q22" s="779"/>
      <c r="R22" s="779"/>
    </row>
    <row r="23" spans="1:18" s="321" customFormat="1" ht="21" customHeight="1">
      <c r="A23" s="747">
        <v>2024</v>
      </c>
      <c r="B23" s="748" t="s">
        <v>237</v>
      </c>
      <c r="C23" s="662">
        <v>9131.6996989528361</v>
      </c>
      <c r="D23" s="744">
        <v>5085.2032497204418</v>
      </c>
      <c r="E23" s="743">
        <v>3907.598101088538</v>
      </c>
      <c r="F23" s="662">
        <v>2864.9636186773178</v>
      </c>
      <c r="G23" s="646">
        <v>20989.464668439134</v>
      </c>
      <c r="H23" s="646">
        <v>16708.802178249312</v>
      </c>
      <c r="I23" s="744">
        <v>39246.346082745709</v>
      </c>
      <c r="J23" s="674">
        <v>28648.086956890525</v>
      </c>
      <c r="K23" s="674">
        <v>28641.25279428756</v>
      </c>
      <c r="L23" s="1796">
        <v>5036.7396885757553</v>
      </c>
      <c r="M23" s="765">
        <v>118281.24770074888</v>
      </c>
      <c r="N23" s="760">
        <v>139270.712369188</v>
      </c>
      <c r="O23" s="777">
        <v>21374.804588007199</v>
      </c>
      <c r="P23" s="778"/>
      <c r="Q23" s="779"/>
      <c r="R23" s="779"/>
    </row>
    <row r="24" spans="1:18" s="321" customFormat="1" ht="15" customHeight="1">
      <c r="A24" s="747"/>
      <c r="B24" s="748" t="s">
        <v>238</v>
      </c>
      <c r="C24" s="662">
        <v>8002.6120563905697</v>
      </c>
      <c r="D24" s="744">
        <v>4519.1191233347436</v>
      </c>
      <c r="E24" s="743">
        <v>3623.0376929119725</v>
      </c>
      <c r="F24" s="662">
        <v>2310.0619159484722</v>
      </c>
      <c r="G24" s="646">
        <v>18454.830788585754</v>
      </c>
      <c r="H24" s="646">
        <v>16347.792456020787</v>
      </c>
      <c r="I24" s="744">
        <v>38754.020044443867</v>
      </c>
      <c r="J24" s="674">
        <v>29903.121546682778</v>
      </c>
      <c r="K24" s="674">
        <v>27444.558393767202</v>
      </c>
      <c r="L24" s="1796">
        <v>5993.8257631123452</v>
      </c>
      <c r="M24" s="765">
        <v>118443.30820402698</v>
      </c>
      <c r="N24" s="760">
        <v>136898.13899261274</v>
      </c>
      <c r="O24" s="777">
        <v>22479.046840470521</v>
      </c>
      <c r="P24" s="778"/>
      <c r="Q24" s="779"/>
      <c r="R24" s="779"/>
    </row>
    <row r="25" spans="1:18" s="321" customFormat="1" ht="21" customHeight="1">
      <c r="A25" s="747">
        <v>2025</v>
      </c>
      <c r="B25" s="748" t="s">
        <v>239</v>
      </c>
      <c r="C25" s="662">
        <v>8873.8914206040536</v>
      </c>
      <c r="D25" s="744">
        <v>5229.9873581610073</v>
      </c>
      <c r="E25" s="743">
        <v>3588.3432869505241</v>
      </c>
      <c r="F25" s="662">
        <v>2648.2092627432503</v>
      </c>
      <c r="G25" s="646">
        <v>20340.431328458832</v>
      </c>
      <c r="H25" s="646">
        <v>17216.564824006979</v>
      </c>
      <c r="I25" s="744">
        <v>39203.002646233173</v>
      </c>
      <c r="J25" s="674">
        <v>29021.962016119225</v>
      </c>
      <c r="K25" s="674">
        <v>26935.222471327976</v>
      </c>
      <c r="L25" s="1796">
        <v>4520.3929872339704</v>
      </c>
      <c r="M25" s="765">
        <v>116897.17494492134</v>
      </c>
      <c r="N25" s="760">
        <v>137237.55627338018</v>
      </c>
      <c r="O25" s="777">
        <v>22335.120889017962</v>
      </c>
      <c r="P25" s="778"/>
      <c r="Q25" s="779"/>
      <c r="R25" s="779"/>
    </row>
    <row r="26" spans="1:18" s="321" customFormat="1" ht="15" customHeight="1">
      <c r="A26" s="747"/>
      <c r="B26" s="748" t="s">
        <v>240</v>
      </c>
      <c r="C26" s="662">
        <v>9415.2162114783514</v>
      </c>
      <c r="D26" s="744">
        <v>5167.2097018437189</v>
      </c>
      <c r="E26" s="743">
        <v>3631.0999595116045</v>
      </c>
      <c r="F26" s="662">
        <v>2970.2594857680319</v>
      </c>
      <c r="G26" s="646">
        <v>21183.775358601706</v>
      </c>
      <c r="H26" s="646">
        <v>17353.625206253291</v>
      </c>
      <c r="I26" s="744">
        <v>37983.634096894952</v>
      </c>
      <c r="J26" s="674">
        <v>28284.320661768532</v>
      </c>
      <c r="K26" s="674">
        <v>28404.513620144295</v>
      </c>
      <c r="L26" s="1796">
        <v>3305.7554573632647</v>
      </c>
      <c r="M26" s="765">
        <v>115331.83904242434</v>
      </c>
      <c r="N26" s="760">
        <v>136515.61440102605</v>
      </c>
      <c r="O26" s="777">
        <v>24272.231577560895</v>
      </c>
      <c r="P26" s="778"/>
      <c r="Q26" s="779"/>
      <c r="R26" s="779"/>
    </row>
    <row r="27" spans="1:18" s="321" customFormat="1" ht="15" customHeight="1">
      <c r="A27" s="747"/>
      <c r="B27" s="748" t="s">
        <v>237</v>
      </c>
      <c r="C27" s="662">
        <v>9049.8115529334882</v>
      </c>
      <c r="D27" s="744">
        <v>6025.0473908533331</v>
      </c>
      <c r="E27" s="743">
        <v>3184.0584243445792</v>
      </c>
      <c r="F27" s="662">
        <v>3395.6283133407878</v>
      </c>
      <c r="G27" s="646">
        <v>21654.545681472191</v>
      </c>
      <c r="H27" s="646">
        <v>18326.456455561616</v>
      </c>
      <c r="I27" s="744">
        <v>38660.0490303365</v>
      </c>
      <c r="J27" s="674">
        <v>26809.259298279896</v>
      </c>
      <c r="K27" s="674">
        <v>30623.437138230693</v>
      </c>
      <c r="L27" s="1796">
        <v>3162.494932506811</v>
      </c>
      <c r="M27" s="765">
        <v>117581.69685491553</v>
      </c>
      <c r="N27" s="760">
        <v>139236.24253638773</v>
      </c>
      <c r="O27" s="777">
        <v>26588.657580456889</v>
      </c>
      <c r="P27" s="778"/>
      <c r="Q27" s="779"/>
      <c r="R27" s="779"/>
    </row>
    <row r="28" spans="1:18" s="321" customFormat="1" ht="15" customHeight="1">
      <c r="A28" s="747"/>
      <c r="B28" s="748" t="s">
        <v>238</v>
      </c>
      <c r="C28" s="662">
        <f t="shared" ref="C28:O28" si="1">C36</f>
        <v>8933.2713827847765</v>
      </c>
      <c r="D28" s="744">
        <f t="shared" si="1"/>
        <v>5548.9178154084348</v>
      </c>
      <c r="E28" s="743">
        <f t="shared" si="1"/>
        <v>3569.1726260175833</v>
      </c>
      <c r="F28" s="662">
        <f t="shared" si="1"/>
        <v>2912.7807648467365</v>
      </c>
      <c r="G28" s="646">
        <f t="shared" si="1"/>
        <v>20964.162589057531</v>
      </c>
      <c r="H28" s="646">
        <f t="shared" si="1"/>
        <v>16089.656221460513</v>
      </c>
      <c r="I28" s="744">
        <f t="shared" si="1"/>
        <v>36881.902471683512</v>
      </c>
      <c r="J28" s="674">
        <f t="shared" si="1"/>
        <v>28873.240399667273</v>
      </c>
      <c r="K28" s="674">
        <f t="shared" si="1"/>
        <v>28689.918251051429</v>
      </c>
      <c r="L28" s="1796">
        <f t="shared" si="1"/>
        <v>3272.0270588101685</v>
      </c>
      <c r="M28" s="765">
        <f t="shared" si="1"/>
        <v>113806.74440267289</v>
      </c>
      <c r="N28" s="760">
        <f t="shared" si="1"/>
        <v>134770.88699173043</v>
      </c>
      <c r="O28" s="777">
        <f t="shared" si="1"/>
        <v>25718.763670048385</v>
      </c>
      <c r="P28" s="778"/>
      <c r="Q28" s="779"/>
      <c r="R28" s="779"/>
    </row>
    <row r="29" spans="1:18" s="321" customFormat="1" ht="21" customHeight="1">
      <c r="A29" s="747">
        <v>2026</v>
      </c>
      <c r="B29" s="748" t="s">
        <v>239</v>
      </c>
      <c r="C29" s="662">
        <f t="shared" ref="C29:O29" si="2">C39</f>
        <v>9490.3828536676992</v>
      </c>
      <c r="D29" s="744">
        <f t="shared" si="2"/>
        <v>6116.9397068512908</v>
      </c>
      <c r="E29" s="743">
        <f t="shared" si="2"/>
        <v>3656.7414566553789</v>
      </c>
      <c r="F29" s="662">
        <f t="shared" si="2"/>
        <v>3089.3696058990458</v>
      </c>
      <c r="G29" s="646">
        <f t="shared" si="2"/>
        <v>22353.443623073414</v>
      </c>
      <c r="H29" s="646">
        <f t="shared" si="2"/>
        <v>16861.848471573201</v>
      </c>
      <c r="I29" s="744">
        <f t="shared" si="2"/>
        <v>35730.982750425246</v>
      </c>
      <c r="J29" s="674">
        <f t="shared" si="2"/>
        <v>24643.272583790756</v>
      </c>
      <c r="K29" s="674">
        <f t="shared" si="2"/>
        <v>29105.004950575476</v>
      </c>
      <c r="L29" s="1796">
        <f t="shared" si="2"/>
        <v>3617.0553201375242</v>
      </c>
      <c r="M29" s="765">
        <f t="shared" si="2"/>
        <v>109958.1640765022</v>
      </c>
      <c r="N29" s="760">
        <f t="shared" si="2"/>
        <v>132311.6076995756</v>
      </c>
      <c r="O29" s="777">
        <f t="shared" si="2"/>
        <v>27027.255587424661</v>
      </c>
      <c r="P29" s="778"/>
      <c r="Q29" s="779"/>
      <c r="R29" s="779"/>
    </row>
    <row r="30" spans="1:18" s="321" customFormat="1" ht="15" customHeight="1">
      <c r="A30" s="906"/>
      <c r="B30" s="997" t="s">
        <v>240</v>
      </c>
      <c r="C30" s="1005">
        <f t="shared" ref="C30:O30" si="3">C42</f>
        <v>8842.997885550536</v>
      </c>
      <c r="D30" s="1010">
        <f t="shared" si="3"/>
        <v>6353.0135869051928</v>
      </c>
      <c r="E30" s="977">
        <f t="shared" si="3"/>
        <v>3787.9215053773246</v>
      </c>
      <c r="F30" s="1005">
        <f t="shared" si="3"/>
        <v>3864.8156643074271</v>
      </c>
      <c r="G30" s="1004">
        <f t="shared" si="3"/>
        <v>22848.748642140483</v>
      </c>
      <c r="H30" s="1004">
        <f t="shared" si="3"/>
        <v>15845.96165631845</v>
      </c>
      <c r="I30" s="1010">
        <f t="shared" si="3"/>
        <v>32058.720407152949</v>
      </c>
      <c r="J30" s="969">
        <f t="shared" si="3"/>
        <v>24205.512548788443</v>
      </c>
      <c r="K30" s="969">
        <f t="shared" si="3"/>
        <v>27633.70638227004</v>
      </c>
      <c r="L30" s="1797">
        <f t="shared" si="3"/>
        <v>3586.2906802148236</v>
      </c>
      <c r="M30" s="1012">
        <f t="shared" si="3"/>
        <v>103330.16167474471</v>
      </c>
      <c r="N30" s="1013">
        <f t="shared" si="3"/>
        <v>126178.91031688519</v>
      </c>
      <c r="O30" s="1014">
        <f t="shared" si="3"/>
        <v>25564.382733723127</v>
      </c>
      <c r="P30" s="778"/>
      <c r="Q30" s="779"/>
      <c r="R30" s="779"/>
    </row>
    <row r="31" spans="1:18" s="321" customFormat="1" ht="21" customHeight="1">
      <c r="A31" s="747">
        <v>2025</v>
      </c>
      <c r="B31" s="748" t="s">
        <v>420</v>
      </c>
      <c r="C31" s="662">
        <v>9761.289898379544</v>
      </c>
      <c r="D31" s="802">
        <v>5635.8578515917479</v>
      </c>
      <c r="E31" s="743">
        <v>3921.0061499108556</v>
      </c>
      <c r="F31" s="662">
        <v>2883.5475067261418</v>
      </c>
      <c r="G31" s="646">
        <v>22201.701406608292</v>
      </c>
      <c r="H31" s="646">
        <v>17323.870696267153</v>
      </c>
      <c r="I31" s="744">
        <v>37630.033890739986</v>
      </c>
      <c r="J31" s="674">
        <v>20936.756907955591</v>
      </c>
      <c r="K31" s="674">
        <v>28538.57736990173</v>
      </c>
      <c r="L31" s="745">
        <v>3139.5418205318056</v>
      </c>
      <c r="M31" s="765">
        <v>107568.79068539626</v>
      </c>
      <c r="N31" s="760">
        <v>129770.49209200454</v>
      </c>
      <c r="O31" s="777">
        <v>26561.349801618082</v>
      </c>
      <c r="P31" s="778"/>
      <c r="Q31" s="779"/>
      <c r="R31" s="779"/>
    </row>
    <row r="32" spans="1:18" s="321" customFormat="1" ht="15" customHeight="1">
      <c r="A32" s="747"/>
      <c r="B32" s="748" t="s">
        <v>421</v>
      </c>
      <c r="C32" s="662">
        <v>9476.9193341828486</v>
      </c>
      <c r="D32" s="802">
        <v>6127.482120943263</v>
      </c>
      <c r="E32" s="743">
        <v>3392.1845544615353</v>
      </c>
      <c r="F32" s="662">
        <v>3107.41664882024</v>
      </c>
      <c r="G32" s="646">
        <v>22104.002658407891</v>
      </c>
      <c r="H32" s="646">
        <v>18486.742167858716</v>
      </c>
      <c r="I32" s="744">
        <v>38033.81186876414</v>
      </c>
      <c r="J32" s="674">
        <v>20325.366531294279</v>
      </c>
      <c r="K32" s="674">
        <v>26893.80955664377</v>
      </c>
      <c r="L32" s="745">
        <v>3255.5652782067823</v>
      </c>
      <c r="M32" s="765">
        <v>106995.30540276767</v>
      </c>
      <c r="N32" s="760">
        <v>129099.30806117557</v>
      </c>
      <c r="O32" s="777">
        <v>24781.917896501389</v>
      </c>
      <c r="P32" s="778"/>
      <c r="Q32" s="779"/>
      <c r="R32" s="779"/>
    </row>
    <row r="33" spans="1:18" s="321" customFormat="1" ht="15" customHeight="1">
      <c r="A33" s="747"/>
      <c r="B33" s="748" t="s">
        <v>422</v>
      </c>
      <c r="C33" s="662">
        <v>9049.8115529334882</v>
      </c>
      <c r="D33" s="802">
        <v>6025.0473908533331</v>
      </c>
      <c r="E33" s="743">
        <v>3184.0584243445792</v>
      </c>
      <c r="F33" s="662">
        <v>3395.6283133407878</v>
      </c>
      <c r="G33" s="646">
        <v>21654.545681472191</v>
      </c>
      <c r="H33" s="646">
        <v>18326.456455561616</v>
      </c>
      <c r="I33" s="744">
        <v>38660.0490303365</v>
      </c>
      <c r="J33" s="674">
        <v>26809.259298279896</v>
      </c>
      <c r="K33" s="674">
        <v>30623.437138230693</v>
      </c>
      <c r="L33" s="745">
        <v>3162.494932506811</v>
      </c>
      <c r="M33" s="765">
        <v>117581.69685491553</v>
      </c>
      <c r="N33" s="760">
        <v>139236.24253638773</v>
      </c>
      <c r="O33" s="777">
        <v>26588.657580456889</v>
      </c>
      <c r="P33" s="778"/>
      <c r="Q33" s="779"/>
      <c r="R33" s="779"/>
    </row>
    <row r="34" spans="1:18" s="321" customFormat="1" ht="15" customHeight="1">
      <c r="A34" s="747"/>
      <c r="B34" s="748" t="s">
        <v>411</v>
      </c>
      <c r="C34" s="662">
        <v>9352.822413002028</v>
      </c>
      <c r="D34" s="802">
        <v>5497.1619171269049</v>
      </c>
      <c r="E34" s="743">
        <v>3510.8987257669683</v>
      </c>
      <c r="F34" s="662">
        <v>2839.931678673373</v>
      </c>
      <c r="G34" s="646">
        <v>21200.79473456927</v>
      </c>
      <c r="H34" s="646">
        <v>17218.578507458511</v>
      </c>
      <c r="I34" s="744">
        <v>37412.58929166352</v>
      </c>
      <c r="J34" s="674">
        <v>26719.836345298274</v>
      </c>
      <c r="K34" s="674">
        <v>28986.466045385765</v>
      </c>
      <c r="L34" s="745">
        <v>3484.7109608898677</v>
      </c>
      <c r="M34" s="765">
        <v>113822.18115069592</v>
      </c>
      <c r="N34" s="760">
        <v>135022.97588526522</v>
      </c>
      <c r="O34" s="777">
        <v>25680.421303162453</v>
      </c>
      <c r="P34" s="778"/>
      <c r="Q34" s="779"/>
      <c r="R34" s="779"/>
    </row>
    <row r="35" spans="1:18" s="321" customFormat="1" ht="15" customHeight="1">
      <c r="A35" s="747"/>
      <c r="B35" s="748" t="s">
        <v>412</v>
      </c>
      <c r="C35" s="662">
        <v>9247.5659366966956</v>
      </c>
      <c r="D35" s="802">
        <v>5423.7175579236828</v>
      </c>
      <c r="E35" s="743">
        <v>3413.8777329593199</v>
      </c>
      <c r="F35" s="662">
        <v>2870.7120539647108</v>
      </c>
      <c r="G35" s="646">
        <v>20955.873281544413</v>
      </c>
      <c r="H35" s="646">
        <v>17413.758915810678</v>
      </c>
      <c r="I35" s="744">
        <v>36503.549282614586</v>
      </c>
      <c r="J35" s="674">
        <v>28355.791873822131</v>
      </c>
      <c r="K35" s="674">
        <v>28448.730524439474</v>
      </c>
      <c r="L35" s="745">
        <v>3469.0594328096399</v>
      </c>
      <c r="M35" s="765">
        <v>114190.89002949651</v>
      </c>
      <c r="N35" s="760">
        <v>135146.76331104094</v>
      </c>
      <c r="O35" s="777">
        <v>25492.604902642073</v>
      </c>
      <c r="P35" s="778"/>
      <c r="Q35" s="779"/>
      <c r="R35" s="779"/>
    </row>
    <row r="36" spans="1:18" s="321" customFormat="1" ht="15" customHeight="1">
      <c r="A36" s="747"/>
      <c r="B36" s="748" t="s">
        <v>413</v>
      </c>
      <c r="C36" s="662">
        <v>8933.2713827847765</v>
      </c>
      <c r="D36" s="802">
        <v>5548.9178154084348</v>
      </c>
      <c r="E36" s="743">
        <v>3569.1726260175833</v>
      </c>
      <c r="F36" s="662">
        <v>2912.7807648467365</v>
      </c>
      <c r="G36" s="646">
        <v>20964.162589057531</v>
      </c>
      <c r="H36" s="646">
        <v>16089.656221460513</v>
      </c>
      <c r="I36" s="744">
        <v>36881.902471683512</v>
      </c>
      <c r="J36" s="674">
        <v>28873.240399667273</v>
      </c>
      <c r="K36" s="674">
        <v>28689.918251051429</v>
      </c>
      <c r="L36" s="745">
        <v>3272.0270588101685</v>
      </c>
      <c r="M36" s="765">
        <v>113806.74440267289</v>
      </c>
      <c r="N36" s="760">
        <v>134770.88699173043</v>
      </c>
      <c r="O36" s="777">
        <v>25718.763670048385</v>
      </c>
      <c r="P36" s="778"/>
      <c r="Q36" s="779"/>
      <c r="R36" s="779"/>
    </row>
    <row r="37" spans="1:18" s="321" customFormat="1" ht="21" customHeight="1">
      <c r="A37" s="747">
        <v>2026</v>
      </c>
      <c r="B37" s="748" t="s">
        <v>414</v>
      </c>
      <c r="C37" s="662">
        <v>9275.3526268326605</v>
      </c>
      <c r="D37" s="802">
        <v>5773.1017690207836</v>
      </c>
      <c r="E37" s="743">
        <v>3668.7848036626046</v>
      </c>
      <c r="F37" s="662">
        <v>2918.5446350325715</v>
      </c>
      <c r="G37" s="646">
        <v>21635.813834548622</v>
      </c>
      <c r="H37" s="646">
        <v>17894.369987264949</v>
      </c>
      <c r="I37" s="744">
        <v>36538.645935476306</v>
      </c>
      <c r="J37" s="674">
        <v>20839.051167935755</v>
      </c>
      <c r="K37" s="674">
        <v>29657.02670621232</v>
      </c>
      <c r="L37" s="745">
        <v>3311.8928022028495</v>
      </c>
      <c r="M37" s="765">
        <v>108240.98659909218</v>
      </c>
      <c r="N37" s="760">
        <v>129876.8004336408</v>
      </c>
      <c r="O37" s="777">
        <v>26381.104950669087</v>
      </c>
      <c r="P37" s="778"/>
      <c r="Q37" s="779"/>
      <c r="R37" s="779"/>
    </row>
    <row r="38" spans="1:18" s="321" customFormat="1" ht="15" customHeight="1">
      <c r="A38" s="747"/>
      <c r="B38" s="748" t="s">
        <v>415</v>
      </c>
      <c r="C38" s="662">
        <v>9543.9276512897268</v>
      </c>
      <c r="D38" s="802">
        <v>5802.655569054763</v>
      </c>
      <c r="E38" s="743">
        <v>3835.6776296156058</v>
      </c>
      <c r="F38" s="662">
        <v>3056.8616450952763</v>
      </c>
      <c r="G38" s="646">
        <v>22239.152495055372</v>
      </c>
      <c r="H38" s="646">
        <v>17202.572663394338</v>
      </c>
      <c r="I38" s="744">
        <v>34710.544202297038</v>
      </c>
      <c r="J38" s="674">
        <v>20596.478110169119</v>
      </c>
      <c r="K38" s="674">
        <v>29615.795655700618</v>
      </c>
      <c r="L38" s="745">
        <v>3250.6185537129527</v>
      </c>
      <c r="M38" s="765">
        <v>105376.00918527407</v>
      </c>
      <c r="N38" s="760">
        <v>127615.16168032943</v>
      </c>
      <c r="O38" s="777">
        <v>27448.290948012749</v>
      </c>
      <c r="P38" s="778"/>
      <c r="Q38" s="779"/>
      <c r="R38" s="779"/>
    </row>
    <row r="39" spans="1:18" s="321" customFormat="1" ht="15" customHeight="1">
      <c r="A39" s="747"/>
      <c r="B39" s="748" t="s">
        <v>416</v>
      </c>
      <c r="C39" s="662">
        <v>9490.3828536676992</v>
      </c>
      <c r="D39" s="802">
        <v>6116.9397068512908</v>
      </c>
      <c r="E39" s="743">
        <v>3656.7414566553789</v>
      </c>
      <c r="F39" s="662">
        <v>3089.3696058990458</v>
      </c>
      <c r="G39" s="646">
        <v>22353.443623073414</v>
      </c>
      <c r="H39" s="646">
        <v>16861.848471573201</v>
      </c>
      <c r="I39" s="744">
        <v>35730.982750425246</v>
      </c>
      <c r="J39" s="674">
        <v>24643.272583790756</v>
      </c>
      <c r="K39" s="674">
        <v>29105.004950575476</v>
      </c>
      <c r="L39" s="745">
        <v>3617.0553201375242</v>
      </c>
      <c r="M39" s="765">
        <v>109958.1640765022</v>
      </c>
      <c r="N39" s="760">
        <v>132311.6076995756</v>
      </c>
      <c r="O39" s="777">
        <v>27027.255587424661</v>
      </c>
      <c r="P39" s="778"/>
      <c r="Q39" s="779"/>
      <c r="R39" s="779"/>
    </row>
    <row r="40" spans="1:18" s="321" customFormat="1" ht="15" customHeight="1">
      <c r="A40" s="747"/>
      <c r="B40" s="748" t="s">
        <v>417</v>
      </c>
      <c r="C40" s="662">
        <v>9078.6912317062124</v>
      </c>
      <c r="D40" s="802">
        <v>6277.0208875426524</v>
      </c>
      <c r="E40" s="743">
        <v>4005.0579716918528</v>
      </c>
      <c r="F40" s="662">
        <v>3029.4398170681602</v>
      </c>
      <c r="G40" s="646">
        <v>22390.209908008877</v>
      </c>
      <c r="H40" s="646">
        <v>17216.395590679338</v>
      </c>
      <c r="I40" s="744">
        <v>35236.72355114622</v>
      </c>
      <c r="J40" s="674">
        <v>19742.634973977787</v>
      </c>
      <c r="K40" s="674">
        <v>30630.172763862451</v>
      </c>
      <c r="L40" s="745">
        <v>3461.3919145164123</v>
      </c>
      <c r="M40" s="765">
        <v>106287.3187941822</v>
      </c>
      <c r="N40" s="760">
        <v>128677.52870219108</v>
      </c>
      <c r="O40" s="777">
        <v>28008.282958543568</v>
      </c>
      <c r="P40" s="778"/>
      <c r="Q40" s="779"/>
      <c r="R40" s="779"/>
    </row>
    <row r="41" spans="1:18" s="321" customFormat="1" ht="15" customHeight="1">
      <c r="A41" s="747"/>
      <c r="B41" s="748" t="s">
        <v>418</v>
      </c>
      <c r="C41" s="662">
        <v>9418.2575311408855</v>
      </c>
      <c r="D41" s="802">
        <v>6453.9842857778331</v>
      </c>
      <c r="E41" s="743">
        <v>3778.0240205786668</v>
      </c>
      <c r="F41" s="662">
        <v>2949.198576723667</v>
      </c>
      <c r="G41" s="646">
        <v>22599.464414221053</v>
      </c>
      <c r="H41" s="646">
        <v>17385.32980659229</v>
      </c>
      <c r="I41" s="744">
        <v>32062.157710015385</v>
      </c>
      <c r="J41" s="674">
        <v>19732.458838374616</v>
      </c>
      <c r="K41" s="674">
        <v>31371.232569964719</v>
      </c>
      <c r="L41" s="745">
        <v>3584.6323612247415</v>
      </c>
      <c r="M41" s="765">
        <v>104135.79128617173</v>
      </c>
      <c r="N41" s="760">
        <v>126735.25570039281</v>
      </c>
      <c r="O41" s="777">
        <v>24920.111571128051</v>
      </c>
      <c r="P41" s="778"/>
      <c r="Q41" s="779"/>
      <c r="R41" s="779"/>
    </row>
    <row r="42" spans="1:18" s="321" customFormat="1" ht="15" customHeight="1">
      <c r="A42" s="747"/>
      <c r="B42" s="748" t="s">
        <v>419</v>
      </c>
      <c r="C42" s="662">
        <v>8842.997885550536</v>
      </c>
      <c r="D42" s="802">
        <v>6353.0135869051928</v>
      </c>
      <c r="E42" s="743">
        <v>3787.9215053773246</v>
      </c>
      <c r="F42" s="662">
        <v>3864.8156643074271</v>
      </c>
      <c r="G42" s="646">
        <v>22848.748642140483</v>
      </c>
      <c r="H42" s="646">
        <v>15845.96165631845</v>
      </c>
      <c r="I42" s="744">
        <v>32058.720407152949</v>
      </c>
      <c r="J42" s="674">
        <v>24205.512548788443</v>
      </c>
      <c r="K42" s="674">
        <v>27633.70638227004</v>
      </c>
      <c r="L42" s="745">
        <v>3586.2906802148236</v>
      </c>
      <c r="M42" s="765">
        <v>103330.16167474471</v>
      </c>
      <c r="N42" s="760">
        <v>126178.91031688519</v>
      </c>
      <c r="O42" s="777">
        <v>25564.382733723127</v>
      </c>
      <c r="P42" s="778"/>
      <c r="Q42" s="779"/>
      <c r="R42" s="779"/>
    </row>
    <row r="43" spans="1:18" s="321" customFormat="1" ht="15" customHeight="1">
      <c r="A43" s="747"/>
      <c r="B43" s="748" t="s">
        <v>420</v>
      </c>
      <c r="C43" s="662">
        <v>9202.5503224201784</v>
      </c>
      <c r="D43" s="802">
        <v>6575.7408606190802</v>
      </c>
      <c r="E43" s="743">
        <v>3730.1324292660292</v>
      </c>
      <c r="F43" s="662">
        <v>3910.2244081485183</v>
      </c>
      <c r="G43" s="646">
        <v>23418.648020453806</v>
      </c>
      <c r="H43" s="646">
        <v>17044.779347614043</v>
      </c>
      <c r="I43" s="744">
        <v>32193.921243417295</v>
      </c>
      <c r="J43" s="674">
        <v>17766.983888779279</v>
      </c>
      <c r="K43" s="674">
        <v>29484.842323782792</v>
      </c>
      <c r="L43" s="745">
        <v>3725.6946782227669</v>
      </c>
      <c r="M43" s="765">
        <v>100216.24148181616</v>
      </c>
      <c r="N43" s="760">
        <v>123634.83950226997</v>
      </c>
      <c r="O43" s="777">
        <v>27617.912541435791</v>
      </c>
      <c r="P43" s="778"/>
      <c r="Q43" s="779"/>
      <c r="R43" s="779"/>
    </row>
    <row r="44" spans="1:18" ht="20.25" customHeight="1">
      <c r="A44" s="380" t="s">
        <v>1024</v>
      </c>
      <c r="B44" s="380"/>
      <c r="C44" s="380"/>
      <c r="D44" s="380"/>
      <c r="E44" s="380"/>
      <c r="F44" s="380"/>
      <c r="G44" s="380"/>
      <c r="H44" s="380"/>
      <c r="I44" s="380"/>
      <c r="J44" s="1472"/>
      <c r="K44" s="380"/>
      <c r="L44" s="380"/>
      <c r="M44" s="1798"/>
      <c r="N44" s="1798"/>
      <c r="O44" s="409" t="s">
        <v>1025</v>
      </c>
    </row>
    <row r="45" spans="1:18" ht="14.25" customHeight="1">
      <c r="A45" s="381" t="s">
        <v>1026</v>
      </c>
      <c r="J45" s="1425"/>
      <c r="K45" s="25"/>
      <c r="L45" s="1780"/>
      <c r="O45" s="412" t="s">
        <v>1027</v>
      </c>
    </row>
    <row r="46" spans="1:18">
      <c r="B46" s="382"/>
      <c r="C46" s="1659"/>
      <c r="D46" s="1088"/>
      <c r="E46" s="1088"/>
      <c r="F46" s="1088"/>
      <c r="G46" s="1088"/>
      <c r="H46" s="1088"/>
      <c r="I46" s="1088"/>
      <c r="J46" s="1088"/>
      <c r="K46" s="1088"/>
      <c r="L46" s="1088"/>
      <c r="M46" s="1662"/>
      <c r="N46" s="1662"/>
      <c r="O46" s="1662"/>
    </row>
    <row r="47" spans="1:18" ht="13.8">
      <c r="A47" s="625" t="s">
        <v>1028</v>
      </c>
      <c r="B47" s="625"/>
      <c r="C47" s="625"/>
      <c r="D47" s="625"/>
      <c r="E47" s="625"/>
      <c r="F47" s="625"/>
      <c r="G47" s="625"/>
      <c r="H47" s="625"/>
      <c r="I47" s="625"/>
      <c r="J47" s="625"/>
      <c r="K47" s="625"/>
      <c r="L47" s="625"/>
      <c r="M47" s="625"/>
      <c r="N47" s="625"/>
      <c r="O47" s="625"/>
    </row>
    <row r="48" spans="1:18">
      <c r="A48" s="1425"/>
    </row>
    <row r="49" spans="1:1">
      <c r="A49" s="1799"/>
    </row>
  </sheetData>
  <phoneticPr fontId="0" type="noConversion"/>
  <printOptions horizontalCentered="1" verticalCentered="1"/>
  <pageMargins left="0" right="0" top="0" bottom="0" header="0.511811023622047" footer="0.511811023622047"/>
  <pageSetup paperSize="9" scale="7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dimension ref="A1:R49"/>
  <sheetViews>
    <sheetView zoomScale="80" zoomScaleNormal="80" workbookViewId="0">
      <pane ySplit="12" topLeftCell="A39" activePane="bottomLeft" state="frozen"/>
      <selection activeCell="B2" sqref="B2"/>
      <selection pane="bottomLeft" activeCell="I44" sqref="I44"/>
    </sheetView>
  </sheetViews>
  <sheetFormatPr defaultColWidth="7.77734375" defaultRowHeight="13.2"/>
  <cols>
    <col min="1" max="2" width="9.21875" style="149" customWidth="1"/>
    <col min="3" max="3" width="10.77734375" style="149" customWidth="1"/>
    <col min="4" max="4" width="12.77734375" style="149" customWidth="1"/>
    <col min="5" max="5" width="14" style="149" customWidth="1"/>
    <col min="6" max="6" width="9.77734375" style="149" customWidth="1"/>
    <col min="7" max="7" width="12" style="149" customWidth="1"/>
    <col min="8" max="8" width="11.44140625" style="149" customWidth="1"/>
    <col min="9" max="9" width="12.77734375" style="149" customWidth="1"/>
    <col min="10" max="10" width="13.77734375" style="149" customWidth="1"/>
    <col min="11" max="11" width="14" style="149" customWidth="1"/>
    <col min="12" max="12" width="12.44140625" style="149" customWidth="1"/>
    <col min="13" max="13" width="14.77734375" style="149" customWidth="1"/>
    <col min="14" max="14" width="12.77734375" style="149" customWidth="1"/>
    <col min="15" max="15" width="13.77734375" style="149" customWidth="1"/>
    <col min="16" max="16384" width="7.77734375" style="149"/>
  </cols>
  <sheetData>
    <row r="1" spans="1:18" s="381" customFormat="1" ht="17.399999999999999">
      <c r="A1" s="277" t="s">
        <v>1758</v>
      </c>
      <c r="B1" s="1710"/>
      <c r="C1" s="382"/>
      <c r="D1" s="382"/>
      <c r="E1" s="382"/>
      <c r="F1" s="382"/>
      <c r="G1" s="382"/>
      <c r="H1" s="382"/>
      <c r="I1" s="382"/>
      <c r="J1" s="382"/>
      <c r="K1" s="382"/>
      <c r="L1" s="382"/>
      <c r="M1" s="382"/>
      <c r="N1" s="382"/>
      <c r="O1" s="382"/>
    </row>
    <row r="2" spans="1:18" s="381" customFormat="1" ht="17.399999999999999">
      <c r="A2" s="1660" t="s">
        <v>1029</v>
      </c>
      <c r="B2" s="1710"/>
      <c r="C2" s="382"/>
      <c r="D2" s="382"/>
      <c r="E2" s="382"/>
      <c r="F2" s="382"/>
      <c r="G2" s="382"/>
      <c r="H2" s="382"/>
      <c r="I2" s="382"/>
      <c r="J2" s="382"/>
      <c r="K2" s="382"/>
      <c r="L2" s="382"/>
      <c r="M2" s="382"/>
      <c r="N2" s="382"/>
      <c r="O2" s="382"/>
    </row>
    <row r="3" spans="1:18" s="381" customFormat="1" ht="17.399999999999999">
      <c r="A3" s="277" t="s">
        <v>1020</v>
      </c>
      <c r="B3" s="1710"/>
      <c r="C3" s="382"/>
      <c r="D3" s="382"/>
      <c r="E3" s="382"/>
      <c r="F3" s="382"/>
      <c r="G3" s="382"/>
      <c r="H3" s="382"/>
      <c r="I3" s="382"/>
      <c r="J3" s="382"/>
      <c r="K3" s="382"/>
      <c r="L3" s="382"/>
      <c r="M3" s="382"/>
      <c r="N3" s="382"/>
      <c r="O3" s="382"/>
    </row>
    <row r="4" spans="1:18" s="381" customFormat="1" ht="17.399999999999999">
      <c r="A4" s="1660" t="s">
        <v>374</v>
      </c>
      <c r="B4" s="1710"/>
      <c r="C4" s="382"/>
      <c r="D4" s="382"/>
      <c r="E4" s="382"/>
      <c r="F4" s="382"/>
      <c r="G4" s="382"/>
      <c r="H4" s="382"/>
      <c r="I4" s="382"/>
      <c r="J4" s="382"/>
      <c r="K4" s="382"/>
      <c r="L4" s="382"/>
      <c r="M4" s="382"/>
      <c r="N4" s="382"/>
      <c r="O4" s="382"/>
    </row>
    <row r="5" spans="1:18" s="381" customFormat="1" ht="17.399999999999999">
      <c r="A5" s="277" t="s">
        <v>373</v>
      </c>
      <c r="B5" s="1710"/>
      <c r="C5" s="382"/>
      <c r="D5" s="382"/>
      <c r="E5" s="382"/>
      <c r="F5" s="382"/>
      <c r="G5" s="382"/>
      <c r="H5" s="382"/>
      <c r="I5" s="382"/>
      <c r="J5" s="382"/>
      <c r="K5" s="382"/>
      <c r="L5" s="382"/>
      <c r="M5" s="382"/>
      <c r="N5" s="382"/>
      <c r="O5" s="382"/>
    </row>
    <row r="6" spans="1:18" ht="15">
      <c r="A6" s="1227" t="s">
        <v>752</v>
      </c>
      <c r="B6" s="17"/>
      <c r="O6" s="1579" t="s">
        <v>753</v>
      </c>
    </row>
    <row r="7" spans="1:18" s="161" customFormat="1" ht="18" customHeight="1">
      <c r="A7" s="1741"/>
      <c r="B7" s="159"/>
      <c r="C7" s="1742" t="s">
        <v>791</v>
      </c>
      <c r="D7" s="160"/>
      <c r="E7" s="160"/>
      <c r="F7" s="160"/>
      <c r="G7" s="1743" t="s">
        <v>792</v>
      </c>
      <c r="H7" s="1744" t="s">
        <v>1014</v>
      </c>
      <c r="I7" s="160"/>
      <c r="J7" s="160"/>
      <c r="K7" s="160"/>
      <c r="L7" s="160"/>
      <c r="M7" s="1745" t="s">
        <v>1015</v>
      </c>
      <c r="N7" s="1746"/>
      <c r="O7" s="1747" t="s">
        <v>793</v>
      </c>
    </row>
    <row r="8" spans="1:18" s="1749" customFormat="1" ht="18" customHeight="1">
      <c r="A8" s="1748"/>
      <c r="C8" s="1750"/>
      <c r="D8" s="1751" t="s">
        <v>499</v>
      </c>
      <c r="E8" s="1751"/>
      <c r="F8" s="1752"/>
      <c r="G8" s="614"/>
      <c r="H8" s="1748"/>
      <c r="I8" s="1753"/>
      <c r="J8" s="1753"/>
      <c r="K8" s="162" t="s">
        <v>990</v>
      </c>
      <c r="L8" s="1754"/>
      <c r="M8" s="1755"/>
      <c r="N8" s="1756" t="s">
        <v>794</v>
      </c>
      <c r="O8" s="1747" t="s">
        <v>770</v>
      </c>
    </row>
    <row r="9" spans="1:18" s="1749" customFormat="1" ht="18" customHeight="1">
      <c r="A9" s="24" t="s">
        <v>379</v>
      </c>
      <c r="B9" s="74"/>
      <c r="C9" s="1750" t="s">
        <v>431</v>
      </c>
      <c r="D9" s="1757" t="s">
        <v>755</v>
      </c>
      <c r="E9" s="1751" t="s">
        <v>390</v>
      </c>
      <c r="F9" s="1751" t="s">
        <v>391</v>
      </c>
      <c r="G9" s="372" t="s">
        <v>1017</v>
      </c>
      <c r="H9" s="1750" t="s">
        <v>431</v>
      </c>
      <c r="I9" s="1751" t="s">
        <v>811</v>
      </c>
      <c r="J9" s="1751" t="s">
        <v>777</v>
      </c>
      <c r="K9" s="1751" t="s">
        <v>992</v>
      </c>
      <c r="L9" s="372" t="s">
        <v>391</v>
      </c>
      <c r="M9" s="372" t="s">
        <v>382</v>
      </c>
      <c r="N9" s="1756" t="s">
        <v>374</v>
      </c>
      <c r="O9" s="1758" t="s">
        <v>773</v>
      </c>
    </row>
    <row r="10" spans="1:18" s="1749" customFormat="1" ht="18" customHeight="1">
      <c r="A10" s="613" t="s">
        <v>387</v>
      </c>
      <c r="B10" s="1759"/>
      <c r="C10" s="1760"/>
      <c r="D10" s="375" t="s">
        <v>758</v>
      </c>
      <c r="E10" s="375" t="s">
        <v>466</v>
      </c>
      <c r="F10" s="375"/>
      <c r="G10" s="375"/>
      <c r="H10" s="1760"/>
      <c r="I10" s="1759"/>
      <c r="J10" s="1761"/>
      <c r="K10" s="375" t="s">
        <v>996</v>
      </c>
      <c r="L10" s="375"/>
      <c r="M10" s="375"/>
      <c r="N10" s="1762" t="s">
        <v>392</v>
      </c>
      <c r="O10" s="1758" t="s">
        <v>1023</v>
      </c>
    </row>
    <row r="11" spans="1:18" s="1749" customFormat="1" ht="18" customHeight="1">
      <c r="A11" s="613"/>
      <c r="B11" s="1759"/>
      <c r="C11" s="1760" t="s">
        <v>405</v>
      </c>
      <c r="D11" s="375" t="s">
        <v>759</v>
      </c>
      <c r="E11" s="375" t="s">
        <v>505</v>
      </c>
      <c r="F11" s="375" t="s">
        <v>399</v>
      </c>
      <c r="G11" s="375" t="s">
        <v>392</v>
      </c>
      <c r="H11" s="1760" t="s">
        <v>405</v>
      </c>
      <c r="I11" s="375" t="s">
        <v>759</v>
      </c>
      <c r="J11" s="375" t="s">
        <v>784</v>
      </c>
      <c r="K11" s="375" t="s">
        <v>1001</v>
      </c>
      <c r="L11" s="375" t="s">
        <v>399</v>
      </c>
      <c r="M11" s="375" t="s">
        <v>392</v>
      </c>
      <c r="N11" s="1762" t="s">
        <v>373</v>
      </c>
      <c r="O11" s="1758" t="s">
        <v>6</v>
      </c>
    </row>
    <row r="12" spans="1:18" s="1749" customFormat="1" ht="18" customHeight="1">
      <c r="A12" s="1763"/>
      <c r="B12" s="1764"/>
      <c r="C12" s="1765" t="s">
        <v>781</v>
      </c>
      <c r="D12" s="1766"/>
      <c r="E12" s="1766"/>
      <c r="F12" s="1766" t="s">
        <v>782</v>
      </c>
      <c r="G12" s="1767"/>
      <c r="H12" s="1768"/>
      <c r="I12" s="1767"/>
      <c r="J12" s="1767"/>
      <c r="K12" s="1767"/>
      <c r="L12" s="1766" t="s">
        <v>782</v>
      </c>
      <c r="M12" s="1767"/>
      <c r="N12" s="1769"/>
      <c r="O12" s="1766" t="s">
        <v>1030</v>
      </c>
    </row>
    <row r="13" spans="1:18" s="306" customFormat="1" ht="20.25" customHeight="1">
      <c r="A13" s="405">
        <v>2016</v>
      </c>
      <c r="B13" s="497"/>
      <c r="C13" s="1770">
        <v>5472.3688273343332</v>
      </c>
      <c r="D13" s="1771">
        <v>621.10597751084401</v>
      </c>
      <c r="E13" s="801">
        <v>170.37068374842158</v>
      </c>
      <c r="F13" s="1772">
        <v>3986.2553988007721</v>
      </c>
      <c r="G13" s="1773">
        <v>10250.150887394373</v>
      </c>
      <c r="H13" s="1773">
        <v>29375.981750743947</v>
      </c>
      <c r="I13" s="1774">
        <v>22800.963024890541</v>
      </c>
      <c r="J13" s="1775">
        <v>889.49317901572408</v>
      </c>
      <c r="K13" s="1776">
        <v>23243.034781728056</v>
      </c>
      <c r="L13" s="1773">
        <v>16476.189297391775</v>
      </c>
      <c r="M13" s="1724">
        <v>92785.662033770044</v>
      </c>
      <c r="N13" s="1774">
        <v>103035.86292116441</v>
      </c>
      <c r="O13" s="1777">
        <v>45198.819711732496</v>
      </c>
      <c r="P13" s="1778"/>
      <c r="Q13" s="1779"/>
      <c r="R13" s="1778"/>
    </row>
    <row r="14" spans="1:18" s="408" customFormat="1" ht="14.25" customHeight="1">
      <c r="A14" s="356">
        <v>2017</v>
      </c>
      <c r="B14" s="551"/>
      <c r="C14" s="780">
        <v>5025.098498332788</v>
      </c>
      <c r="D14" s="647">
        <v>872.4821147620022</v>
      </c>
      <c r="E14" s="645">
        <v>201.86325861635936</v>
      </c>
      <c r="F14" s="679">
        <v>4310.0438679272957</v>
      </c>
      <c r="G14" s="646">
        <v>10409.487739638445</v>
      </c>
      <c r="H14" s="646">
        <v>27334.166198318475</v>
      </c>
      <c r="I14" s="662">
        <v>22452.848351277913</v>
      </c>
      <c r="J14" s="723">
        <v>536.98968766308599</v>
      </c>
      <c r="K14" s="668">
        <v>26363.573125527524</v>
      </c>
      <c r="L14" s="646">
        <v>16865.395555478983</v>
      </c>
      <c r="M14" s="630">
        <v>93552.972918265994</v>
      </c>
      <c r="N14" s="648">
        <v>103962.46065790442</v>
      </c>
      <c r="O14" s="746">
        <v>35096.268653169369</v>
      </c>
      <c r="P14" s="1778"/>
      <c r="Q14" s="1779"/>
      <c r="R14" s="1778"/>
    </row>
    <row r="15" spans="1:18" s="321" customFormat="1" ht="14.25" customHeight="1">
      <c r="A15" s="747">
        <v>2018</v>
      </c>
      <c r="B15" s="748"/>
      <c r="C15" s="780">
        <v>4895.4357257052889</v>
      </c>
      <c r="D15" s="647">
        <v>1122.3581754469355</v>
      </c>
      <c r="E15" s="645">
        <v>98.556526336243039</v>
      </c>
      <c r="F15" s="679">
        <v>4354.6995856818785</v>
      </c>
      <c r="G15" s="646">
        <v>10471.060013170347</v>
      </c>
      <c r="H15" s="646">
        <v>28238.359348410253</v>
      </c>
      <c r="I15" s="662">
        <v>21561.610907274004</v>
      </c>
      <c r="J15" s="723">
        <v>3.1446406811759999</v>
      </c>
      <c r="K15" s="668">
        <v>28716.625204093187</v>
      </c>
      <c r="L15" s="646">
        <v>17038.901911210534</v>
      </c>
      <c r="M15" s="630">
        <v>95558.643011669163</v>
      </c>
      <c r="N15" s="648">
        <v>106029.67378658651</v>
      </c>
      <c r="O15" s="746">
        <v>29736.504306127077</v>
      </c>
      <c r="P15" s="779"/>
      <c r="Q15" s="781"/>
      <c r="R15" s="779"/>
    </row>
    <row r="16" spans="1:18" s="321" customFormat="1" ht="14.25" customHeight="1">
      <c r="A16" s="747">
        <v>2019</v>
      </c>
      <c r="B16" s="748"/>
      <c r="C16" s="780">
        <v>5562.5000579657335</v>
      </c>
      <c r="D16" s="647">
        <v>807.22339510005702</v>
      </c>
      <c r="E16" s="645">
        <v>390.16756657750477</v>
      </c>
      <c r="F16" s="679">
        <v>5104.2828140965767</v>
      </c>
      <c r="G16" s="646">
        <v>11864.173826929073</v>
      </c>
      <c r="H16" s="646">
        <v>30443.485140361805</v>
      </c>
      <c r="I16" s="662">
        <v>22182.69966964583</v>
      </c>
      <c r="J16" s="723">
        <v>538.57512067803589</v>
      </c>
      <c r="K16" s="668">
        <v>30907.858002213099</v>
      </c>
      <c r="L16" s="646">
        <v>14901.316629968631</v>
      </c>
      <c r="M16" s="630">
        <v>98973.964562867404</v>
      </c>
      <c r="N16" s="648">
        <v>110838.15874899647</v>
      </c>
      <c r="O16" s="746">
        <v>21905.784079995654</v>
      </c>
      <c r="P16" s="779"/>
      <c r="Q16" s="781"/>
      <c r="R16" s="779"/>
    </row>
    <row r="17" spans="1:18" s="321" customFormat="1" ht="14.25" customHeight="1">
      <c r="A17" s="747">
        <v>2020</v>
      </c>
      <c r="B17" s="748"/>
      <c r="C17" s="780">
        <v>6276.0517736601141</v>
      </c>
      <c r="D17" s="647">
        <v>1025.9470837554898</v>
      </c>
      <c r="E17" s="645">
        <v>232.98780029725</v>
      </c>
      <c r="F17" s="679">
        <v>5186.2304370686579</v>
      </c>
      <c r="G17" s="646">
        <v>12721.217087969811</v>
      </c>
      <c r="H17" s="646">
        <v>27354.185960194889</v>
      </c>
      <c r="I17" s="662">
        <v>20540.836072600301</v>
      </c>
      <c r="J17" s="723">
        <v>1039.355257824702</v>
      </c>
      <c r="K17" s="668">
        <v>35455.621751979386</v>
      </c>
      <c r="L17" s="646">
        <v>15967.56302868453</v>
      </c>
      <c r="M17" s="630">
        <v>100357.55207128383</v>
      </c>
      <c r="N17" s="648">
        <v>113078.75915925363</v>
      </c>
      <c r="O17" s="746">
        <v>19623.44810467762</v>
      </c>
      <c r="P17" s="779"/>
      <c r="Q17" s="781"/>
      <c r="R17" s="779"/>
    </row>
    <row r="18" spans="1:18" s="321" customFormat="1" ht="14.25" customHeight="1">
      <c r="A18" s="747">
        <v>2021</v>
      </c>
      <c r="B18" s="748"/>
      <c r="C18" s="780">
        <v>7446.8269517946537</v>
      </c>
      <c r="D18" s="647">
        <v>979.91857482335399</v>
      </c>
      <c r="E18" s="645">
        <v>274.95735178982557</v>
      </c>
      <c r="F18" s="679">
        <v>4786.1033037429697</v>
      </c>
      <c r="G18" s="646">
        <v>13487.806182150804</v>
      </c>
      <c r="H18" s="646">
        <v>33274.908926279531</v>
      </c>
      <c r="I18" s="662">
        <v>21472.523485089674</v>
      </c>
      <c r="J18" s="723">
        <v>512.21777705204897</v>
      </c>
      <c r="K18" s="668">
        <v>35091.9181507795</v>
      </c>
      <c r="L18" s="646">
        <v>14263.40893625649</v>
      </c>
      <c r="M18" s="630">
        <v>104614.92727545711</v>
      </c>
      <c r="N18" s="648">
        <v>118102.73345760684</v>
      </c>
      <c r="O18" s="746">
        <v>20834.975574016094</v>
      </c>
      <c r="P18" s="779"/>
      <c r="Q18" s="781"/>
      <c r="R18" s="779"/>
    </row>
    <row r="19" spans="1:18" s="321" customFormat="1" ht="14.25" customHeight="1">
      <c r="A19" s="747">
        <v>2022</v>
      </c>
      <c r="B19" s="748"/>
      <c r="C19" s="780">
        <v>6701.2014015622372</v>
      </c>
      <c r="D19" s="647">
        <v>1889.2183679958953</v>
      </c>
      <c r="E19" s="645">
        <v>204.64350780293682</v>
      </c>
      <c r="F19" s="679">
        <v>6934.5698676018192</v>
      </c>
      <c r="G19" s="646">
        <v>15729.633144962887</v>
      </c>
      <c r="H19" s="646">
        <v>31645.955667460843</v>
      </c>
      <c r="I19" s="662">
        <v>25442.095881477835</v>
      </c>
      <c r="J19" s="723">
        <v>546.68189714289201</v>
      </c>
      <c r="K19" s="668">
        <v>36231.340790781469</v>
      </c>
      <c r="L19" s="646">
        <v>12777.099732181703</v>
      </c>
      <c r="M19" s="630">
        <v>106643.20396904464</v>
      </c>
      <c r="N19" s="648">
        <v>122372.83711400752</v>
      </c>
      <c r="O19" s="746">
        <v>21483.751969947483</v>
      </c>
      <c r="P19" s="779"/>
      <c r="Q19" s="781"/>
      <c r="R19" s="779"/>
    </row>
    <row r="20" spans="1:18" s="321" customFormat="1" ht="14.25" customHeight="1">
      <c r="A20" s="747">
        <v>2023</v>
      </c>
      <c r="B20" s="748"/>
      <c r="C20" s="780">
        <v>6950.2727625431671</v>
      </c>
      <c r="D20" s="647">
        <v>1771.0204096518075</v>
      </c>
      <c r="E20" s="645">
        <v>47.981840089883526</v>
      </c>
      <c r="F20" s="679">
        <v>5082.7434989219764</v>
      </c>
      <c r="G20" s="646">
        <v>13852.018511206836</v>
      </c>
      <c r="H20" s="646">
        <v>35737.846895121016</v>
      </c>
      <c r="I20" s="662">
        <v>27551.833813543555</v>
      </c>
      <c r="J20" s="723">
        <v>515.99999999952001</v>
      </c>
      <c r="K20" s="668">
        <v>42834.75713933941</v>
      </c>
      <c r="L20" s="646">
        <v>10959.423351313453</v>
      </c>
      <c r="M20" s="630">
        <v>117599.84119931694</v>
      </c>
      <c r="N20" s="648">
        <v>131451.83971052378</v>
      </c>
      <c r="O20" s="746">
        <v>23958.947154089299</v>
      </c>
      <c r="P20" s="779"/>
      <c r="Q20" s="781"/>
      <c r="R20" s="779"/>
    </row>
    <row r="21" spans="1:18" s="321" customFormat="1" ht="14.25" customHeight="1">
      <c r="A21" s="747">
        <v>2024</v>
      </c>
      <c r="B21" s="748"/>
      <c r="C21" s="780">
        <v>6899.4600072129961</v>
      </c>
      <c r="D21" s="647">
        <v>1045.9441128210117</v>
      </c>
      <c r="E21" s="645">
        <v>120.87282053140629</v>
      </c>
      <c r="F21" s="679">
        <v>4766.0053601959016</v>
      </c>
      <c r="G21" s="646">
        <v>12832.282300761315</v>
      </c>
      <c r="H21" s="646">
        <v>41124.759756934851</v>
      </c>
      <c r="I21" s="662">
        <v>24574.611961686849</v>
      </c>
      <c r="J21" s="723">
        <v>587.00125878951997</v>
      </c>
      <c r="K21" s="668">
        <v>45289.749663294875</v>
      </c>
      <c r="L21" s="646">
        <v>12489.696948405232</v>
      </c>
      <c r="M21" s="630">
        <v>124065.80958911133</v>
      </c>
      <c r="N21" s="648">
        <v>136898.09188987262</v>
      </c>
      <c r="O21" s="746">
        <v>21863.933704486044</v>
      </c>
      <c r="P21" s="778"/>
      <c r="Q21" s="779"/>
      <c r="R21" s="779"/>
    </row>
    <row r="22" spans="1:18" s="321" customFormat="1" ht="14.25" customHeight="1">
      <c r="A22" s="906">
        <v>2025</v>
      </c>
      <c r="B22" s="997"/>
      <c r="C22" s="1000">
        <f t="shared" ref="C22:O22" si="0">C28</f>
        <v>7555.1266632723409</v>
      </c>
      <c r="D22" s="1001">
        <f t="shared" si="0"/>
        <v>1108.2456790579668</v>
      </c>
      <c r="E22" s="1002">
        <f t="shared" si="0"/>
        <v>153.56208195117091</v>
      </c>
      <c r="F22" s="1003">
        <f t="shared" si="0"/>
        <v>4805.1415465594364</v>
      </c>
      <c r="G22" s="1004">
        <f t="shared" si="0"/>
        <v>13622.025970840916</v>
      </c>
      <c r="H22" s="1004">
        <f t="shared" si="0"/>
        <v>35608.384554123171</v>
      </c>
      <c r="I22" s="1005">
        <f t="shared" si="0"/>
        <v>29745.999944120391</v>
      </c>
      <c r="J22" s="1006">
        <f t="shared" si="0"/>
        <v>2.1742879289999999E-2</v>
      </c>
      <c r="K22" s="1007">
        <f t="shared" si="0"/>
        <v>43462.857661784205</v>
      </c>
      <c r="L22" s="1004">
        <f t="shared" si="0"/>
        <v>12331.612675009197</v>
      </c>
      <c r="M22" s="999">
        <f t="shared" si="0"/>
        <v>121148.87657791626</v>
      </c>
      <c r="N22" s="1008">
        <f t="shared" si="0"/>
        <v>134770.94254875719</v>
      </c>
      <c r="O22" s="1009">
        <f t="shared" si="0"/>
        <v>25078.559345434871</v>
      </c>
      <c r="P22" s="778"/>
      <c r="Q22" s="779"/>
      <c r="R22" s="779"/>
    </row>
    <row r="23" spans="1:18" s="321" customFormat="1" ht="21" customHeight="1">
      <c r="A23" s="747">
        <v>2024</v>
      </c>
      <c r="B23" s="748" t="s">
        <v>237</v>
      </c>
      <c r="C23" s="780">
        <v>6887.5307608958428</v>
      </c>
      <c r="D23" s="647">
        <v>1461.205374060929</v>
      </c>
      <c r="E23" s="645">
        <v>110.50826549261909</v>
      </c>
      <c r="F23" s="679">
        <v>5102.0633332173275</v>
      </c>
      <c r="G23" s="646">
        <v>13561.307733666717</v>
      </c>
      <c r="H23" s="646">
        <v>41078.469064863049</v>
      </c>
      <c r="I23" s="662">
        <v>27351.714303339781</v>
      </c>
      <c r="J23" s="723">
        <v>506.99999999952001</v>
      </c>
      <c r="K23" s="668">
        <v>44968.138252921912</v>
      </c>
      <c r="L23" s="646">
        <v>11804.142219719994</v>
      </c>
      <c r="M23" s="630">
        <v>125709.43384084424</v>
      </c>
      <c r="N23" s="648">
        <v>139270.74157451099</v>
      </c>
      <c r="O23" s="746">
        <v>21077.033532164696</v>
      </c>
      <c r="P23" s="779"/>
      <c r="Q23" s="781"/>
      <c r="R23" s="779"/>
    </row>
    <row r="24" spans="1:18" s="321" customFormat="1" ht="15" customHeight="1">
      <c r="A24" s="747"/>
      <c r="B24" s="748" t="s">
        <v>238</v>
      </c>
      <c r="C24" s="780">
        <v>6899.4600072129961</v>
      </c>
      <c r="D24" s="647">
        <v>1045.9441128210117</v>
      </c>
      <c r="E24" s="645">
        <v>120.87282053140629</v>
      </c>
      <c r="F24" s="679">
        <v>4766.0053601959016</v>
      </c>
      <c r="G24" s="646">
        <v>12832.282300761315</v>
      </c>
      <c r="H24" s="646">
        <v>41124.759756934851</v>
      </c>
      <c r="I24" s="662">
        <v>24574.611961686849</v>
      </c>
      <c r="J24" s="723">
        <v>587.00125878951997</v>
      </c>
      <c r="K24" s="668">
        <v>45289.749663294875</v>
      </c>
      <c r="L24" s="646">
        <v>12489.696948405232</v>
      </c>
      <c r="M24" s="630">
        <v>124065.80958911133</v>
      </c>
      <c r="N24" s="648">
        <v>136898.09188987262</v>
      </c>
      <c r="O24" s="746">
        <v>21863.933704486044</v>
      </c>
      <c r="P24" s="779"/>
      <c r="Q24" s="781"/>
      <c r="R24" s="779"/>
    </row>
    <row r="25" spans="1:18" s="321" customFormat="1" ht="21" customHeight="1">
      <c r="A25" s="747">
        <v>2025</v>
      </c>
      <c r="B25" s="748" t="s">
        <v>239</v>
      </c>
      <c r="C25" s="780">
        <v>7513.4609848505697</v>
      </c>
      <c r="D25" s="647">
        <v>1122.4997514029253</v>
      </c>
      <c r="E25" s="645">
        <v>159.67617166095002</v>
      </c>
      <c r="F25" s="679">
        <v>4361.280896042972</v>
      </c>
      <c r="G25" s="646">
        <v>13156.957803957415</v>
      </c>
      <c r="H25" s="646">
        <v>41849.169302501308</v>
      </c>
      <c r="I25" s="662">
        <v>21815.061335379087</v>
      </c>
      <c r="J25" s="723">
        <v>6.1844895200000001E-3</v>
      </c>
      <c r="K25" s="668">
        <v>48190.779437822996</v>
      </c>
      <c r="L25" s="646">
        <v>12225.500990302162</v>
      </c>
      <c r="M25" s="630">
        <v>124080.55725049507</v>
      </c>
      <c r="N25" s="648">
        <v>137237.59505445248</v>
      </c>
      <c r="O25" s="746">
        <v>21835.180425190221</v>
      </c>
      <c r="P25" s="779"/>
      <c r="Q25" s="781"/>
      <c r="R25" s="779"/>
    </row>
    <row r="26" spans="1:18" s="321" customFormat="1" ht="15" customHeight="1">
      <c r="A26" s="747"/>
      <c r="B26" s="748" t="s">
        <v>240</v>
      </c>
      <c r="C26" s="780">
        <v>7892.7024207622326</v>
      </c>
      <c r="D26" s="647">
        <v>1309.1001269300514</v>
      </c>
      <c r="E26" s="645">
        <v>98.380422964587439</v>
      </c>
      <c r="F26" s="679">
        <v>4765.6972296660069</v>
      </c>
      <c r="G26" s="646">
        <v>14065.880200322879</v>
      </c>
      <c r="H26" s="646">
        <v>38980.461456075391</v>
      </c>
      <c r="I26" s="662">
        <v>23481.840676370841</v>
      </c>
      <c r="J26" s="723">
        <v>1.116491952E-2</v>
      </c>
      <c r="K26" s="668">
        <v>48101.707911515026</v>
      </c>
      <c r="L26" s="646">
        <v>11885.739663929979</v>
      </c>
      <c r="M26" s="630">
        <v>122449.74087281075</v>
      </c>
      <c r="N26" s="648">
        <v>136515.64107313362</v>
      </c>
      <c r="O26" s="746">
        <v>24382.8500593719</v>
      </c>
      <c r="P26" s="778"/>
      <c r="Q26" s="779"/>
      <c r="R26" s="779"/>
    </row>
    <row r="27" spans="1:18" s="321" customFormat="1" ht="15" customHeight="1">
      <c r="A27" s="747"/>
      <c r="B27" s="748" t="s">
        <v>237</v>
      </c>
      <c r="C27" s="780">
        <v>7442.6807921737054</v>
      </c>
      <c r="D27" s="647">
        <v>1193.6301460218151</v>
      </c>
      <c r="E27" s="645">
        <v>136.23547568592198</v>
      </c>
      <c r="F27" s="679">
        <v>4871.7976460485552</v>
      </c>
      <c r="G27" s="646">
        <v>13644.344059929999</v>
      </c>
      <c r="H27" s="646">
        <v>37188.202355567068</v>
      </c>
      <c r="I27" s="662">
        <v>28502.369242941299</v>
      </c>
      <c r="J27" s="723">
        <v>1.6200079520000001E-2</v>
      </c>
      <c r="K27" s="668">
        <v>47147.847304741539</v>
      </c>
      <c r="L27" s="646">
        <v>12753.484343713328</v>
      </c>
      <c r="M27" s="630">
        <v>125591.91944704275</v>
      </c>
      <c r="N27" s="648">
        <v>139236.24350697277</v>
      </c>
      <c r="O27" s="746">
        <v>26048.131780299052</v>
      </c>
      <c r="P27" s="778"/>
      <c r="Q27" s="779"/>
      <c r="R27" s="779"/>
    </row>
    <row r="28" spans="1:18" s="321" customFormat="1" ht="15" customHeight="1">
      <c r="A28" s="747"/>
      <c r="B28" s="748" t="s">
        <v>238</v>
      </c>
      <c r="C28" s="780">
        <f t="shared" ref="C28:O28" si="1">C36</f>
        <v>7555.1266632723409</v>
      </c>
      <c r="D28" s="647">
        <f t="shared" si="1"/>
        <v>1108.2456790579668</v>
      </c>
      <c r="E28" s="645">
        <f t="shared" si="1"/>
        <v>153.56208195117091</v>
      </c>
      <c r="F28" s="679">
        <f t="shared" si="1"/>
        <v>4805.1415465594364</v>
      </c>
      <c r="G28" s="646">
        <f t="shared" si="1"/>
        <v>13622.025970840916</v>
      </c>
      <c r="H28" s="646">
        <f t="shared" si="1"/>
        <v>35608.384554123171</v>
      </c>
      <c r="I28" s="662">
        <f t="shared" si="1"/>
        <v>29745.999944120391</v>
      </c>
      <c r="J28" s="723">
        <f t="shared" si="1"/>
        <v>2.1742879289999999E-2</v>
      </c>
      <c r="K28" s="668">
        <f t="shared" si="1"/>
        <v>43462.857661784205</v>
      </c>
      <c r="L28" s="646">
        <f t="shared" si="1"/>
        <v>12331.612675009197</v>
      </c>
      <c r="M28" s="630">
        <f t="shared" si="1"/>
        <v>121148.87657791626</v>
      </c>
      <c r="N28" s="648">
        <f t="shared" si="1"/>
        <v>134770.94254875719</v>
      </c>
      <c r="O28" s="746">
        <f t="shared" si="1"/>
        <v>25078.559345434871</v>
      </c>
      <c r="P28" s="778"/>
      <c r="Q28" s="779"/>
      <c r="R28" s="779"/>
    </row>
    <row r="29" spans="1:18" s="321" customFormat="1" ht="21" customHeight="1">
      <c r="A29" s="747">
        <v>2026</v>
      </c>
      <c r="B29" s="748" t="s">
        <v>239</v>
      </c>
      <c r="C29" s="780">
        <f t="shared" ref="C29:O29" si="2">C39</f>
        <v>8547.8734501970084</v>
      </c>
      <c r="D29" s="647">
        <f t="shared" si="2"/>
        <v>1004.9491471638297</v>
      </c>
      <c r="E29" s="645">
        <f t="shared" si="2"/>
        <v>168.65935127734576</v>
      </c>
      <c r="F29" s="679">
        <f t="shared" si="2"/>
        <v>4940.6199866816241</v>
      </c>
      <c r="G29" s="646">
        <f t="shared" si="2"/>
        <v>14662.091935319808</v>
      </c>
      <c r="H29" s="646">
        <f t="shared" si="2"/>
        <v>35217.459279859839</v>
      </c>
      <c r="I29" s="662">
        <f t="shared" si="2"/>
        <v>23628.802379453671</v>
      </c>
      <c r="J29" s="723">
        <f t="shared" si="2"/>
        <v>2.8300278120000001E-2</v>
      </c>
      <c r="K29" s="668">
        <f t="shared" si="2"/>
        <v>46379.85884371549</v>
      </c>
      <c r="L29" s="646">
        <f t="shared" si="2"/>
        <v>12423.285703592539</v>
      </c>
      <c r="M29" s="630">
        <f t="shared" si="2"/>
        <v>117649.46450689966</v>
      </c>
      <c r="N29" s="648">
        <f t="shared" si="2"/>
        <v>132311.56644221945</v>
      </c>
      <c r="O29" s="746">
        <f t="shared" si="2"/>
        <v>26505.367325115571</v>
      </c>
      <c r="P29" s="779"/>
      <c r="Q29" s="781"/>
      <c r="R29" s="779"/>
    </row>
    <row r="30" spans="1:18" s="321" customFormat="1" ht="15" customHeight="1">
      <c r="A30" s="906"/>
      <c r="B30" s="997" t="s">
        <v>240</v>
      </c>
      <c r="C30" s="1000">
        <f t="shared" ref="C30:O30" si="3">C42</f>
        <v>7703.4607493696039</v>
      </c>
      <c r="D30" s="1001">
        <f t="shared" si="3"/>
        <v>1592.8969165566077</v>
      </c>
      <c r="E30" s="1002">
        <f t="shared" si="3"/>
        <v>159.32713521220617</v>
      </c>
      <c r="F30" s="1003">
        <f t="shared" si="3"/>
        <v>5706.1742633271879</v>
      </c>
      <c r="G30" s="1004">
        <f t="shared" si="3"/>
        <v>15161.859064465605</v>
      </c>
      <c r="H30" s="1004">
        <f t="shared" si="3"/>
        <v>31373.306252844126</v>
      </c>
      <c r="I30" s="1005">
        <f t="shared" si="3"/>
        <v>21869.454718317538</v>
      </c>
      <c r="J30" s="1006">
        <f t="shared" si="3"/>
        <v>3.4930536300000002E-2</v>
      </c>
      <c r="K30" s="1007">
        <f t="shared" si="3"/>
        <v>45401.624481384904</v>
      </c>
      <c r="L30" s="1004">
        <f t="shared" si="3"/>
        <v>12372.587993213232</v>
      </c>
      <c r="M30" s="999">
        <f t="shared" si="3"/>
        <v>111017.00837629609</v>
      </c>
      <c r="N30" s="1008">
        <f t="shared" si="3"/>
        <v>126178.86744076171</v>
      </c>
      <c r="O30" s="1009">
        <f t="shared" si="3"/>
        <v>26256.537330365922</v>
      </c>
      <c r="P30" s="779"/>
      <c r="Q30" s="781"/>
      <c r="R30" s="779"/>
    </row>
    <row r="31" spans="1:18" s="321" customFormat="1" ht="21" customHeight="1">
      <c r="A31" s="747">
        <v>2025</v>
      </c>
      <c r="B31" s="748" t="s">
        <v>420</v>
      </c>
      <c r="C31" s="780">
        <v>8474.0557921989875</v>
      </c>
      <c r="D31" s="647">
        <v>1181.5853702651186</v>
      </c>
      <c r="E31" s="645">
        <v>106.19056620683146</v>
      </c>
      <c r="F31" s="679">
        <v>4800.0393890212399</v>
      </c>
      <c r="G31" s="646">
        <v>14561.891117692179</v>
      </c>
      <c r="H31" s="646">
        <v>33863.503433180609</v>
      </c>
      <c r="I31" s="662">
        <v>22287.899403542673</v>
      </c>
      <c r="J31" s="1197">
        <v>1.286154952E-2</v>
      </c>
      <c r="K31" s="668">
        <v>46557.381609623146</v>
      </c>
      <c r="L31" s="646">
        <v>12499.773211086887</v>
      </c>
      <c r="M31" s="630">
        <v>115208.57051898283</v>
      </c>
      <c r="N31" s="648">
        <v>129770.461636675</v>
      </c>
      <c r="O31" s="746">
        <v>26125.566754999083</v>
      </c>
      <c r="P31" s="778"/>
      <c r="Q31" s="779"/>
      <c r="R31" s="779"/>
    </row>
    <row r="32" spans="1:18" s="321" customFormat="1" ht="15" customHeight="1">
      <c r="A32" s="747"/>
      <c r="B32" s="748" t="s">
        <v>421</v>
      </c>
      <c r="C32" s="780">
        <v>8150.2857457939535</v>
      </c>
      <c r="D32" s="647">
        <v>1193.9029637188416</v>
      </c>
      <c r="E32" s="645">
        <v>162.27696617248989</v>
      </c>
      <c r="F32" s="679">
        <v>4942.2250925073113</v>
      </c>
      <c r="G32" s="646">
        <v>14448.690768192597</v>
      </c>
      <c r="H32" s="646">
        <v>33838.598441314418</v>
      </c>
      <c r="I32" s="662">
        <v>19498.873989211021</v>
      </c>
      <c r="J32" s="1197">
        <v>1.4558179520000001E-2</v>
      </c>
      <c r="K32" s="668">
        <v>48691.757656186746</v>
      </c>
      <c r="L32" s="646">
        <v>12621.306013729867</v>
      </c>
      <c r="M32" s="630">
        <v>114650.55065862158</v>
      </c>
      <c r="N32" s="648">
        <v>129099.26142681418</v>
      </c>
      <c r="O32" s="746">
        <v>24175.970558727797</v>
      </c>
      <c r="P32" s="778"/>
      <c r="Q32" s="779"/>
      <c r="R32" s="779"/>
    </row>
    <row r="33" spans="1:18" s="321" customFormat="1" ht="15" customHeight="1">
      <c r="A33" s="747"/>
      <c r="B33" s="748" t="s">
        <v>422</v>
      </c>
      <c r="C33" s="780">
        <v>7442.6807921737054</v>
      </c>
      <c r="D33" s="647">
        <v>1193.6301460218151</v>
      </c>
      <c r="E33" s="645">
        <v>136.23547568592198</v>
      </c>
      <c r="F33" s="679">
        <v>4871.7976460485552</v>
      </c>
      <c r="G33" s="646">
        <v>13644.344059929999</v>
      </c>
      <c r="H33" s="646">
        <v>37188.202355567068</v>
      </c>
      <c r="I33" s="662">
        <v>28502.369242941299</v>
      </c>
      <c r="J33" s="1197">
        <v>1.6200079520000001E-2</v>
      </c>
      <c r="K33" s="668">
        <v>47147.847304741539</v>
      </c>
      <c r="L33" s="646">
        <v>12753.484343713328</v>
      </c>
      <c r="M33" s="630">
        <v>125591.91944704275</v>
      </c>
      <c r="N33" s="648">
        <v>139236.24350697277</v>
      </c>
      <c r="O33" s="746">
        <v>26048.131780299052</v>
      </c>
      <c r="P33" s="778"/>
      <c r="Q33" s="779"/>
      <c r="R33" s="779"/>
    </row>
    <row r="34" spans="1:18" s="321" customFormat="1" ht="15" customHeight="1">
      <c r="A34" s="747"/>
      <c r="B34" s="748" t="s">
        <v>411</v>
      </c>
      <c r="C34" s="780">
        <v>7805.9593856890133</v>
      </c>
      <c r="D34" s="647">
        <v>1210.6748294036515</v>
      </c>
      <c r="E34" s="645">
        <v>154.57789995034858</v>
      </c>
      <c r="F34" s="679">
        <v>4945.1394676666259</v>
      </c>
      <c r="G34" s="646">
        <v>14116.371582709642</v>
      </c>
      <c r="H34" s="646">
        <v>35011.957937732564</v>
      </c>
      <c r="I34" s="662">
        <v>28582.372938499913</v>
      </c>
      <c r="J34" s="1197">
        <v>1.7896709520000002E-2</v>
      </c>
      <c r="K34" s="668">
        <v>44413.127083747924</v>
      </c>
      <c r="L34" s="646">
        <v>12899.085753737345</v>
      </c>
      <c r="M34" s="630">
        <v>120906.55161042727</v>
      </c>
      <c r="N34" s="648">
        <v>135022.9531931369</v>
      </c>
      <c r="O34" s="746">
        <v>25298.06549210324</v>
      </c>
      <c r="P34" s="778"/>
      <c r="Q34" s="779"/>
      <c r="R34" s="779"/>
    </row>
    <row r="35" spans="1:18" s="321" customFormat="1" ht="15" customHeight="1">
      <c r="A35" s="747"/>
      <c r="B35" s="748" t="s">
        <v>412</v>
      </c>
      <c r="C35" s="780">
        <v>7574.0007964771212</v>
      </c>
      <c r="D35" s="647">
        <v>1232.5096806496572</v>
      </c>
      <c r="E35" s="645">
        <v>165.80971464181036</v>
      </c>
      <c r="F35" s="679">
        <v>5057.3617623710388</v>
      </c>
      <c r="G35" s="646">
        <v>14029.681954139627</v>
      </c>
      <c r="H35" s="646">
        <v>36018.894471399326</v>
      </c>
      <c r="I35" s="662">
        <v>29607.174563070381</v>
      </c>
      <c r="J35" s="1197">
        <v>1.953860952E-2</v>
      </c>
      <c r="K35" s="668">
        <v>42478.97305835427</v>
      </c>
      <c r="L35" s="646">
        <v>13012.042107133513</v>
      </c>
      <c r="M35" s="630">
        <v>121117.11373856702</v>
      </c>
      <c r="N35" s="648">
        <v>135146.79569270666</v>
      </c>
      <c r="O35" s="746">
        <v>24872.061990308932</v>
      </c>
      <c r="P35" s="778"/>
      <c r="Q35" s="779"/>
      <c r="R35" s="779"/>
    </row>
    <row r="36" spans="1:18" s="321" customFormat="1" ht="15" customHeight="1">
      <c r="A36" s="747"/>
      <c r="B36" s="748" t="s">
        <v>413</v>
      </c>
      <c r="C36" s="780">
        <v>7555.1266632723409</v>
      </c>
      <c r="D36" s="647">
        <v>1108.2456790579668</v>
      </c>
      <c r="E36" s="645">
        <v>153.56208195117091</v>
      </c>
      <c r="F36" s="679">
        <v>4805.1415465594364</v>
      </c>
      <c r="G36" s="646">
        <v>13622.025970840916</v>
      </c>
      <c r="H36" s="646">
        <v>35608.384554123171</v>
      </c>
      <c r="I36" s="662">
        <v>29745.999944120391</v>
      </c>
      <c r="J36" s="1197">
        <v>2.1742879289999999E-2</v>
      </c>
      <c r="K36" s="668">
        <v>43462.857661784205</v>
      </c>
      <c r="L36" s="646">
        <v>12331.612675009197</v>
      </c>
      <c r="M36" s="630">
        <v>121148.87657791626</v>
      </c>
      <c r="N36" s="648">
        <v>134770.94254875719</v>
      </c>
      <c r="O36" s="746">
        <v>25078.559345434871</v>
      </c>
      <c r="P36" s="778"/>
      <c r="Q36" s="779"/>
      <c r="R36" s="779"/>
    </row>
    <row r="37" spans="1:18" s="321" customFormat="1" ht="21" customHeight="1">
      <c r="A37" s="747">
        <v>2026</v>
      </c>
      <c r="B37" s="748" t="s">
        <v>414</v>
      </c>
      <c r="C37" s="780">
        <v>7474.4825128489756</v>
      </c>
      <c r="D37" s="647">
        <v>1061.0963074349306</v>
      </c>
      <c r="E37" s="645">
        <v>160.87216250510582</v>
      </c>
      <c r="F37" s="679">
        <v>5111.3170972634016</v>
      </c>
      <c r="G37" s="646">
        <v>13807.768080052414</v>
      </c>
      <c r="H37" s="646">
        <v>32673.578839026202</v>
      </c>
      <c r="I37" s="662">
        <v>24804.340232761686</v>
      </c>
      <c r="J37" s="1197">
        <v>2.4001538980000001E-2</v>
      </c>
      <c r="K37" s="668">
        <v>45840.411283162539</v>
      </c>
      <c r="L37" s="646">
        <v>12750.655889128648</v>
      </c>
      <c r="M37" s="630">
        <v>116068.99024561804</v>
      </c>
      <c r="N37" s="648">
        <v>129876.75832567047</v>
      </c>
      <c r="O37" s="746">
        <v>25726.890294632809</v>
      </c>
      <c r="P37" s="778"/>
      <c r="Q37" s="779"/>
      <c r="R37" s="779"/>
    </row>
    <row r="38" spans="1:18" s="321" customFormat="1" ht="15" customHeight="1">
      <c r="A38" s="747"/>
      <c r="B38" s="748" t="s">
        <v>415</v>
      </c>
      <c r="C38" s="780">
        <v>8093.7371904896318</v>
      </c>
      <c r="D38" s="647">
        <v>1045.1709255899877</v>
      </c>
      <c r="E38" s="645">
        <v>204.72167335319369</v>
      </c>
      <c r="F38" s="679">
        <v>4985.6102767658103</v>
      </c>
      <c r="G38" s="646">
        <v>14329.240066198623</v>
      </c>
      <c r="H38" s="646">
        <v>32067.944053695581</v>
      </c>
      <c r="I38" s="662">
        <v>24137.879009593169</v>
      </c>
      <c r="J38" s="1197">
        <v>2.6041618700000001E-2</v>
      </c>
      <c r="K38" s="668">
        <v>44832.895949494756</v>
      </c>
      <c r="L38" s="646">
        <v>12247.256458524002</v>
      </c>
      <c r="M38" s="630">
        <v>113286.0015129262</v>
      </c>
      <c r="N38" s="648">
        <v>127615.24157912482</v>
      </c>
      <c r="O38" s="746">
        <v>26896.738860754573</v>
      </c>
      <c r="P38" s="778"/>
      <c r="Q38" s="779"/>
      <c r="R38" s="779"/>
    </row>
    <row r="39" spans="1:18" s="321" customFormat="1" ht="15" customHeight="1">
      <c r="A39" s="747"/>
      <c r="B39" s="748" t="s">
        <v>416</v>
      </c>
      <c r="C39" s="780">
        <v>8547.8734501970084</v>
      </c>
      <c r="D39" s="647">
        <v>1004.9491471638297</v>
      </c>
      <c r="E39" s="645">
        <v>168.65935127734576</v>
      </c>
      <c r="F39" s="679">
        <v>4940.6199866816241</v>
      </c>
      <c r="G39" s="646">
        <v>14662.091935319808</v>
      </c>
      <c r="H39" s="646">
        <v>35217.459279859839</v>
      </c>
      <c r="I39" s="662">
        <v>23628.802379453671</v>
      </c>
      <c r="J39" s="1197">
        <v>2.8300278120000001E-2</v>
      </c>
      <c r="K39" s="668">
        <v>46379.85884371549</v>
      </c>
      <c r="L39" s="646">
        <v>12423.285703592539</v>
      </c>
      <c r="M39" s="630">
        <v>117649.46450689966</v>
      </c>
      <c r="N39" s="648">
        <v>132311.56644221945</v>
      </c>
      <c r="O39" s="746">
        <v>26505.367325115571</v>
      </c>
      <c r="P39" s="778"/>
      <c r="Q39" s="779"/>
      <c r="R39" s="779"/>
    </row>
    <row r="40" spans="1:18" s="321" customFormat="1" ht="15" customHeight="1">
      <c r="A40" s="747"/>
      <c r="B40" s="748" t="s">
        <v>417</v>
      </c>
      <c r="C40" s="780">
        <v>8439.8389348312649</v>
      </c>
      <c r="D40" s="647">
        <v>1535.8600098726736</v>
      </c>
      <c r="E40" s="645">
        <v>165.7205656830256</v>
      </c>
      <c r="F40" s="679">
        <v>4843.6696788317749</v>
      </c>
      <c r="G40" s="646">
        <v>14985.089189218739</v>
      </c>
      <c r="H40" s="646">
        <v>29622.572853360165</v>
      </c>
      <c r="I40" s="662">
        <v>26325.971875988012</v>
      </c>
      <c r="J40" s="1197">
        <v>3.0486077520000002E-2</v>
      </c>
      <c r="K40" s="668">
        <v>45436.882844925349</v>
      </c>
      <c r="L40" s="646">
        <v>12306.854923168305</v>
      </c>
      <c r="M40" s="630">
        <v>113692.35298351935</v>
      </c>
      <c r="N40" s="648">
        <v>128677.45217273811</v>
      </c>
      <c r="O40" s="746">
        <v>27256.627265686082</v>
      </c>
      <c r="P40" s="778"/>
      <c r="Q40" s="779"/>
      <c r="R40" s="779"/>
    </row>
    <row r="41" spans="1:18" s="321" customFormat="1" ht="15" customHeight="1">
      <c r="A41" s="747"/>
      <c r="B41" s="748" t="s">
        <v>418</v>
      </c>
      <c r="C41" s="780">
        <v>8388.1397066331538</v>
      </c>
      <c r="D41" s="647">
        <v>1399.5690536010179</v>
      </c>
      <c r="E41" s="645">
        <v>160.41583097848513</v>
      </c>
      <c r="F41" s="679">
        <v>4961.8566220970206</v>
      </c>
      <c r="G41" s="646">
        <v>14909.971213309678</v>
      </c>
      <c r="H41" s="646">
        <v>28613.3879441137</v>
      </c>
      <c r="I41" s="662">
        <v>26353.952180862067</v>
      </c>
      <c r="J41" s="1197">
        <v>3.2744736900000002E-2</v>
      </c>
      <c r="K41" s="668">
        <v>44619.821230744434</v>
      </c>
      <c r="L41" s="646">
        <v>12238.128619047429</v>
      </c>
      <c r="M41" s="630">
        <v>111825.32271950453</v>
      </c>
      <c r="N41" s="648">
        <v>126735.29393281421</v>
      </c>
      <c r="O41" s="746">
        <v>24533.4078860019</v>
      </c>
      <c r="P41" s="778"/>
      <c r="Q41" s="779"/>
      <c r="R41" s="779"/>
    </row>
    <row r="42" spans="1:18" s="321" customFormat="1" ht="15" customHeight="1">
      <c r="A42" s="747"/>
      <c r="B42" s="748" t="s">
        <v>419</v>
      </c>
      <c r="C42" s="780">
        <v>7703.4607493696039</v>
      </c>
      <c r="D42" s="647">
        <v>1592.8969165566077</v>
      </c>
      <c r="E42" s="645">
        <v>159.32713521220617</v>
      </c>
      <c r="F42" s="679">
        <v>5706.1742633271879</v>
      </c>
      <c r="G42" s="646">
        <v>15161.859064465605</v>
      </c>
      <c r="H42" s="646">
        <v>31373.306252844126</v>
      </c>
      <c r="I42" s="662">
        <v>21869.454718317538</v>
      </c>
      <c r="J42" s="1197">
        <v>3.4930536300000002E-2</v>
      </c>
      <c r="K42" s="668">
        <v>45401.624481384904</v>
      </c>
      <c r="L42" s="646">
        <v>12372.587993213232</v>
      </c>
      <c r="M42" s="630">
        <v>111017.00837629609</v>
      </c>
      <c r="N42" s="648">
        <v>126178.86744076171</v>
      </c>
      <c r="O42" s="746">
        <v>26256.537330365922</v>
      </c>
      <c r="P42" s="778"/>
      <c r="Q42" s="779"/>
      <c r="R42" s="779"/>
    </row>
    <row r="43" spans="1:18" s="321" customFormat="1" ht="15" customHeight="1">
      <c r="A43" s="747"/>
      <c r="B43" s="748" t="s">
        <v>420</v>
      </c>
      <c r="C43" s="780">
        <v>7909.3343628435232</v>
      </c>
      <c r="D43" s="647">
        <v>1514.1647651765795</v>
      </c>
      <c r="E43" s="645">
        <v>158.68609039320543</v>
      </c>
      <c r="F43" s="679">
        <v>6169.9031031264785</v>
      </c>
      <c r="G43" s="646">
        <v>15752.068321539786</v>
      </c>
      <c r="H43" s="646">
        <v>26483.831365154605</v>
      </c>
      <c r="I43" s="662">
        <v>22492.414843074832</v>
      </c>
      <c r="J43" s="1197">
        <v>3.7189195680000002E-2</v>
      </c>
      <c r="K43" s="668">
        <v>46329.85687125296</v>
      </c>
      <c r="L43" s="646">
        <v>12576.606700662836</v>
      </c>
      <c r="M43" s="630">
        <v>107882.7269693409</v>
      </c>
      <c r="N43" s="648">
        <v>123634.79529088069</v>
      </c>
      <c r="O43" s="746">
        <v>29230.33160393652</v>
      </c>
      <c r="P43" s="778"/>
      <c r="Q43" s="779"/>
      <c r="R43" s="779"/>
    </row>
    <row r="44" spans="1:18" s="381" customFormat="1" ht="20.25" customHeight="1">
      <c r="A44" s="380" t="s">
        <v>1024</v>
      </c>
      <c r="B44" s="380"/>
      <c r="C44" s="380"/>
      <c r="D44" s="380"/>
      <c r="E44" s="380"/>
      <c r="F44" s="220"/>
      <c r="G44" s="220"/>
      <c r="H44" s="220"/>
      <c r="I44" s="380"/>
      <c r="J44" s="380"/>
      <c r="K44" s="380"/>
      <c r="L44" s="380"/>
      <c r="M44" s="380"/>
      <c r="N44" s="380"/>
      <c r="O44" s="409" t="s">
        <v>1031</v>
      </c>
    </row>
    <row r="45" spans="1:18" ht="14.25" customHeight="1">
      <c r="A45" s="381" t="s">
        <v>1032</v>
      </c>
      <c r="B45" s="17"/>
      <c r="C45" s="1780"/>
      <c r="D45" s="1780"/>
      <c r="E45" s="9"/>
      <c r="K45" s="1781"/>
      <c r="L45" s="1780"/>
      <c r="M45" s="1780"/>
      <c r="N45" s="1780"/>
      <c r="O45" s="412" t="s">
        <v>1033</v>
      </c>
    </row>
    <row r="46" spans="1:18">
      <c r="B46" s="1425"/>
      <c r="C46" s="1782"/>
      <c r="D46" s="1782"/>
      <c r="E46" s="1782"/>
      <c r="F46" s="1782"/>
      <c r="G46" s="1782"/>
      <c r="H46" s="1782"/>
      <c r="I46" s="1782"/>
      <c r="J46" s="1782"/>
      <c r="K46" s="1782"/>
      <c r="L46" s="1782"/>
      <c r="M46" s="1782"/>
      <c r="N46" s="1782"/>
      <c r="O46" s="1782"/>
    </row>
    <row r="47" spans="1:18" ht="13.8">
      <c r="A47" s="319" t="s">
        <v>1034</v>
      </c>
      <c r="B47" s="1425"/>
      <c r="C47" s="1425"/>
      <c r="D47" s="1425"/>
      <c r="E47" s="1425"/>
      <c r="F47" s="1425"/>
      <c r="G47" s="1425"/>
      <c r="H47" s="1425"/>
      <c r="I47" s="1425"/>
      <c r="J47" s="1425"/>
      <c r="K47" s="1425"/>
      <c r="L47" s="1425"/>
      <c r="M47" s="1425"/>
      <c r="N47" s="1425"/>
      <c r="O47" s="1425"/>
    </row>
    <row r="48" spans="1:18">
      <c r="A48" s="17"/>
    </row>
    <row r="49" spans="1:1">
      <c r="A49" s="9"/>
    </row>
  </sheetData>
  <phoneticPr fontId="0" type="noConversion"/>
  <printOptions horizontalCentered="1" verticalCentered="1"/>
  <pageMargins left="0" right="0" top="0" bottom="0" header="0.511811023622047" footer="0.511811023622047"/>
  <pageSetup paperSize="9" scale="7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1"/>
  <dimension ref="A1:V50"/>
  <sheetViews>
    <sheetView zoomScale="75" zoomScaleNormal="75" workbookViewId="0">
      <pane ySplit="12" topLeftCell="A36" activePane="bottomLeft" state="frozen"/>
      <selection activeCell="B2" sqref="B2"/>
      <selection pane="bottomLeft" activeCell="J44" sqref="J44"/>
    </sheetView>
  </sheetViews>
  <sheetFormatPr defaultColWidth="9.21875" defaultRowHeight="13.2"/>
  <cols>
    <col min="1" max="2" width="9.77734375" style="1402" customWidth="1"/>
    <col min="3" max="3" width="12.77734375" style="1402" customWidth="1"/>
    <col min="4" max="4" width="11.77734375" style="1402" customWidth="1"/>
    <col min="5" max="5" width="12.77734375" style="1402" customWidth="1"/>
    <col min="6" max="6" width="11.77734375" style="1402" customWidth="1"/>
    <col min="7" max="7" width="12.21875" style="1402" customWidth="1"/>
    <col min="8" max="8" width="10.77734375" style="1402" customWidth="1"/>
    <col min="9" max="9" width="10.21875" style="1402" customWidth="1"/>
    <col min="10" max="10" width="13" style="1402" customWidth="1"/>
    <col min="11" max="11" width="12.77734375" style="1402" customWidth="1"/>
    <col min="12" max="12" width="13.44140625" style="1402" customWidth="1"/>
    <col min="13" max="13" width="12.77734375" style="1402" customWidth="1"/>
    <col min="14" max="15" width="11.77734375" style="1402" customWidth="1"/>
    <col min="16" max="16" width="10.77734375" style="1402" customWidth="1"/>
    <col min="17" max="17" width="10.21875" style="1402" customWidth="1"/>
    <col min="18" max="18" width="8.21875" style="1402" customWidth="1"/>
    <col min="19" max="16384" width="9.21875" style="1402"/>
  </cols>
  <sheetData>
    <row r="1" spans="1:22" s="381" customFormat="1" ht="17.399999999999999">
      <c r="A1" s="277" t="s">
        <v>1757</v>
      </c>
      <c r="B1" s="1710"/>
      <c r="C1" s="1710"/>
      <c r="D1" s="1710"/>
      <c r="E1" s="1710"/>
      <c r="F1" s="1710"/>
      <c r="G1" s="1710"/>
      <c r="H1" s="1710"/>
      <c r="I1" s="1710"/>
      <c r="J1" s="1710"/>
      <c r="K1" s="1710"/>
      <c r="L1" s="1710"/>
      <c r="M1" s="1710"/>
      <c r="N1" s="1710"/>
      <c r="O1" s="1710"/>
      <c r="P1" s="1710"/>
      <c r="Q1" s="1710"/>
    </row>
    <row r="2" spans="1:22" s="381" customFormat="1" ht="17.399999999999999">
      <c r="A2" s="277" t="s">
        <v>1035</v>
      </c>
      <c r="B2" s="1710"/>
      <c r="C2" s="1710"/>
      <c r="D2" s="1710"/>
      <c r="E2" s="1710"/>
      <c r="F2" s="1710"/>
      <c r="G2" s="1710"/>
      <c r="H2" s="1710"/>
      <c r="I2" s="1710"/>
      <c r="J2" s="1710"/>
      <c r="K2" s="1710"/>
      <c r="L2" s="1710"/>
      <c r="M2" s="1710"/>
      <c r="N2" s="1710"/>
      <c r="O2" s="1710"/>
      <c r="P2" s="1710"/>
      <c r="Q2" s="1710"/>
    </row>
    <row r="3" spans="1:22" s="381" customFormat="1" ht="17.399999999999999">
      <c r="A3" s="277" t="s">
        <v>1036</v>
      </c>
      <c r="B3" s="1710"/>
      <c r="C3" s="1710"/>
      <c r="D3" s="1710"/>
      <c r="E3" s="1710"/>
      <c r="F3" s="1710"/>
      <c r="G3" s="1710"/>
      <c r="H3" s="1710"/>
      <c r="I3" s="1710"/>
      <c r="J3" s="1710"/>
      <c r="K3" s="1710"/>
      <c r="L3" s="1710"/>
      <c r="M3" s="1710"/>
      <c r="N3" s="1710"/>
      <c r="O3" s="1710"/>
      <c r="P3" s="1710"/>
      <c r="Q3" s="1710"/>
    </row>
    <row r="4" spans="1:22" s="306" customFormat="1" ht="13.8">
      <c r="A4" s="306" t="s">
        <v>752</v>
      </c>
      <c r="B4" s="319"/>
      <c r="Q4" s="1407" t="s">
        <v>753</v>
      </c>
    </row>
    <row r="5" spans="1:22" s="306" customFormat="1" ht="13.8" hidden="1">
      <c r="B5" s="319"/>
      <c r="Q5" s="1407"/>
    </row>
    <row r="6" spans="1:22" s="306" customFormat="1" ht="13.8" hidden="1">
      <c r="B6" s="319"/>
      <c r="Q6" s="1407"/>
    </row>
    <row r="7" spans="1:22" s="306" customFormat="1" ht="13.8" hidden="1">
      <c r="B7" s="319"/>
      <c r="Q7" s="1407"/>
    </row>
    <row r="8" spans="1:22"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768</v>
      </c>
      <c r="D9" s="182" t="s">
        <v>915</v>
      </c>
      <c r="E9" s="177" t="s">
        <v>916</v>
      </c>
      <c r="F9" s="166"/>
      <c r="G9" s="177"/>
      <c r="H9" s="166"/>
      <c r="I9" s="177"/>
      <c r="J9" s="193"/>
      <c r="K9" s="182" t="s">
        <v>768</v>
      </c>
      <c r="L9" s="182" t="s">
        <v>915</v>
      </c>
      <c r="M9" s="177" t="s">
        <v>916</v>
      </c>
      <c r="N9" s="166"/>
      <c r="O9" s="177"/>
      <c r="P9" s="166"/>
      <c r="Q9" s="177"/>
    </row>
    <row r="10" spans="1:22" s="176" customFormat="1" ht="18" customHeight="1">
      <c r="A10" s="163" t="s">
        <v>379</v>
      </c>
      <c r="B10" s="165"/>
      <c r="C10" s="182" t="s">
        <v>917</v>
      </c>
      <c r="D10" s="182" t="s">
        <v>918</v>
      </c>
      <c r="E10" s="177" t="s">
        <v>500</v>
      </c>
      <c r="F10" s="162" t="s">
        <v>919</v>
      </c>
      <c r="G10" s="177" t="s">
        <v>920</v>
      </c>
      <c r="H10" s="177" t="s">
        <v>921</v>
      </c>
      <c r="I10" s="177" t="s">
        <v>391</v>
      </c>
      <c r="J10" s="193" t="s">
        <v>382</v>
      </c>
      <c r="K10" s="182" t="s">
        <v>917</v>
      </c>
      <c r="L10" s="182" t="s">
        <v>918</v>
      </c>
      <c r="M10" s="177" t="s">
        <v>500</v>
      </c>
      <c r="N10" s="162" t="s">
        <v>919</v>
      </c>
      <c r="O10" s="177" t="s">
        <v>920</v>
      </c>
      <c r="P10" s="177" t="s">
        <v>921</v>
      </c>
      <c r="Q10" s="177" t="s">
        <v>391</v>
      </c>
    </row>
    <row r="11" spans="1:22" s="164" customFormat="1" ht="18" customHeight="1">
      <c r="A11" s="178" t="s">
        <v>387</v>
      </c>
      <c r="B11" s="165"/>
      <c r="C11" s="254" t="s">
        <v>922</v>
      </c>
      <c r="D11" s="256" t="s">
        <v>923</v>
      </c>
      <c r="E11" s="257" t="s">
        <v>924</v>
      </c>
      <c r="F11" s="258" t="s">
        <v>925</v>
      </c>
      <c r="G11" s="258" t="s">
        <v>926</v>
      </c>
      <c r="H11" s="258" t="s">
        <v>927</v>
      </c>
      <c r="I11" s="258" t="s">
        <v>399</v>
      </c>
      <c r="J11" s="259" t="s">
        <v>392</v>
      </c>
      <c r="K11" s="254" t="s">
        <v>922</v>
      </c>
      <c r="L11" s="256" t="s">
        <v>923</v>
      </c>
      <c r="M11" s="260" t="s">
        <v>924</v>
      </c>
      <c r="N11" s="258" t="s">
        <v>925</v>
      </c>
      <c r="O11" s="258" t="s">
        <v>926</v>
      </c>
      <c r="P11" s="258" t="s">
        <v>927</v>
      </c>
      <c r="Q11" s="258" t="s">
        <v>399</v>
      </c>
    </row>
    <row r="12" spans="1:22" s="164" customFormat="1" ht="18" customHeight="1">
      <c r="A12" s="179"/>
      <c r="B12" s="170"/>
      <c r="C12" s="255" t="s">
        <v>928</v>
      </c>
      <c r="D12" s="255"/>
      <c r="E12" s="261" t="s">
        <v>929</v>
      </c>
      <c r="F12" s="262" t="s">
        <v>782</v>
      </c>
      <c r="G12" s="262"/>
      <c r="H12" s="262"/>
      <c r="I12" s="262"/>
      <c r="J12" s="263"/>
      <c r="K12" s="255" t="s">
        <v>928</v>
      </c>
      <c r="L12" s="255"/>
      <c r="M12" s="262" t="s">
        <v>929</v>
      </c>
      <c r="N12" s="262" t="s">
        <v>782</v>
      </c>
      <c r="O12" s="262"/>
      <c r="P12" s="262"/>
      <c r="Q12" s="262"/>
    </row>
    <row r="13" spans="1:22" s="180" customFormat="1" ht="26.25" customHeight="1">
      <c r="A13" s="849">
        <v>2016</v>
      </c>
      <c r="B13" s="850"/>
      <c r="C13" s="385">
        <v>9620.0926435942747</v>
      </c>
      <c r="D13" s="385">
        <v>35628.362652639815</v>
      </c>
      <c r="E13" s="386">
        <v>3800.7115319418758</v>
      </c>
      <c r="F13" s="386">
        <v>10678.919490214055</v>
      </c>
      <c r="G13" s="386">
        <v>32488.160560878317</v>
      </c>
      <c r="H13" s="386">
        <v>9304.8609894770616</v>
      </c>
      <c r="I13" s="386">
        <v>1514.720391042651</v>
      </c>
      <c r="J13" s="634">
        <v>103035.87825978805</v>
      </c>
      <c r="K13" s="386">
        <v>10250.17044221769</v>
      </c>
      <c r="L13" s="386">
        <v>35519.263043730811</v>
      </c>
      <c r="M13" s="386">
        <v>14444.59264873529</v>
      </c>
      <c r="N13" s="386">
        <v>4743.1327945661342</v>
      </c>
      <c r="O13" s="386">
        <v>28560.65591595303</v>
      </c>
      <c r="P13" s="386">
        <v>7839.9956002011704</v>
      </c>
      <c r="Q13" s="386">
        <v>1677.9694593298279</v>
      </c>
      <c r="R13" s="352"/>
      <c r="S13" s="352"/>
      <c r="T13" s="996"/>
      <c r="U13" s="996"/>
    </row>
    <row r="14" spans="1:22" s="996" customFormat="1" ht="18" customHeight="1">
      <c r="A14" s="849">
        <v>2017</v>
      </c>
      <c r="B14" s="850"/>
      <c r="C14" s="385">
        <v>9844.24222375524</v>
      </c>
      <c r="D14" s="385">
        <v>33126.256780167256</v>
      </c>
      <c r="E14" s="386">
        <v>4168.2348022354199</v>
      </c>
      <c r="F14" s="386">
        <v>10569.579162837721</v>
      </c>
      <c r="G14" s="386">
        <v>35092.905676263479</v>
      </c>
      <c r="H14" s="386">
        <v>9587.1617198524</v>
      </c>
      <c r="I14" s="386">
        <v>1574.087909003021</v>
      </c>
      <c r="J14" s="634">
        <v>103962.51127411453</v>
      </c>
      <c r="K14" s="385">
        <v>10409.521183392748</v>
      </c>
      <c r="L14" s="385">
        <v>35759.500057336394</v>
      </c>
      <c r="M14" s="386">
        <v>13628.657402771465</v>
      </c>
      <c r="N14" s="386">
        <v>5112.7767069530146</v>
      </c>
      <c r="O14" s="386">
        <v>29598.016284512483</v>
      </c>
      <c r="P14" s="386">
        <v>7491.356933333579</v>
      </c>
      <c r="Q14" s="386">
        <v>1962.5603251505449</v>
      </c>
      <c r="R14" s="352"/>
      <c r="S14" s="352"/>
      <c r="V14" s="180"/>
    </row>
    <row r="15" spans="1:22" s="996" customFormat="1" ht="18.75" customHeight="1">
      <c r="A15" s="849">
        <v>2018</v>
      </c>
      <c r="B15" s="850"/>
      <c r="C15" s="385">
        <v>12077.914251640086</v>
      </c>
      <c r="D15" s="385">
        <v>31562.776179447024</v>
      </c>
      <c r="E15" s="386">
        <v>4773.7616580048834</v>
      </c>
      <c r="F15" s="386">
        <v>10533.217437483518</v>
      </c>
      <c r="G15" s="386">
        <v>36673.279975916616</v>
      </c>
      <c r="H15" s="386">
        <v>8910.7207628212709</v>
      </c>
      <c r="I15" s="386">
        <v>1498.0145586533108</v>
      </c>
      <c r="J15" s="634">
        <v>106029.65770123522</v>
      </c>
      <c r="K15" s="385">
        <v>10471.096219403946</v>
      </c>
      <c r="L15" s="385">
        <v>37836.374171146585</v>
      </c>
      <c r="M15" s="386">
        <v>14681.524209703142</v>
      </c>
      <c r="N15" s="386">
        <v>3868.0836081053767</v>
      </c>
      <c r="O15" s="386">
        <v>30792.373769888953</v>
      </c>
      <c r="P15" s="386">
        <v>6888.8544178847615</v>
      </c>
      <c r="Q15" s="386">
        <v>1491.3177001323547</v>
      </c>
      <c r="R15" s="352"/>
      <c r="S15" s="352"/>
      <c r="V15" s="180"/>
    </row>
    <row r="16" spans="1:22" s="996" customFormat="1" ht="18.75" customHeight="1">
      <c r="A16" s="849">
        <v>2019</v>
      </c>
      <c r="B16" s="850"/>
      <c r="C16" s="385">
        <v>15466.11398654036</v>
      </c>
      <c r="D16" s="385">
        <v>34604.630668385471</v>
      </c>
      <c r="E16" s="386">
        <v>5815.1032999513063</v>
      </c>
      <c r="F16" s="386">
        <v>11262.057416418067</v>
      </c>
      <c r="G16" s="386">
        <v>33090.057462544639</v>
      </c>
      <c r="H16" s="386">
        <v>9169.9627471668682</v>
      </c>
      <c r="I16" s="386">
        <v>1430.2022193663402</v>
      </c>
      <c r="J16" s="634">
        <v>110838.18752805212</v>
      </c>
      <c r="K16" s="385">
        <v>11864.184531017187</v>
      </c>
      <c r="L16" s="385">
        <v>39835.566284914938</v>
      </c>
      <c r="M16" s="386">
        <v>16254.078350112821</v>
      </c>
      <c r="N16" s="386">
        <v>3950.1455906395749</v>
      </c>
      <c r="O16" s="386">
        <v>28963.415519977938</v>
      </c>
      <c r="P16" s="386">
        <v>8583.7159069612644</v>
      </c>
      <c r="Q16" s="386">
        <v>1387.1047027411375</v>
      </c>
      <c r="R16" s="352"/>
      <c r="S16" s="352"/>
      <c r="V16" s="180"/>
    </row>
    <row r="17" spans="1:22" s="996" customFormat="1" ht="18.75" customHeight="1">
      <c r="A17" s="849">
        <v>2020</v>
      </c>
      <c r="B17" s="850"/>
      <c r="C17" s="385">
        <v>15821.056189443967</v>
      </c>
      <c r="D17" s="385">
        <v>35403.49673238019</v>
      </c>
      <c r="E17" s="386">
        <v>6665.1332840062032</v>
      </c>
      <c r="F17" s="386">
        <v>10614.704865499925</v>
      </c>
      <c r="G17" s="386">
        <v>35377.000773867308</v>
      </c>
      <c r="H17" s="386">
        <v>8309.1085102788657</v>
      </c>
      <c r="I17" s="386">
        <v>888.32756427042807</v>
      </c>
      <c r="J17" s="634">
        <v>113078.81791974689</v>
      </c>
      <c r="K17" s="385">
        <v>12721.160295358735</v>
      </c>
      <c r="L17" s="385">
        <v>38636.61603863418</v>
      </c>
      <c r="M17" s="386">
        <v>15979.57119451642</v>
      </c>
      <c r="N17" s="386">
        <v>3449.8327935026441</v>
      </c>
      <c r="O17" s="386">
        <v>29690.479487100576</v>
      </c>
      <c r="P17" s="386">
        <v>11204.755276296166</v>
      </c>
      <c r="Q17" s="386">
        <v>1396.3378250969299</v>
      </c>
      <c r="R17" s="352"/>
      <c r="S17" s="352"/>
      <c r="V17" s="180"/>
    </row>
    <row r="18" spans="1:22" s="996" customFormat="1" ht="18.75" customHeight="1">
      <c r="A18" s="849">
        <v>2021</v>
      </c>
      <c r="B18" s="850"/>
      <c r="C18" s="385">
        <v>17232.250294437839</v>
      </c>
      <c r="D18" s="385">
        <v>37816.937517521808</v>
      </c>
      <c r="E18" s="386">
        <v>6597.2441783317772</v>
      </c>
      <c r="F18" s="386">
        <v>13146.72354362742</v>
      </c>
      <c r="G18" s="386">
        <v>33701.445760711256</v>
      </c>
      <c r="H18" s="386">
        <v>8571.3019052397322</v>
      </c>
      <c r="I18" s="386">
        <v>1036.9022766760979</v>
      </c>
      <c r="J18" s="634">
        <v>118102.72547654592</v>
      </c>
      <c r="K18" s="385">
        <v>13487.836237614387</v>
      </c>
      <c r="L18" s="385">
        <v>42140.460067706321</v>
      </c>
      <c r="M18" s="386">
        <v>16020.487424521098</v>
      </c>
      <c r="N18" s="386">
        <v>3488.9284750895104</v>
      </c>
      <c r="O18" s="386">
        <v>28158.109593526573</v>
      </c>
      <c r="P18" s="386">
        <v>13617.13459206289</v>
      </c>
      <c r="Q18" s="386">
        <v>1189.7600800865393</v>
      </c>
      <c r="R18" s="352"/>
      <c r="S18" s="352"/>
      <c r="V18" s="180"/>
    </row>
    <row r="19" spans="1:22" s="996" customFormat="1" ht="18.75" customHeight="1">
      <c r="A19" s="849">
        <v>2022</v>
      </c>
      <c r="B19" s="850"/>
      <c r="C19" s="385">
        <v>17918.865992248684</v>
      </c>
      <c r="D19" s="386">
        <v>33356.105829162763</v>
      </c>
      <c r="E19" s="386">
        <v>8131.2431153442039</v>
      </c>
      <c r="F19" s="386">
        <v>14985.727752316634</v>
      </c>
      <c r="G19" s="386">
        <v>38214.106658238976</v>
      </c>
      <c r="H19" s="386">
        <v>8426.0853144536104</v>
      </c>
      <c r="I19" s="386">
        <v>1340.6563423761206</v>
      </c>
      <c r="J19" s="634">
        <v>122372.75100414098</v>
      </c>
      <c r="K19" s="385">
        <v>15729.629426910031</v>
      </c>
      <c r="L19" s="385">
        <v>47343.271135242088</v>
      </c>
      <c r="M19" s="386">
        <v>14963.600810858712</v>
      </c>
      <c r="N19" s="386">
        <v>4658.5725418305619</v>
      </c>
      <c r="O19" s="386">
        <v>28646.121283434823</v>
      </c>
      <c r="P19" s="386">
        <v>9248.2592560979247</v>
      </c>
      <c r="Q19" s="386">
        <v>1783.254370203701</v>
      </c>
      <c r="R19" s="352"/>
      <c r="S19" s="352"/>
      <c r="V19" s="180"/>
    </row>
    <row r="20" spans="1:22" s="996" customFormat="1" ht="18.75" customHeight="1">
      <c r="A20" s="849">
        <v>2023</v>
      </c>
      <c r="B20" s="850"/>
      <c r="C20" s="385">
        <v>20602.069929909991</v>
      </c>
      <c r="D20" s="385">
        <v>32440.658075935993</v>
      </c>
      <c r="E20" s="386">
        <v>7581.6086716217669</v>
      </c>
      <c r="F20" s="386">
        <v>19864.403147399196</v>
      </c>
      <c r="G20" s="386">
        <v>40819.090283766287</v>
      </c>
      <c r="H20" s="386">
        <v>8437.0987123190589</v>
      </c>
      <c r="I20" s="386">
        <v>1706.8409748305712</v>
      </c>
      <c r="J20" s="634">
        <v>131451.76979578286</v>
      </c>
      <c r="K20" s="385">
        <v>13851.958579643491</v>
      </c>
      <c r="L20" s="385">
        <v>54235.289352198204</v>
      </c>
      <c r="M20" s="386">
        <v>15277.660284697569</v>
      </c>
      <c r="N20" s="386">
        <v>3098.8971894289048</v>
      </c>
      <c r="O20" s="386">
        <v>33728.836004678269</v>
      </c>
      <c r="P20" s="386">
        <v>8914.7858874932699</v>
      </c>
      <c r="Q20" s="386">
        <v>2344.3424976431561</v>
      </c>
      <c r="R20" s="352"/>
      <c r="S20" s="352"/>
      <c r="V20" s="180"/>
    </row>
    <row r="21" spans="1:22" s="996" customFormat="1" ht="18.75" customHeight="1">
      <c r="A21" s="849">
        <v>2024</v>
      </c>
      <c r="B21" s="850"/>
      <c r="C21" s="385">
        <v>18454.797295045304</v>
      </c>
      <c r="D21" s="385">
        <v>33833.516129427946</v>
      </c>
      <c r="E21" s="386">
        <v>7434.4302888134898</v>
      </c>
      <c r="F21" s="386">
        <v>25824.764246881081</v>
      </c>
      <c r="G21" s="386">
        <v>39759.67449198087</v>
      </c>
      <c r="H21" s="386">
        <v>9444.0319557111234</v>
      </c>
      <c r="I21" s="386">
        <v>2146.9239109154732</v>
      </c>
      <c r="J21" s="634">
        <v>136898.13831877531</v>
      </c>
      <c r="K21" s="385">
        <v>12832.276220607526</v>
      </c>
      <c r="L21" s="385">
        <v>54630.770053255779</v>
      </c>
      <c r="M21" s="386">
        <v>15464.724053867181</v>
      </c>
      <c r="N21" s="386">
        <v>2750.5711804065463</v>
      </c>
      <c r="O21" s="386">
        <v>40087.708392642358</v>
      </c>
      <c r="P21" s="386">
        <v>10199.528509374772</v>
      </c>
      <c r="Q21" s="386">
        <v>932.5399086211587</v>
      </c>
      <c r="R21" s="352"/>
      <c r="S21" s="352"/>
      <c r="V21" s="180"/>
    </row>
    <row r="22" spans="1:22" s="996" customFormat="1" ht="18.75" customHeight="1">
      <c r="A22" s="991">
        <v>2025</v>
      </c>
      <c r="B22" s="992"/>
      <c r="C22" s="993">
        <f t="shared" ref="C22:Q22" si="0">C28</f>
        <v>20964.240476939278</v>
      </c>
      <c r="D22" s="993">
        <f t="shared" si="0"/>
        <v>35922.565407561458</v>
      </c>
      <c r="E22" s="994">
        <f t="shared" si="0"/>
        <v>7066.8387394313377</v>
      </c>
      <c r="F22" s="994">
        <f t="shared" si="0"/>
        <v>23154.421330201782</v>
      </c>
      <c r="G22" s="994">
        <f t="shared" si="0"/>
        <v>35503.356000880718</v>
      </c>
      <c r="H22" s="994">
        <f t="shared" si="0"/>
        <v>9974.3055717502557</v>
      </c>
      <c r="I22" s="994">
        <f t="shared" si="0"/>
        <v>2185.1580406963199</v>
      </c>
      <c r="J22" s="995">
        <f t="shared" si="0"/>
        <v>134770.85556746114</v>
      </c>
      <c r="K22" s="993">
        <f t="shared" si="0"/>
        <v>13622.040616389029</v>
      </c>
      <c r="L22" s="993">
        <f t="shared" si="0"/>
        <v>56672.102235477381</v>
      </c>
      <c r="M22" s="994">
        <f t="shared" si="0"/>
        <v>15091.472485567936</v>
      </c>
      <c r="N22" s="994">
        <f t="shared" si="0"/>
        <v>2048.5689656357167</v>
      </c>
      <c r="O22" s="994">
        <f t="shared" si="0"/>
        <v>36033.331119809933</v>
      </c>
      <c r="P22" s="994">
        <f t="shared" si="0"/>
        <v>10537.910583640933</v>
      </c>
      <c r="Q22" s="994">
        <f t="shared" si="0"/>
        <v>765.4595609402179</v>
      </c>
      <c r="R22" s="352"/>
      <c r="S22" s="352"/>
      <c r="V22" s="180"/>
    </row>
    <row r="23" spans="1:22" s="996" customFormat="1" ht="21" customHeight="1">
      <c r="A23" s="849">
        <v>2024</v>
      </c>
      <c r="B23" s="850" t="s">
        <v>237</v>
      </c>
      <c r="C23" s="385">
        <v>20989.508404360276</v>
      </c>
      <c r="D23" s="385">
        <v>34888.721952740678</v>
      </c>
      <c r="E23" s="386">
        <v>7174.7439461866716</v>
      </c>
      <c r="F23" s="386">
        <v>21953.429404928087</v>
      </c>
      <c r="G23" s="386">
        <v>42627.417675537086</v>
      </c>
      <c r="H23" s="386">
        <v>9280.5381744141614</v>
      </c>
      <c r="I23" s="386">
        <v>2356.4945269202753</v>
      </c>
      <c r="J23" s="634">
        <v>139270.65408508724</v>
      </c>
      <c r="K23" s="385">
        <v>13561.328294938699</v>
      </c>
      <c r="L23" s="385">
        <v>55460.18217343124</v>
      </c>
      <c r="M23" s="386">
        <v>15790.058139156188</v>
      </c>
      <c r="N23" s="386">
        <v>3399.8785775303604</v>
      </c>
      <c r="O23" s="386">
        <v>39759.304505752254</v>
      </c>
      <c r="P23" s="386">
        <v>8695.3940038431065</v>
      </c>
      <c r="Q23" s="386">
        <v>2604.508390435396</v>
      </c>
      <c r="R23" s="352"/>
      <c r="S23" s="352"/>
      <c r="V23" s="180"/>
    </row>
    <row r="24" spans="1:22" s="996" customFormat="1" ht="15" customHeight="1">
      <c r="A24" s="849"/>
      <c r="B24" s="850" t="s">
        <v>238</v>
      </c>
      <c r="C24" s="385">
        <v>18454.797295045304</v>
      </c>
      <c r="D24" s="385">
        <v>33833.516129427946</v>
      </c>
      <c r="E24" s="386">
        <v>7434.4302888134898</v>
      </c>
      <c r="F24" s="386">
        <v>25824.764246881081</v>
      </c>
      <c r="G24" s="386">
        <v>39759.67449198087</v>
      </c>
      <c r="H24" s="386">
        <v>9444.0319557111234</v>
      </c>
      <c r="I24" s="386">
        <v>2146.9239109154732</v>
      </c>
      <c r="J24" s="634">
        <v>136898.13831877531</v>
      </c>
      <c r="K24" s="385">
        <v>12832.276220607526</v>
      </c>
      <c r="L24" s="385">
        <v>54630.770053255779</v>
      </c>
      <c r="M24" s="386">
        <v>15464.724053867181</v>
      </c>
      <c r="N24" s="386">
        <v>2750.5711804065463</v>
      </c>
      <c r="O24" s="386">
        <v>40087.708392642358</v>
      </c>
      <c r="P24" s="386">
        <v>10199.528509374772</v>
      </c>
      <c r="Q24" s="386">
        <v>932.5399086211587</v>
      </c>
      <c r="R24" s="352"/>
      <c r="S24" s="352"/>
      <c r="V24" s="180"/>
    </row>
    <row r="25" spans="1:22" s="996" customFormat="1" ht="21" customHeight="1">
      <c r="A25" s="849">
        <v>2025</v>
      </c>
      <c r="B25" s="850" t="s">
        <v>239</v>
      </c>
      <c r="C25" s="385">
        <v>20340.358265562638</v>
      </c>
      <c r="D25" s="385">
        <v>33426.893604242454</v>
      </c>
      <c r="E25" s="386">
        <v>8090.433822881273</v>
      </c>
      <c r="F25" s="386">
        <v>20902.905598724563</v>
      </c>
      <c r="G25" s="386">
        <v>41921.233821032198</v>
      </c>
      <c r="H25" s="386">
        <v>10378.173852571585</v>
      </c>
      <c r="I25" s="386">
        <v>2177.6321630456951</v>
      </c>
      <c r="J25" s="634">
        <v>137237.6311280604</v>
      </c>
      <c r="K25" s="385">
        <v>13156.989886225429</v>
      </c>
      <c r="L25" s="385">
        <v>57335.582149150316</v>
      </c>
      <c r="M25" s="386">
        <v>15043.042717330134</v>
      </c>
      <c r="N25" s="386">
        <v>2063.7607703951899</v>
      </c>
      <c r="O25" s="386">
        <v>38894.142988460932</v>
      </c>
      <c r="P25" s="386">
        <v>9717.5793265612519</v>
      </c>
      <c r="Q25" s="386">
        <v>1026.533289937157</v>
      </c>
      <c r="R25" s="352"/>
      <c r="S25" s="352"/>
      <c r="V25" s="180"/>
    </row>
    <row r="26" spans="1:22" s="996" customFormat="1" ht="15" customHeight="1">
      <c r="A26" s="849"/>
      <c r="B26" s="850" t="s">
        <v>240</v>
      </c>
      <c r="C26" s="385">
        <v>21183.811427956211</v>
      </c>
      <c r="D26" s="385">
        <v>35743.688440164115</v>
      </c>
      <c r="E26" s="386">
        <v>9092.7783676056206</v>
      </c>
      <c r="F26" s="386">
        <v>20914.929029272393</v>
      </c>
      <c r="G26" s="386">
        <v>37203.456876602781</v>
      </c>
      <c r="H26" s="386">
        <v>10085.231784258374</v>
      </c>
      <c r="I26" s="386">
        <v>2291.7322685337858</v>
      </c>
      <c r="J26" s="634">
        <v>136515.62819439327</v>
      </c>
      <c r="K26" s="385">
        <v>14065.850701226926</v>
      </c>
      <c r="L26" s="385">
        <v>53825.27010900616</v>
      </c>
      <c r="M26" s="386">
        <v>15970.925198211422</v>
      </c>
      <c r="N26" s="386">
        <v>1916.0415814887417</v>
      </c>
      <c r="O26" s="386">
        <v>38463.040222638556</v>
      </c>
      <c r="P26" s="386">
        <v>11436.401223550592</v>
      </c>
      <c r="Q26" s="386">
        <v>838.09915827089571</v>
      </c>
      <c r="R26" s="352"/>
      <c r="S26" s="352"/>
      <c r="V26" s="180"/>
    </row>
    <row r="27" spans="1:22" s="996" customFormat="1" ht="15" customHeight="1">
      <c r="A27" s="849"/>
      <c r="B27" s="850" t="s">
        <v>237</v>
      </c>
      <c r="C27" s="385">
        <v>21654.536542238598</v>
      </c>
      <c r="D27" s="385">
        <v>37449.287809474066</v>
      </c>
      <c r="E27" s="386">
        <v>8579.1552508808763</v>
      </c>
      <c r="F27" s="386">
        <v>21826.040267198463</v>
      </c>
      <c r="G27" s="386">
        <v>36986.200070174091</v>
      </c>
      <c r="H27" s="386">
        <v>10466.788502406194</v>
      </c>
      <c r="I27" s="386">
        <v>2274.2257408226433</v>
      </c>
      <c r="J27" s="634">
        <v>139236.23418319493</v>
      </c>
      <c r="K27" s="385">
        <v>13644.340882554505</v>
      </c>
      <c r="L27" s="385">
        <v>59476.994594020478</v>
      </c>
      <c r="M27" s="386">
        <v>15918.468751895212</v>
      </c>
      <c r="N27" s="386">
        <v>2254.5367810472758</v>
      </c>
      <c r="O27" s="386">
        <v>35434.076730872992</v>
      </c>
      <c r="P27" s="386">
        <v>11249.190086770779</v>
      </c>
      <c r="Q27" s="386">
        <v>1258.6263560336956</v>
      </c>
      <c r="R27" s="352"/>
      <c r="S27" s="352"/>
      <c r="V27" s="180"/>
    </row>
    <row r="28" spans="1:22" s="996" customFormat="1" ht="15" customHeight="1">
      <c r="A28" s="849"/>
      <c r="B28" s="850" t="s">
        <v>238</v>
      </c>
      <c r="C28" s="385">
        <f t="shared" ref="C28:Q28" si="1">C36</f>
        <v>20964.240476939278</v>
      </c>
      <c r="D28" s="385">
        <f t="shared" si="1"/>
        <v>35922.565407561458</v>
      </c>
      <c r="E28" s="386">
        <f t="shared" si="1"/>
        <v>7066.8387394313377</v>
      </c>
      <c r="F28" s="386">
        <f t="shared" si="1"/>
        <v>23154.421330201782</v>
      </c>
      <c r="G28" s="386">
        <f t="shared" si="1"/>
        <v>35503.356000880718</v>
      </c>
      <c r="H28" s="386">
        <f t="shared" si="1"/>
        <v>9974.3055717502557</v>
      </c>
      <c r="I28" s="386">
        <f t="shared" si="1"/>
        <v>2185.1580406963199</v>
      </c>
      <c r="J28" s="634">
        <f t="shared" si="1"/>
        <v>134770.85556746114</v>
      </c>
      <c r="K28" s="385">
        <f t="shared" si="1"/>
        <v>13622.040616389029</v>
      </c>
      <c r="L28" s="385">
        <f t="shared" si="1"/>
        <v>56672.102235477381</v>
      </c>
      <c r="M28" s="386">
        <f t="shared" si="1"/>
        <v>15091.472485567936</v>
      </c>
      <c r="N28" s="386">
        <f t="shared" si="1"/>
        <v>2048.5689656357167</v>
      </c>
      <c r="O28" s="386">
        <f t="shared" si="1"/>
        <v>36033.331119809933</v>
      </c>
      <c r="P28" s="386">
        <f t="shared" si="1"/>
        <v>10537.910583640933</v>
      </c>
      <c r="Q28" s="386">
        <f t="shared" si="1"/>
        <v>765.4595609402179</v>
      </c>
      <c r="R28" s="352"/>
      <c r="S28" s="352"/>
      <c r="V28" s="180"/>
    </row>
    <row r="29" spans="1:22" s="996" customFormat="1" ht="21" customHeight="1">
      <c r="A29" s="849">
        <v>2026</v>
      </c>
      <c r="B29" s="850" t="s">
        <v>239</v>
      </c>
      <c r="C29" s="385">
        <f t="shared" ref="C29:Q29" si="2">C39</f>
        <v>22353.435482766672</v>
      </c>
      <c r="D29" s="385">
        <f t="shared" si="2"/>
        <v>37141.270011767934</v>
      </c>
      <c r="E29" s="386">
        <f t="shared" si="2"/>
        <v>8070.9899704320796</v>
      </c>
      <c r="F29" s="386">
        <f t="shared" si="2"/>
        <v>19027.963159579373</v>
      </c>
      <c r="G29" s="386">
        <f t="shared" si="2"/>
        <v>33829.141363297036</v>
      </c>
      <c r="H29" s="386">
        <f t="shared" si="2"/>
        <v>9673.5335722017517</v>
      </c>
      <c r="I29" s="386">
        <f t="shared" si="2"/>
        <v>2215.293311372574</v>
      </c>
      <c r="J29" s="634">
        <f t="shared" si="2"/>
        <v>132311.62687141742</v>
      </c>
      <c r="K29" s="385">
        <f t="shared" si="2"/>
        <v>14662.069644996362</v>
      </c>
      <c r="L29" s="385">
        <f t="shared" si="2"/>
        <v>54301.943876091696</v>
      </c>
      <c r="M29" s="386">
        <f t="shared" si="2"/>
        <v>12241.221915876758</v>
      </c>
      <c r="N29" s="386">
        <f t="shared" si="2"/>
        <v>2165.0295615819191</v>
      </c>
      <c r="O29" s="386">
        <f t="shared" si="2"/>
        <v>37428.985190140062</v>
      </c>
      <c r="P29" s="386">
        <f t="shared" si="2"/>
        <v>10535.662709770151</v>
      </c>
      <c r="Q29" s="386">
        <f t="shared" si="2"/>
        <v>976.71397296048235</v>
      </c>
      <c r="R29" s="352"/>
      <c r="S29" s="352"/>
      <c r="V29" s="180"/>
    </row>
    <row r="30" spans="1:22" s="996" customFormat="1" ht="15" customHeight="1">
      <c r="A30" s="991"/>
      <c r="B30" s="992" t="s">
        <v>240</v>
      </c>
      <c r="C30" s="993">
        <f t="shared" ref="C30:Q30" si="3">C42</f>
        <v>22848.728530423759</v>
      </c>
      <c r="D30" s="993">
        <f t="shared" si="3"/>
        <v>36551.239221929238</v>
      </c>
      <c r="E30" s="994">
        <f t="shared" si="3"/>
        <v>8490.5979761519338</v>
      </c>
      <c r="F30" s="994">
        <f t="shared" si="3"/>
        <v>18483.415780239506</v>
      </c>
      <c r="G30" s="994">
        <f t="shared" si="3"/>
        <v>28735.917960338542</v>
      </c>
      <c r="H30" s="994">
        <f t="shared" si="3"/>
        <v>8951.8196840872843</v>
      </c>
      <c r="I30" s="994">
        <f t="shared" si="3"/>
        <v>2117.2614852593515</v>
      </c>
      <c r="J30" s="995">
        <f t="shared" si="3"/>
        <v>126178.93063842962</v>
      </c>
      <c r="K30" s="993">
        <f t="shared" si="3"/>
        <v>15161.859136445908</v>
      </c>
      <c r="L30" s="993">
        <f t="shared" si="3"/>
        <v>46895.341607680763</v>
      </c>
      <c r="M30" s="994">
        <f t="shared" si="3"/>
        <v>13220.431762904684</v>
      </c>
      <c r="N30" s="994">
        <f t="shared" si="3"/>
        <v>1946.9961587398925</v>
      </c>
      <c r="O30" s="994">
        <f t="shared" si="3"/>
        <v>38804.336070035046</v>
      </c>
      <c r="P30" s="994">
        <f t="shared" si="3"/>
        <v>9698.2586543795223</v>
      </c>
      <c r="Q30" s="994">
        <f t="shared" si="3"/>
        <v>451.70724824382341</v>
      </c>
      <c r="R30" s="352"/>
      <c r="S30" s="352"/>
      <c r="V30" s="180"/>
    </row>
    <row r="31" spans="1:22" s="180" customFormat="1" ht="21" customHeight="1">
      <c r="A31" s="849">
        <v>2025</v>
      </c>
      <c r="B31" s="850" t="s">
        <v>420</v>
      </c>
      <c r="C31" s="385">
        <v>22201.656004203825</v>
      </c>
      <c r="D31" s="385">
        <v>35954.794007100492</v>
      </c>
      <c r="E31" s="385">
        <v>8843.1793708695513</v>
      </c>
      <c r="F31" s="385">
        <v>13953.745330883068</v>
      </c>
      <c r="G31" s="385">
        <v>36760.023597943698</v>
      </c>
      <c r="H31" s="385">
        <v>9799.7849014707299</v>
      </c>
      <c r="I31" s="386">
        <f t="shared" ref="I31" si="4">$J31-SUM(C31:H31)</f>
        <v>2257.307050368152</v>
      </c>
      <c r="J31" s="634">
        <v>129770.49026283952</v>
      </c>
      <c r="K31" s="385">
        <v>14561.857571208064</v>
      </c>
      <c r="L31" s="385">
        <v>54084.431740089196</v>
      </c>
      <c r="M31" s="385">
        <v>15865.096356982598</v>
      </c>
      <c r="N31" s="385">
        <v>2052.4659300402304</v>
      </c>
      <c r="O31" s="385">
        <v>30268.989993330008</v>
      </c>
      <c r="P31" s="385">
        <v>11935.84185440118</v>
      </c>
      <c r="Q31" s="386">
        <f t="shared" ref="Q31:Q35" si="5">$J31-SUM(K31:P31)</f>
        <v>1001.8068167882448</v>
      </c>
      <c r="R31" s="352"/>
      <c r="S31" s="352"/>
    </row>
    <row r="32" spans="1:22" s="180" customFormat="1" ht="15.75" customHeight="1">
      <c r="A32" s="849"/>
      <c r="B32" s="850" t="s">
        <v>421</v>
      </c>
      <c r="C32" s="385">
        <v>22104.02827326292</v>
      </c>
      <c r="D32" s="385">
        <v>35132.676558150335</v>
      </c>
      <c r="E32" s="385">
        <v>8618.3487149135235</v>
      </c>
      <c r="F32" s="385">
        <v>14454.394649211976</v>
      </c>
      <c r="G32" s="385">
        <v>36471.840501116902</v>
      </c>
      <c r="H32" s="385">
        <v>10056.959193985538</v>
      </c>
      <c r="I32" s="386">
        <f t="shared" ref="I32" si="6">$J32-SUM(C32:H32)</f>
        <v>2261.0810283736791</v>
      </c>
      <c r="J32" s="634">
        <v>129099.32891901486</v>
      </c>
      <c r="K32" s="385">
        <v>14448.729553485573</v>
      </c>
      <c r="L32" s="385">
        <v>54925.556063274082</v>
      </c>
      <c r="M32" s="385">
        <v>15688.821967701451</v>
      </c>
      <c r="N32" s="385">
        <v>2176.9879808338787</v>
      </c>
      <c r="O32" s="385">
        <v>30203.941119708583</v>
      </c>
      <c r="P32" s="385">
        <v>10542.997125713378</v>
      </c>
      <c r="Q32" s="386">
        <f t="shared" si="5"/>
        <v>1112.2951082979271</v>
      </c>
      <c r="R32" s="352"/>
      <c r="S32" s="352"/>
    </row>
    <row r="33" spans="1:19" s="180" customFormat="1" ht="15.75" customHeight="1">
      <c r="A33" s="849"/>
      <c r="B33" s="850" t="s">
        <v>422</v>
      </c>
      <c r="C33" s="385">
        <v>21654.536542238598</v>
      </c>
      <c r="D33" s="385">
        <v>37449.287809474066</v>
      </c>
      <c r="E33" s="385">
        <v>8579.1552508808763</v>
      </c>
      <c r="F33" s="385">
        <v>21826.040267198463</v>
      </c>
      <c r="G33" s="385">
        <v>36986.200070174091</v>
      </c>
      <c r="H33" s="385">
        <v>10466.788502406194</v>
      </c>
      <c r="I33" s="386">
        <f t="shared" ref="I33" si="7">$J33-SUM(C33:H33)</f>
        <v>2274.2257408226433</v>
      </c>
      <c r="J33" s="634">
        <v>139236.23418319493</v>
      </c>
      <c r="K33" s="385">
        <v>13644.340882554505</v>
      </c>
      <c r="L33" s="385">
        <v>59476.994594020478</v>
      </c>
      <c r="M33" s="385">
        <v>15918.468751895212</v>
      </c>
      <c r="N33" s="385">
        <v>2254.5367810472758</v>
      </c>
      <c r="O33" s="385">
        <v>35434.076730872992</v>
      </c>
      <c r="P33" s="385">
        <v>11249.190086770779</v>
      </c>
      <c r="Q33" s="386">
        <f t="shared" si="5"/>
        <v>1258.6263560336956</v>
      </c>
      <c r="R33" s="352"/>
      <c r="S33" s="352"/>
    </row>
    <row r="34" spans="1:19" s="180" customFormat="1" ht="15.75" customHeight="1">
      <c r="A34" s="849"/>
      <c r="B34" s="850" t="s">
        <v>411</v>
      </c>
      <c r="C34" s="385">
        <v>21200.785320895127</v>
      </c>
      <c r="D34" s="385">
        <v>37948.934393207004</v>
      </c>
      <c r="E34" s="385">
        <v>8456.5437707989404</v>
      </c>
      <c r="F34" s="385">
        <v>20702.490182534297</v>
      </c>
      <c r="G34" s="385">
        <v>34714.714614534423</v>
      </c>
      <c r="H34" s="385">
        <v>9686.5521223465748</v>
      </c>
      <c r="I34" s="386">
        <f t="shared" ref="I34" si="8">$J34-SUM(C34:H34)</f>
        <v>2313.017914840515</v>
      </c>
      <c r="J34" s="634">
        <v>135023.03831915688</v>
      </c>
      <c r="K34" s="385">
        <v>14116.358318840255</v>
      </c>
      <c r="L34" s="385">
        <v>56525.046120423831</v>
      </c>
      <c r="M34" s="385">
        <v>16301.983099567191</v>
      </c>
      <c r="N34" s="385">
        <v>2147.1400355638484</v>
      </c>
      <c r="O34" s="385">
        <v>34237.983568252537</v>
      </c>
      <c r="P34" s="385">
        <v>10499.021827471568</v>
      </c>
      <c r="Q34" s="386">
        <f t="shared" si="5"/>
        <v>1195.5053490376449</v>
      </c>
      <c r="R34" s="352"/>
      <c r="S34" s="352"/>
    </row>
    <row r="35" spans="1:19" s="180" customFormat="1" ht="15.75" customHeight="1">
      <c r="A35" s="849"/>
      <c r="B35" s="850" t="s">
        <v>412</v>
      </c>
      <c r="C35" s="385">
        <v>20955.923645716706</v>
      </c>
      <c r="D35" s="385">
        <v>36958.266886627658</v>
      </c>
      <c r="E35" s="385">
        <v>8410.5472939064075</v>
      </c>
      <c r="F35" s="385">
        <v>22195.808875268584</v>
      </c>
      <c r="G35" s="385">
        <v>34551.106814766601</v>
      </c>
      <c r="H35" s="385">
        <v>9790.1634351513931</v>
      </c>
      <c r="I35" s="386">
        <f t="shared" ref="I35" si="9">$J35-SUM(C35:H35)</f>
        <v>2285.0327209809911</v>
      </c>
      <c r="J35" s="634">
        <v>135146.84967241835</v>
      </c>
      <c r="K35" s="385">
        <v>14029.680687134656</v>
      </c>
      <c r="L35" s="385">
        <v>55937.84658879885</v>
      </c>
      <c r="M35" s="385">
        <v>16367.770953480347</v>
      </c>
      <c r="N35" s="385">
        <v>2020.1957421361108</v>
      </c>
      <c r="O35" s="385">
        <v>35788.812821872969</v>
      </c>
      <c r="P35" s="385">
        <v>9951.1064970060233</v>
      </c>
      <c r="Q35" s="386">
        <f t="shared" si="5"/>
        <v>1051.4363819893915</v>
      </c>
      <c r="R35" s="352"/>
      <c r="S35" s="352"/>
    </row>
    <row r="36" spans="1:19" s="180" customFormat="1" ht="15.75" customHeight="1">
      <c r="A36" s="849"/>
      <c r="B36" s="850" t="s">
        <v>413</v>
      </c>
      <c r="C36" s="385">
        <v>20964.240476939278</v>
      </c>
      <c r="D36" s="385">
        <v>35922.565407561458</v>
      </c>
      <c r="E36" s="385">
        <v>7066.8387394313377</v>
      </c>
      <c r="F36" s="385">
        <v>23154.421330201782</v>
      </c>
      <c r="G36" s="385">
        <v>35503.356000880718</v>
      </c>
      <c r="H36" s="385">
        <v>9974.3055717502557</v>
      </c>
      <c r="I36" s="386">
        <f>$J36-SUM(C36:H36)+0.03</f>
        <v>2185.1580406963199</v>
      </c>
      <c r="J36" s="634">
        <v>134770.85556746114</v>
      </c>
      <c r="K36" s="385">
        <v>13622.040616389029</v>
      </c>
      <c r="L36" s="385">
        <v>56672.102235477381</v>
      </c>
      <c r="M36" s="385">
        <v>15091.472485567936</v>
      </c>
      <c r="N36" s="385">
        <v>2048.5689656357167</v>
      </c>
      <c r="O36" s="385">
        <v>36033.331119809933</v>
      </c>
      <c r="P36" s="385">
        <v>10537.910583640933</v>
      </c>
      <c r="Q36" s="386">
        <f>$J36-SUM(K36:P36)+0.03</f>
        <v>765.4595609402179</v>
      </c>
      <c r="R36" s="352"/>
      <c r="S36" s="352"/>
    </row>
    <row r="37" spans="1:19" s="180" customFormat="1" ht="21" customHeight="1">
      <c r="A37" s="849">
        <v>2026</v>
      </c>
      <c r="B37" s="850" t="s">
        <v>414</v>
      </c>
      <c r="C37" s="385">
        <v>21635.839701688681</v>
      </c>
      <c r="D37" s="385">
        <v>37871.885586025659</v>
      </c>
      <c r="E37" s="385">
        <v>7345.1312169369048</v>
      </c>
      <c r="F37" s="385">
        <v>14532.623761594683</v>
      </c>
      <c r="G37" s="385">
        <v>35901.363940572483</v>
      </c>
      <c r="H37" s="385">
        <v>10240.733651265053</v>
      </c>
      <c r="I37" s="386">
        <f>$J37-SUM(C37:H37)</f>
        <v>2349.2710161589348</v>
      </c>
      <c r="J37" s="634">
        <v>129876.84887424241</v>
      </c>
      <c r="K37" s="385">
        <v>13807.783441546198</v>
      </c>
      <c r="L37" s="385">
        <v>57679.182872220277</v>
      </c>
      <c r="M37" s="385">
        <v>15705.840760849185</v>
      </c>
      <c r="N37" s="385">
        <v>2265.6903118437394</v>
      </c>
      <c r="O37" s="385">
        <v>29256.47778094688</v>
      </c>
      <c r="P37" s="385">
        <v>9990.5784299429688</v>
      </c>
      <c r="Q37" s="386">
        <f>$J37-SUM(K37:P37)-0.05</f>
        <v>1171.2452768931719</v>
      </c>
      <c r="R37" s="352"/>
      <c r="S37" s="352"/>
    </row>
    <row r="38" spans="1:19" s="180" customFormat="1" ht="15.75" customHeight="1">
      <c r="A38" s="849"/>
      <c r="B38" s="850" t="s">
        <v>415</v>
      </c>
      <c r="C38" s="385">
        <v>22239.2075019654</v>
      </c>
      <c r="D38" s="385">
        <v>36801.89014588538</v>
      </c>
      <c r="E38" s="385">
        <v>8150.8414588838787</v>
      </c>
      <c r="F38" s="385">
        <v>14236.366562040732</v>
      </c>
      <c r="G38" s="385">
        <v>34269.23367962207</v>
      </c>
      <c r="H38" s="385">
        <v>9705.1143921011917</v>
      </c>
      <c r="I38" s="386">
        <v>2212.5617503313274</v>
      </c>
      <c r="J38" s="634">
        <v>127615.18549082999</v>
      </c>
      <c r="K38" s="385">
        <v>14329.215667843682</v>
      </c>
      <c r="L38" s="385">
        <v>55844.2996222285</v>
      </c>
      <c r="M38" s="385">
        <v>13398.680793713704</v>
      </c>
      <c r="N38" s="385">
        <v>2016.0340356718509</v>
      </c>
      <c r="O38" s="385">
        <v>31262.794368706825</v>
      </c>
      <c r="P38" s="385">
        <v>10077.072028422819</v>
      </c>
      <c r="Q38" s="386">
        <v>687.08897424259339</v>
      </c>
      <c r="R38" s="352"/>
      <c r="S38" s="352"/>
    </row>
    <row r="39" spans="1:19" s="180" customFormat="1" ht="15.75" customHeight="1">
      <c r="A39" s="849"/>
      <c r="B39" s="850" t="s">
        <v>416</v>
      </c>
      <c r="C39" s="385">
        <v>22353.435482766672</v>
      </c>
      <c r="D39" s="385">
        <v>37141.270011767934</v>
      </c>
      <c r="E39" s="385">
        <v>8070.9899704320796</v>
      </c>
      <c r="F39" s="385">
        <v>19027.963159579373</v>
      </c>
      <c r="G39" s="385">
        <v>33829.141363297036</v>
      </c>
      <c r="H39" s="385">
        <v>9673.5335722017517</v>
      </c>
      <c r="I39" s="386">
        <f>$J39-SUM(C39:H39)</f>
        <v>2215.293311372574</v>
      </c>
      <c r="J39" s="634">
        <v>132311.62687141742</v>
      </c>
      <c r="K39" s="385">
        <v>14662.069644996362</v>
      </c>
      <c r="L39" s="385">
        <v>54301.943876091696</v>
      </c>
      <c r="M39" s="385">
        <v>12241.221915876758</v>
      </c>
      <c r="N39" s="385">
        <v>2165.0295615819191</v>
      </c>
      <c r="O39" s="385">
        <v>37428.985190140062</v>
      </c>
      <c r="P39" s="385">
        <v>10535.662709770151</v>
      </c>
      <c r="Q39" s="386">
        <f>$J39-SUM(K39:P39)</f>
        <v>976.71397296048235</v>
      </c>
      <c r="R39" s="352"/>
      <c r="S39" s="352"/>
    </row>
    <row r="40" spans="1:19" s="180" customFormat="1" ht="15.75" customHeight="1">
      <c r="A40" s="849"/>
      <c r="B40" s="850" t="s">
        <v>417</v>
      </c>
      <c r="C40" s="385">
        <v>22390.174095740585</v>
      </c>
      <c r="D40" s="385">
        <v>35829.338778949983</v>
      </c>
      <c r="E40" s="385">
        <v>8203.0215705557712</v>
      </c>
      <c r="F40" s="385">
        <v>13922.467325898866</v>
      </c>
      <c r="G40" s="385">
        <v>36894.435442658098</v>
      </c>
      <c r="H40" s="385">
        <v>9143.3307848326112</v>
      </c>
      <c r="I40" s="386">
        <f>$J40-SUM(C40:H40)</f>
        <v>2294.7550117969513</v>
      </c>
      <c r="J40" s="634">
        <v>128677.52301043285</v>
      </c>
      <c r="K40" s="385">
        <v>14985.061323479458</v>
      </c>
      <c r="L40" s="385">
        <v>53908.310638012234</v>
      </c>
      <c r="M40" s="385">
        <v>12699.658815240842</v>
      </c>
      <c r="N40" s="385">
        <v>2127.8444669612454</v>
      </c>
      <c r="O40" s="385">
        <v>33327.272058033246</v>
      </c>
      <c r="P40" s="385">
        <v>10821.896238986648</v>
      </c>
      <c r="Q40" s="386">
        <f>$J40-SUM(K40:P40)-0.05</f>
        <v>807.42946971916831</v>
      </c>
      <c r="R40" s="352"/>
      <c r="S40" s="352"/>
    </row>
    <row r="41" spans="1:19" s="180" customFormat="1" ht="15.75" customHeight="1">
      <c r="A41" s="849"/>
      <c r="B41" s="850" t="s">
        <v>418</v>
      </c>
      <c r="C41" s="385">
        <v>22599.530342997907</v>
      </c>
      <c r="D41" s="385">
        <v>36300.323294829112</v>
      </c>
      <c r="E41" s="385">
        <v>8287.1546541959906</v>
      </c>
      <c r="F41" s="385">
        <v>13079.409608825608</v>
      </c>
      <c r="G41" s="385">
        <v>35045.916056409507</v>
      </c>
      <c r="H41" s="385">
        <v>9125.1813397788446</v>
      </c>
      <c r="I41" s="386">
        <f>$J41-SUM(C41:H41)</f>
        <v>2297.8251532356226</v>
      </c>
      <c r="J41" s="634">
        <v>126735.34045027259</v>
      </c>
      <c r="K41" s="385">
        <v>14909.977342143096</v>
      </c>
      <c r="L41" s="385">
        <v>53301.148122173094</v>
      </c>
      <c r="M41" s="385">
        <v>12783.676457401642</v>
      </c>
      <c r="N41" s="385">
        <v>1996.4989288366958</v>
      </c>
      <c r="O41" s="385">
        <v>31920.541138918728</v>
      </c>
      <c r="P41" s="385">
        <v>11056.603747554396</v>
      </c>
      <c r="Q41" s="386">
        <f>$J41-SUM(K41:P41)</f>
        <v>766.89471324492479</v>
      </c>
      <c r="R41" s="352"/>
      <c r="S41" s="352"/>
    </row>
    <row r="42" spans="1:19" s="180" customFormat="1" ht="15.75" customHeight="1">
      <c r="A42" s="849"/>
      <c r="B42" s="850" t="s">
        <v>419</v>
      </c>
      <c r="C42" s="385">
        <v>22848.728530423759</v>
      </c>
      <c r="D42" s="385">
        <v>36551.239221929238</v>
      </c>
      <c r="E42" s="385">
        <v>8490.5979761519338</v>
      </c>
      <c r="F42" s="385">
        <v>18483.415780239506</v>
      </c>
      <c r="G42" s="385">
        <v>28735.917960338542</v>
      </c>
      <c r="H42" s="385">
        <v>8951.8196840872843</v>
      </c>
      <c r="I42" s="386">
        <f>$J42-SUM(C42:H42)+0.05</f>
        <v>2117.2614852593515</v>
      </c>
      <c r="J42" s="634">
        <v>126178.93063842962</v>
      </c>
      <c r="K42" s="385">
        <v>15161.859136445908</v>
      </c>
      <c r="L42" s="385">
        <v>46895.341607680763</v>
      </c>
      <c r="M42" s="385">
        <v>13220.431762904684</v>
      </c>
      <c r="N42" s="385">
        <v>1946.9961587398925</v>
      </c>
      <c r="O42" s="385">
        <v>38804.336070035046</v>
      </c>
      <c r="P42" s="385">
        <v>9698.2586543795223</v>
      </c>
      <c r="Q42" s="386">
        <f>$J42-SUM(K42:P42)</f>
        <v>451.70724824382341</v>
      </c>
      <c r="R42" s="352"/>
      <c r="S42" s="352"/>
    </row>
    <row r="43" spans="1:19" s="180" customFormat="1" ht="15.75" customHeight="1">
      <c r="A43" s="849"/>
      <c r="B43" s="850" t="s">
        <v>420</v>
      </c>
      <c r="C43" s="385">
        <v>23418.572518110093</v>
      </c>
      <c r="D43" s="385">
        <v>35750.543152517654</v>
      </c>
      <c r="E43" s="385">
        <v>8042.1965883837156</v>
      </c>
      <c r="F43" s="385">
        <v>13993.793126722621</v>
      </c>
      <c r="G43" s="385">
        <v>30044.195620307477</v>
      </c>
      <c r="H43" s="385">
        <v>10231.307252807086</v>
      </c>
      <c r="I43" s="386">
        <f>$J43-SUM(C43:H43)</f>
        <v>2154.1997892492218</v>
      </c>
      <c r="J43" s="634">
        <v>123634.80804809788</v>
      </c>
      <c r="K43" s="385">
        <v>15752.060440074574</v>
      </c>
      <c r="L43" s="385">
        <v>49226.83726834484</v>
      </c>
      <c r="M43" s="385">
        <v>12604.580020406287</v>
      </c>
      <c r="N43" s="385">
        <v>1669.9668077535637</v>
      </c>
      <c r="O43" s="385">
        <v>33117.208374589609</v>
      </c>
      <c r="P43" s="385">
        <v>10440.637871925423</v>
      </c>
      <c r="Q43" s="386">
        <f>$J43-SUM(K43:P43)</f>
        <v>823.517265003582</v>
      </c>
      <c r="R43" s="352"/>
      <c r="S43" s="352"/>
    </row>
    <row r="44" spans="1:19" ht="19.5" customHeight="1">
      <c r="A44" s="253" t="s">
        <v>930</v>
      </c>
      <c r="B44" s="1713"/>
      <c r="C44" s="1713"/>
      <c r="D44" s="1713"/>
      <c r="E44" s="1713"/>
      <c r="F44" s="1713"/>
      <c r="G44" s="1713"/>
      <c r="H44" s="1713"/>
      <c r="I44" s="1713"/>
      <c r="J44" s="1713"/>
      <c r="K44" s="1739"/>
      <c r="L44" s="1713"/>
      <c r="M44" s="1713"/>
      <c r="N44" s="1713"/>
      <c r="O44" s="1713"/>
      <c r="P44" s="1713"/>
      <c r="Q44" s="252" t="s">
        <v>931</v>
      </c>
    </row>
    <row r="45" spans="1:19" ht="16.05" customHeight="1">
      <c r="A45" s="306" t="s">
        <v>932</v>
      </c>
      <c r="Q45" s="365" t="s">
        <v>933</v>
      </c>
    </row>
    <row r="46" spans="1:19" s="180" customFormat="1" ht="15">
      <c r="A46" s="306" t="s">
        <v>934</v>
      </c>
      <c r="B46" s="306"/>
      <c r="C46" s="306"/>
      <c r="D46" s="306"/>
      <c r="E46" s="306"/>
      <c r="F46" s="306"/>
      <c r="G46" s="306"/>
      <c r="H46" s="306"/>
      <c r="I46" s="306"/>
      <c r="J46" s="276"/>
      <c r="K46" s="276"/>
      <c r="L46" s="276"/>
      <c r="M46" s="276"/>
      <c r="N46" s="276"/>
      <c r="O46" s="276"/>
      <c r="P46" s="276"/>
      <c r="Q46" s="627" t="s">
        <v>935</v>
      </c>
    </row>
    <row r="48" spans="1:19" s="180" customFormat="1" ht="15">
      <c r="A48" s="276" t="s">
        <v>1037</v>
      </c>
      <c r="B48" s="276"/>
      <c r="C48" s="276"/>
      <c r="D48" s="276"/>
      <c r="E48" s="276"/>
      <c r="F48" s="276"/>
      <c r="G48" s="276"/>
      <c r="H48" s="276"/>
      <c r="I48" s="276"/>
      <c r="J48" s="276"/>
      <c r="K48" s="276"/>
      <c r="L48" s="276"/>
      <c r="M48" s="276"/>
      <c r="N48" s="276"/>
      <c r="O48" s="276"/>
      <c r="P48" s="276"/>
      <c r="Q48" s="276"/>
    </row>
    <row r="50" spans="3:17">
      <c r="C50" s="1740"/>
      <c r="D50" s="1740"/>
      <c r="E50" s="1740"/>
      <c r="F50" s="1740"/>
      <c r="G50" s="1740"/>
      <c r="H50" s="1740"/>
      <c r="I50" s="1740"/>
      <c r="J50" s="1740"/>
      <c r="K50" s="1740"/>
      <c r="L50" s="1740"/>
      <c r="M50" s="1740"/>
      <c r="N50" s="1740"/>
      <c r="O50" s="1740"/>
      <c r="P50" s="1740"/>
      <c r="Q50" s="1740"/>
    </row>
  </sheetData>
  <phoneticPr fontId="32" type="noConversion"/>
  <printOptions horizontalCentered="1" verticalCentered="1"/>
  <pageMargins left="0" right="0" top="0" bottom="0" header="0.5" footer="0.5"/>
  <pageSetup paperSize="9" scale="6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2"/>
  <dimension ref="A1:U47"/>
  <sheetViews>
    <sheetView topLeftCell="B1" zoomScale="80" zoomScaleNormal="80" workbookViewId="0">
      <pane ySplit="12" topLeftCell="A37" activePane="bottomLeft" state="frozen"/>
      <selection activeCell="B2" sqref="B2"/>
      <selection pane="bottomLeft" activeCell="J45" sqref="J45"/>
    </sheetView>
  </sheetViews>
  <sheetFormatPr defaultColWidth="9.21875" defaultRowHeight="13.2"/>
  <cols>
    <col min="1" max="2" width="9.77734375" style="1402" customWidth="1"/>
    <col min="3" max="3" width="10.77734375" style="1402" customWidth="1"/>
    <col min="4" max="4" width="12.77734375" style="1402" customWidth="1"/>
    <col min="5" max="5" width="11.77734375" style="1402" customWidth="1"/>
    <col min="6" max="6" width="10.77734375" style="1402" customWidth="1"/>
    <col min="7" max="8" width="11.77734375" style="1402" customWidth="1"/>
    <col min="9" max="9" width="10.77734375" style="1402" customWidth="1"/>
    <col min="10" max="10" width="12.77734375" style="1402" customWidth="1"/>
    <col min="11" max="11" width="10.77734375" style="1402" customWidth="1"/>
    <col min="12" max="12" width="12.77734375" style="1402" customWidth="1"/>
    <col min="13" max="13" width="11.77734375" style="1402" customWidth="1"/>
    <col min="14" max="14" width="10.77734375" style="1402" customWidth="1"/>
    <col min="15" max="16" width="11.77734375" style="1402" customWidth="1"/>
    <col min="17" max="17" width="10.77734375" style="1402" customWidth="1"/>
    <col min="18" max="16384" width="9.21875" style="1402"/>
  </cols>
  <sheetData>
    <row r="1" spans="1:19" s="381" customFormat="1" ht="17.399999999999999">
      <c r="A1" s="277" t="s">
        <v>1756</v>
      </c>
      <c r="B1" s="1710"/>
      <c r="C1" s="1710"/>
      <c r="D1" s="1710"/>
      <c r="E1" s="1710"/>
      <c r="F1" s="1710"/>
      <c r="G1" s="1710"/>
      <c r="H1" s="1710"/>
      <c r="I1" s="1710"/>
      <c r="J1" s="1710"/>
      <c r="K1" s="1710"/>
      <c r="L1" s="1710"/>
      <c r="M1" s="1710"/>
      <c r="N1" s="1710"/>
      <c r="O1" s="1710"/>
      <c r="P1" s="1710"/>
      <c r="Q1" s="1710"/>
    </row>
    <row r="2" spans="1:19" s="381" customFormat="1" ht="17.399999999999999">
      <c r="A2" s="1660" t="s">
        <v>1038</v>
      </c>
      <c r="B2" s="1710"/>
      <c r="C2" s="1710"/>
      <c r="D2" s="1710"/>
      <c r="E2" s="1710"/>
      <c r="F2" s="1710"/>
      <c r="G2" s="1710"/>
      <c r="H2" s="1710"/>
      <c r="I2" s="1710"/>
      <c r="J2" s="1710"/>
      <c r="K2" s="1710"/>
      <c r="L2" s="1710"/>
      <c r="M2" s="1710"/>
      <c r="N2" s="1710"/>
      <c r="O2" s="1710"/>
      <c r="P2" s="1710"/>
      <c r="Q2" s="1710"/>
    </row>
    <row r="3" spans="1:19" s="381" customFormat="1" ht="17.399999999999999">
      <c r="A3" s="1711" t="s">
        <v>1039</v>
      </c>
      <c r="B3" s="1710"/>
      <c r="C3" s="1710"/>
      <c r="D3" s="1710"/>
      <c r="E3" s="1710"/>
      <c r="F3" s="1710"/>
      <c r="G3" s="1710"/>
      <c r="H3" s="1710"/>
      <c r="I3" s="1710"/>
      <c r="J3" s="1710"/>
      <c r="K3" s="1710"/>
      <c r="L3" s="1710"/>
      <c r="M3" s="1710"/>
      <c r="N3" s="1710"/>
      <c r="O3" s="1710"/>
      <c r="P3" s="1710"/>
      <c r="Q3" s="1710"/>
    </row>
    <row r="4" spans="1:19" s="306" customFormat="1" ht="13.8">
      <c r="A4" s="1736" t="s">
        <v>752</v>
      </c>
      <c r="B4" s="319"/>
      <c r="Q4" s="1407" t="s">
        <v>753</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939</v>
      </c>
      <c r="D9" s="177" t="s">
        <v>940</v>
      </c>
      <c r="E9" s="177" t="s">
        <v>941</v>
      </c>
      <c r="F9" s="162" t="s">
        <v>942</v>
      </c>
      <c r="G9" s="162"/>
      <c r="H9" s="177" t="s">
        <v>943</v>
      </c>
      <c r="I9" s="177"/>
      <c r="J9" s="194"/>
      <c r="K9" s="182" t="s">
        <v>939</v>
      </c>
      <c r="L9" s="177" t="s">
        <v>940</v>
      </c>
      <c r="M9" s="177" t="s">
        <v>941</v>
      </c>
      <c r="N9" s="162" t="s">
        <v>942</v>
      </c>
      <c r="O9" s="162"/>
      <c r="P9" s="177" t="s">
        <v>943</v>
      </c>
      <c r="Q9" s="177"/>
    </row>
    <row r="10" spans="1:19" s="176" customFormat="1" ht="18" customHeight="1">
      <c r="A10" s="163" t="s">
        <v>379</v>
      </c>
      <c r="B10" s="165"/>
      <c r="C10" s="182" t="s">
        <v>944</v>
      </c>
      <c r="D10" s="177" t="s">
        <v>945</v>
      </c>
      <c r="E10" s="177" t="s">
        <v>946</v>
      </c>
      <c r="F10" s="162" t="s">
        <v>947</v>
      </c>
      <c r="G10" s="162" t="s">
        <v>348</v>
      </c>
      <c r="H10" s="177" t="s">
        <v>948</v>
      </c>
      <c r="I10" s="177" t="s">
        <v>391</v>
      </c>
      <c r="J10" s="193" t="s">
        <v>382</v>
      </c>
      <c r="K10" s="182" t="s">
        <v>944</v>
      </c>
      <c r="L10" s="177" t="s">
        <v>945</v>
      </c>
      <c r="M10" s="177" t="s">
        <v>946</v>
      </c>
      <c r="N10" s="162" t="s">
        <v>947</v>
      </c>
      <c r="O10" s="162" t="s">
        <v>348</v>
      </c>
      <c r="P10" s="177" t="s">
        <v>948</v>
      </c>
      <c r="Q10" s="177" t="s">
        <v>391</v>
      </c>
    </row>
    <row r="11" spans="1:19" s="164" customFormat="1" ht="18" customHeight="1">
      <c r="A11" s="178" t="s">
        <v>387</v>
      </c>
      <c r="B11" s="165"/>
      <c r="C11" s="191" t="s">
        <v>949</v>
      </c>
      <c r="D11" s="166" t="s">
        <v>950</v>
      </c>
      <c r="E11" s="166" t="s">
        <v>951</v>
      </c>
      <c r="F11" s="166" t="s">
        <v>952</v>
      </c>
      <c r="G11" s="166" t="s">
        <v>544</v>
      </c>
      <c r="H11" s="166" t="s">
        <v>953</v>
      </c>
      <c r="I11" s="168" t="s">
        <v>399</v>
      </c>
      <c r="J11" s="195" t="s">
        <v>392</v>
      </c>
      <c r="K11" s="191" t="s">
        <v>949</v>
      </c>
      <c r="L11" s="166" t="s">
        <v>950</v>
      </c>
      <c r="M11" s="166" t="s">
        <v>951</v>
      </c>
      <c r="N11" s="166" t="s">
        <v>952</v>
      </c>
      <c r="O11" s="166" t="s">
        <v>544</v>
      </c>
      <c r="P11" s="166" t="s">
        <v>953</v>
      </c>
      <c r="Q11" s="168" t="s">
        <v>399</v>
      </c>
    </row>
    <row r="12" spans="1:19" s="164" customFormat="1" ht="18" customHeight="1">
      <c r="A12" s="179"/>
      <c r="B12" s="170"/>
      <c r="C12" s="192" t="s">
        <v>954</v>
      </c>
      <c r="D12" s="198" t="s">
        <v>955</v>
      </c>
      <c r="E12" s="198" t="s">
        <v>956</v>
      </c>
      <c r="F12" s="198" t="s">
        <v>957</v>
      </c>
      <c r="G12" s="198"/>
      <c r="H12" s="198" t="s">
        <v>958</v>
      </c>
      <c r="I12" s="199"/>
      <c r="J12" s="196"/>
      <c r="K12" s="192" t="s">
        <v>954</v>
      </c>
      <c r="L12" s="198" t="s">
        <v>955</v>
      </c>
      <c r="M12" s="198" t="s">
        <v>956</v>
      </c>
      <c r="N12" s="198" t="s">
        <v>957</v>
      </c>
      <c r="O12" s="198"/>
      <c r="P12" s="198" t="s">
        <v>958</v>
      </c>
      <c r="Q12" s="198"/>
    </row>
    <row r="13" spans="1:19" s="180" customFormat="1" ht="26.25" customHeight="1">
      <c r="A13" s="849">
        <v>2016</v>
      </c>
      <c r="B13" s="850"/>
      <c r="C13" s="385">
        <v>1541.0784734546478</v>
      </c>
      <c r="D13" s="385">
        <v>11851.69125368208</v>
      </c>
      <c r="E13" s="386">
        <v>71479.325538554069</v>
      </c>
      <c r="F13" s="386">
        <v>3490.5772857423458</v>
      </c>
      <c r="G13" s="386">
        <v>7471.044986212517</v>
      </c>
      <c r="H13" s="386">
        <v>377.98042954998209</v>
      </c>
      <c r="I13" s="386">
        <v>6824.1784047769088</v>
      </c>
      <c r="J13" s="634">
        <v>103035.90637197257</v>
      </c>
      <c r="K13" s="386">
        <v>688.67396738712569</v>
      </c>
      <c r="L13" s="386">
        <v>8356.3617379499556</v>
      </c>
      <c r="M13" s="386">
        <v>81330.628564807936</v>
      </c>
      <c r="N13" s="386">
        <v>1547.4756940149259</v>
      </c>
      <c r="O13" s="1712">
        <v>7544.9958557605423</v>
      </c>
      <c r="P13" s="386">
        <v>148.52552047431303</v>
      </c>
      <c r="Q13" s="1737">
        <v>3419.1565436775008</v>
      </c>
      <c r="R13" s="352"/>
      <c r="S13" s="352"/>
    </row>
    <row r="14" spans="1:19" s="597" customFormat="1" ht="18" customHeight="1">
      <c r="A14" s="849">
        <v>2017</v>
      </c>
      <c r="B14" s="850"/>
      <c r="C14" s="385">
        <v>1176.9205855075943</v>
      </c>
      <c r="D14" s="385">
        <v>9769.3189391180204</v>
      </c>
      <c r="E14" s="386">
        <v>72635.958991239357</v>
      </c>
      <c r="F14" s="386">
        <v>2798.0818057817291</v>
      </c>
      <c r="G14" s="386">
        <v>10752.958907859858</v>
      </c>
      <c r="H14" s="386">
        <v>294.17466467098399</v>
      </c>
      <c r="I14" s="386">
        <v>6534.9999185983379</v>
      </c>
      <c r="J14" s="634">
        <v>103962.49781277592</v>
      </c>
      <c r="K14" s="385">
        <v>626.5234194180365</v>
      </c>
      <c r="L14" s="385">
        <v>7636.2683383159856</v>
      </c>
      <c r="M14" s="386">
        <v>80778.005259358877</v>
      </c>
      <c r="N14" s="386">
        <v>1658.1549833033489</v>
      </c>
      <c r="O14" s="386">
        <v>10205.252096955472</v>
      </c>
      <c r="P14" s="386">
        <v>98.511763616606004</v>
      </c>
      <c r="Q14" s="386">
        <v>2959.6854210051997</v>
      </c>
      <c r="R14" s="352"/>
      <c r="S14" s="352"/>
    </row>
    <row r="15" spans="1:19" s="996" customFormat="1" ht="18.75" customHeight="1">
      <c r="A15" s="849">
        <v>2018</v>
      </c>
      <c r="B15" s="850"/>
      <c r="C15" s="385">
        <v>1880.0094938794382</v>
      </c>
      <c r="D15" s="385">
        <v>10171.921253414715</v>
      </c>
      <c r="E15" s="386">
        <v>72941.909469623119</v>
      </c>
      <c r="F15" s="386">
        <v>2231.041741592624</v>
      </c>
      <c r="G15" s="386">
        <v>11644.685933870116</v>
      </c>
      <c r="H15" s="386">
        <v>370.88744129589702</v>
      </c>
      <c r="I15" s="386">
        <v>6789.3425823645166</v>
      </c>
      <c r="J15" s="634">
        <v>106029.7193068804</v>
      </c>
      <c r="K15" s="385">
        <v>749.49731650714784</v>
      </c>
      <c r="L15" s="385">
        <v>7498.7963311009662</v>
      </c>
      <c r="M15" s="386">
        <v>82983.552076719599</v>
      </c>
      <c r="N15" s="386">
        <v>1054.9598705516221</v>
      </c>
      <c r="O15" s="386">
        <v>9677.0275608329575</v>
      </c>
      <c r="P15" s="386">
        <v>183.56736315040098</v>
      </c>
      <c r="Q15" s="386">
        <v>3882.1808639012002</v>
      </c>
      <c r="R15" s="352"/>
      <c r="S15" s="352"/>
    </row>
    <row r="16" spans="1:19" s="996" customFormat="1" ht="18.75" customHeight="1">
      <c r="A16" s="849">
        <v>2019</v>
      </c>
      <c r="B16" s="850"/>
      <c r="C16" s="385">
        <v>1980.5415704111033</v>
      </c>
      <c r="D16" s="385">
        <v>11259.484272855218</v>
      </c>
      <c r="E16" s="386">
        <v>76435.103327875928</v>
      </c>
      <c r="F16" s="386">
        <v>2945.6893368360616</v>
      </c>
      <c r="G16" s="386">
        <v>12447.89181408649</v>
      </c>
      <c r="H16" s="386">
        <v>711.18433966348391</v>
      </c>
      <c r="I16" s="386">
        <v>5058.3253962455155</v>
      </c>
      <c r="J16" s="634">
        <v>110838.2357998838</v>
      </c>
      <c r="K16" s="385">
        <v>471.18499503272551</v>
      </c>
      <c r="L16" s="385">
        <v>11447.363163742171</v>
      </c>
      <c r="M16" s="386">
        <v>84033.757649597668</v>
      </c>
      <c r="N16" s="386">
        <v>824.38181659966006</v>
      </c>
      <c r="O16" s="386">
        <v>10415.759076903754</v>
      </c>
      <c r="P16" s="386">
        <v>193.31863362187698</v>
      </c>
      <c r="Q16" s="386">
        <v>3452.2986135612327</v>
      </c>
      <c r="R16" s="352"/>
      <c r="S16" s="352"/>
    </row>
    <row r="17" spans="1:21" s="996" customFormat="1" ht="18.75" customHeight="1">
      <c r="A17" s="849">
        <v>2020</v>
      </c>
      <c r="B17" s="850"/>
      <c r="C17" s="385">
        <v>2154.2158179359931</v>
      </c>
      <c r="D17" s="385">
        <v>13066.421820396088</v>
      </c>
      <c r="E17" s="386">
        <v>77571.329298783487</v>
      </c>
      <c r="F17" s="386">
        <v>2307.6375966186679</v>
      </c>
      <c r="G17" s="386">
        <v>12488.660301407579</v>
      </c>
      <c r="H17" s="386">
        <v>203.34187177537999</v>
      </c>
      <c r="I17" s="386">
        <v>5287.3370581728823</v>
      </c>
      <c r="J17" s="634">
        <v>113078.82007088009</v>
      </c>
      <c r="K17" s="385">
        <v>566.78996989683958</v>
      </c>
      <c r="L17" s="385">
        <v>12448.417253509253</v>
      </c>
      <c r="M17" s="386">
        <v>85622.419422515857</v>
      </c>
      <c r="N17" s="386">
        <v>1465.3601818819668</v>
      </c>
      <c r="O17" s="386">
        <v>9777.7500312813463</v>
      </c>
      <c r="P17" s="386">
        <v>33.158863467513996</v>
      </c>
      <c r="Q17" s="386">
        <v>3164.7808389353008</v>
      </c>
      <c r="R17" s="352"/>
      <c r="S17" s="352"/>
    </row>
    <row r="18" spans="1:21" s="996" customFormat="1" ht="18.75" customHeight="1">
      <c r="A18" s="849">
        <v>2021</v>
      </c>
      <c r="B18" s="850"/>
      <c r="C18" s="385">
        <v>2953.245482343817</v>
      </c>
      <c r="D18" s="385">
        <v>12239.16086649389</v>
      </c>
      <c r="E18" s="386">
        <v>83569.449084693799</v>
      </c>
      <c r="F18" s="386">
        <v>2388.9569141167135</v>
      </c>
      <c r="G18" s="386">
        <v>13862.764750338716</v>
      </c>
      <c r="H18" s="386">
        <v>432.46036000192083</v>
      </c>
      <c r="I18" s="386">
        <v>2656.6205261571095</v>
      </c>
      <c r="J18" s="634">
        <v>118102.65728414597</v>
      </c>
      <c r="K18" s="385">
        <v>1010.4870113371474</v>
      </c>
      <c r="L18" s="385">
        <v>9419.574647051897</v>
      </c>
      <c r="M18" s="386">
        <v>93480.24592136206</v>
      </c>
      <c r="N18" s="386">
        <v>1017.8177048441609</v>
      </c>
      <c r="O18" s="386">
        <v>9820.7316698278337</v>
      </c>
      <c r="P18" s="386">
        <v>16.446644556498001</v>
      </c>
      <c r="Q18" s="386">
        <v>3337.466514233241</v>
      </c>
      <c r="R18" s="352"/>
      <c r="S18" s="352"/>
    </row>
    <row r="19" spans="1:21" s="996" customFormat="1" ht="18.75" customHeight="1">
      <c r="A19" s="849">
        <v>2022</v>
      </c>
      <c r="B19" s="850"/>
      <c r="C19" s="385">
        <v>3788.5217150511021</v>
      </c>
      <c r="D19" s="386">
        <v>9721.6025468617445</v>
      </c>
      <c r="E19" s="386">
        <v>88460.706551661191</v>
      </c>
      <c r="F19" s="386">
        <v>2236.9856458389381</v>
      </c>
      <c r="G19" s="386">
        <v>15950.968214164159</v>
      </c>
      <c r="H19" s="386">
        <v>62.264301210887929</v>
      </c>
      <c r="I19" s="386">
        <v>2151.6924566782031</v>
      </c>
      <c r="J19" s="634">
        <v>122372.79023146565</v>
      </c>
      <c r="K19" s="385">
        <v>1352.9101909767339</v>
      </c>
      <c r="L19" s="385">
        <v>11565.063512766472</v>
      </c>
      <c r="M19" s="386">
        <v>95362.31757842841</v>
      </c>
      <c r="N19" s="386">
        <v>778.96283978012411</v>
      </c>
      <c r="O19" s="386">
        <v>10476.47807685175</v>
      </c>
      <c r="P19" s="386">
        <v>9.6278376602799991</v>
      </c>
      <c r="Q19" s="386">
        <v>2827.4072467026604</v>
      </c>
      <c r="R19" s="352"/>
      <c r="S19" s="352"/>
    </row>
    <row r="20" spans="1:21" s="996" customFormat="1" ht="18.75" customHeight="1">
      <c r="A20" s="849">
        <v>2023</v>
      </c>
      <c r="B20" s="850"/>
      <c r="C20" s="385">
        <v>3606.8226202512965</v>
      </c>
      <c r="D20" s="385">
        <v>8330.5593123661802</v>
      </c>
      <c r="E20" s="386">
        <v>97375.607659822897</v>
      </c>
      <c r="F20" s="386">
        <v>1434.4314884802391</v>
      </c>
      <c r="G20" s="386">
        <v>17285.866552855259</v>
      </c>
      <c r="H20" s="386">
        <v>241.65302010289747</v>
      </c>
      <c r="I20" s="386">
        <v>3176.8059347845938</v>
      </c>
      <c r="J20" s="634">
        <v>131451.75658866338</v>
      </c>
      <c r="K20" s="385">
        <v>1885.5773328841956</v>
      </c>
      <c r="L20" s="385">
        <v>14606.997526544201</v>
      </c>
      <c r="M20" s="386">
        <v>99369.743133570912</v>
      </c>
      <c r="N20" s="386">
        <v>849.71545656641047</v>
      </c>
      <c r="O20" s="386">
        <v>11998.079854149131</v>
      </c>
      <c r="P20" s="386">
        <v>92.223078954754001</v>
      </c>
      <c r="Q20" s="386">
        <v>2649.4763864539864</v>
      </c>
      <c r="R20" s="352"/>
      <c r="S20" s="352"/>
    </row>
    <row r="21" spans="1:21" s="996" customFormat="1" ht="18.75" customHeight="1">
      <c r="A21" s="849">
        <v>2024</v>
      </c>
      <c r="B21" s="850"/>
      <c r="C21" s="385">
        <v>2884.7480748278449</v>
      </c>
      <c r="D21" s="385">
        <v>7555.5940725590335</v>
      </c>
      <c r="E21" s="386">
        <v>106912.76468402578</v>
      </c>
      <c r="F21" s="386">
        <v>1919.2866174621922</v>
      </c>
      <c r="G21" s="386">
        <v>13244.704409527509</v>
      </c>
      <c r="H21" s="386">
        <v>146.88377747029662</v>
      </c>
      <c r="I21" s="386">
        <v>4234.143620108237</v>
      </c>
      <c r="J21" s="634">
        <v>136898.12525598088</v>
      </c>
      <c r="K21" s="385">
        <v>1705.6887065350084</v>
      </c>
      <c r="L21" s="385">
        <v>13616.075032143686</v>
      </c>
      <c r="M21" s="386">
        <v>104149.48140685979</v>
      </c>
      <c r="N21" s="386">
        <v>1174.2444873361969</v>
      </c>
      <c r="O21" s="386">
        <v>11357.087518921597</v>
      </c>
      <c r="P21" s="386">
        <v>75.230935495925991</v>
      </c>
      <c r="Q21" s="386">
        <v>4820.3349291121303</v>
      </c>
      <c r="R21" s="352"/>
      <c r="S21" s="352"/>
    </row>
    <row r="22" spans="1:21" s="996" customFormat="1" ht="18.75" customHeight="1">
      <c r="A22" s="991">
        <v>2025</v>
      </c>
      <c r="B22" s="992"/>
      <c r="C22" s="993">
        <f t="shared" ref="C22:Q22" si="0">C28</f>
        <v>3239.224315384125</v>
      </c>
      <c r="D22" s="993">
        <f t="shared" si="0"/>
        <v>8970.9561838400568</v>
      </c>
      <c r="E22" s="994">
        <f t="shared" si="0"/>
        <v>101879.5717950367</v>
      </c>
      <c r="F22" s="994">
        <f t="shared" si="0"/>
        <v>2030.8648105567247</v>
      </c>
      <c r="G22" s="994">
        <f t="shared" si="0"/>
        <v>13343.635270679442</v>
      </c>
      <c r="H22" s="994">
        <f t="shared" si="0"/>
        <v>208.81506389517691</v>
      </c>
      <c r="I22" s="994">
        <f t="shared" si="0"/>
        <v>5097.8259793288144</v>
      </c>
      <c r="J22" s="995">
        <f t="shared" si="0"/>
        <v>134770.91341872103</v>
      </c>
      <c r="K22" s="993">
        <f t="shared" si="0"/>
        <v>1657.7340127201101</v>
      </c>
      <c r="L22" s="993">
        <f t="shared" si="0"/>
        <v>14859.331932672078</v>
      </c>
      <c r="M22" s="994">
        <f t="shared" si="0"/>
        <v>100384.8526097976</v>
      </c>
      <c r="N22" s="994">
        <f t="shared" si="0"/>
        <v>2228.2700677604589</v>
      </c>
      <c r="O22" s="994">
        <f t="shared" si="0"/>
        <v>12848.720288570064</v>
      </c>
      <c r="P22" s="994">
        <f t="shared" si="0"/>
        <v>193.00010805867421</v>
      </c>
      <c r="Q22" s="994">
        <f t="shared" si="0"/>
        <v>2599.0180253481458</v>
      </c>
      <c r="R22" s="352"/>
      <c r="S22" s="352"/>
    </row>
    <row r="23" spans="1:21" s="996" customFormat="1" ht="21" customHeight="1">
      <c r="A23" s="849">
        <v>2024</v>
      </c>
      <c r="B23" s="850" t="s">
        <v>237</v>
      </c>
      <c r="C23" s="385">
        <v>3473.1929064668948</v>
      </c>
      <c r="D23" s="385">
        <v>7960.1859067998575</v>
      </c>
      <c r="E23" s="386">
        <v>106637.91374154188</v>
      </c>
      <c r="F23" s="386">
        <v>1553.8832035952694</v>
      </c>
      <c r="G23" s="386">
        <v>15445.989797481601</v>
      </c>
      <c r="H23" s="386">
        <v>160.45555923405672</v>
      </c>
      <c r="I23" s="386">
        <v>4039.0491074279557</v>
      </c>
      <c r="J23" s="634">
        <v>139270.67022254752</v>
      </c>
      <c r="K23" s="385">
        <v>1562.0492951033966</v>
      </c>
      <c r="L23" s="385">
        <v>13732.273228929542</v>
      </c>
      <c r="M23" s="386">
        <v>106172.44177421909</v>
      </c>
      <c r="N23" s="386">
        <v>960.29560277920689</v>
      </c>
      <c r="O23" s="386">
        <v>12448.737715169596</v>
      </c>
      <c r="P23" s="386">
        <v>74.14087668555301</v>
      </c>
      <c r="Q23" s="386">
        <v>4320.855690903124</v>
      </c>
      <c r="R23" s="352"/>
      <c r="S23" s="352"/>
    </row>
    <row r="24" spans="1:21" s="996" customFormat="1" ht="15" customHeight="1">
      <c r="A24" s="849"/>
      <c r="B24" s="850" t="s">
        <v>238</v>
      </c>
      <c r="C24" s="385">
        <v>2884.7480748278449</v>
      </c>
      <c r="D24" s="385">
        <v>7555.5940725590335</v>
      </c>
      <c r="E24" s="386">
        <v>106912.76468402578</v>
      </c>
      <c r="F24" s="386">
        <v>1919.2866174621922</v>
      </c>
      <c r="G24" s="386">
        <v>13244.704409527509</v>
      </c>
      <c r="H24" s="386">
        <v>146.88377747029662</v>
      </c>
      <c r="I24" s="386">
        <v>4234.143620108237</v>
      </c>
      <c r="J24" s="634">
        <v>136898.12525598088</v>
      </c>
      <c r="K24" s="385">
        <v>1705.6887065350084</v>
      </c>
      <c r="L24" s="385">
        <v>13616.075032143686</v>
      </c>
      <c r="M24" s="386">
        <v>104149.48140685979</v>
      </c>
      <c r="N24" s="386">
        <v>1174.2444873361969</v>
      </c>
      <c r="O24" s="386">
        <v>11357.087518921597</v>
      </c>
      <c r="P24" s="386">
        <v>75.230935495925991</v>
      </c>
      <c r="Q24" s="386">
        <v>4820.3349291121303</v>
      </c>
      <c r="R24" s="352"/>
      <c r="S24" s="352"/>
    </row>
    <row r="25" spans="1:21" s="996" customFormat="1" ht="21" customHeight="1">
      <c r="A25" s="849">
        <v>2025</v>
      </c>
      <c r="B25" s="850" t="s">
        <v>239</v>
      </c>
      <c r="C25" s="385">
        <v>2787.417884484169</v>
      </c>
      <c r="D25" s="385">
        <v>6103.6259169621007</v>
      </c>
      <c r="E25" s="386">
        <v>105655.94990485319</v>
      </c>
      <c r="F25" s="386">
        <v>2269.1955553820444</v>
      </c>
      <c r="G25" s="386">
        <v>13065.954480468463</v>
      </c>
      <c r="H25" s="386">
        <v>353.84010281843882</v>
      </c>
      <c r="I25" s="386">
        <v>7001.6619243956538</v>
      </c>
      <c r="J25" s="634">
        <v>137237.62576936404</v>
      </c>
      <c r="K25" s="385">
        <v>1688.755140568366</v>
      </c>
      <c r="L25" s="385">
        <v>11580.089224529016</v>
      </c>
      <c r="M25" s="386">
        <v>103620.98794747585</v>
      </c>
      <c r="N25" s="386">
        <v>2246.6701586319377</v>
      </c>
      <c r="O25" s="386">
        <v>11622.680644290886</v>
      </c>
      <c r="P25" s="386">
        <v>292.11893773313795</v>
      </c>
      <c r="Q25" s="386">
        <v>6186.2267250113227</v>
      </c>
      <c r="R25" s="352"/>
      <c r="S25" s="352"/>
    </row>
    <row r="26" spans="1:21" s="996" customFormat="1" ht="15" customHeight="1">
      <c r="A26" s="849"/>
      <c r="B26" s="850" t="s">
        <v>240</v>
      </c>
      <c r="C26" s="385">
        <v>3765.5622414047225</v>
      </c>
      <c r="D26" s="385">
        <v>6335.0317904754784</v>
      </c>
      <c r="E26" s="386">
        <v>104071.99194830316</v>
      </c>
      <c r="F26" s="386">
        <v>2084.7219757125931</v>
      </c>
      <c r="G26" s="386">
        <v>13661.946637634328</v>
      </c>
      <c r="H26" s="386">
        <v>334.58887163191076</v>
      </c>
      <c r="I26" s="386">
        <v>6261.7940769714223</v>
      </c>
      <c r="J26" s="634">
        <v>136515.63754213363</v>
      </c>
      <c r="K26" s="385">
        <v>1871.6504076387259</v>
      </c>
      <c r="L26" s="385">
        <v>11196.110642354088</v>
      </c>
      <c r="M26" s="386">
        <v>104273.55351390471</v>
      </c>
      <c r="N26" s="386">
        <v>2400.5979067840758</v>
      </c>
      <c r="O26" s="386">
        <v>12955.678320660794</v>
      </c>
      <c r="P26" s="386">
        <v>317.29268103411198</v>
      </c>
      <c r="Q26" s="386">
        <v>3500.6487098303419</v>
      </c>
      <c r="R26" s="352"/>
      <c r="S26" s="352"/>
    </row>
    <row r="27" spans="1:21" s="996" customFormat="1" ht="15" customHeight="1">
      <c r="A27" s="849"/>
      <c r="B27" s="850" t="s">
        <v>237</v>
      </c>
      <c r="C27" s="385">
        <v>3343.892463124816</v>
      </c>
      <c r="D27" s="385">
        <v>9811.2347342382927</v>
      </c>
      <c r="E27" s="386">
        <v>103420.10728501972</v>
      </c>
      <c r="F27" s="386">
        <v>1967.9535629711083</v>
      </c>
      <c r="G27" s="386">
        <v>14132.726329273666</v>
      </c>
      <c r="H27" s="386">
        <v>339.37965770357505</v>
      </c>
      <c r="I27" s="386">
        <v>6220.9096227715727</v>
      </c>
      <c r="J27" s="634">
        <v>139236.20365510276</v>
      </c>
      <c r="K27" s="385">
        <v>1633.7731909547276</v>
      </c>
      <c r="L27" s="385">
        <v>15455.899195688062</v>
      </c>
      <c r="M27" s="386">
        <v>103359.40289964953</v>
      </c>
      <c r="N27" s="386">
        <v>2400.5647126657632</v>
      </c>
      <c r="O27" s="386">
        <v>12424.016531274758</v>
      </c>
      <c r="P27" s="386">
        <v>366.38479906253076</v>
      </c>
      <c r="Q27" s="386">
        <v>3596.144499556975</v>
      </c>
      <c r="R27" s="352"/>
      <c r="S27" s="352"/>
    </row>
    <row r="28" spans="1:21" s="996" customFormat="1" ht="15" customHeight="1">
      <c r="A28" s="849"/>
      <c r="B28" s="850" t="s">
        <v>238</v>
      </c>
      <c r="C28" s="385">
        <f t="shared" ref="C28:Q28" si="1">C36</f>
        <v>3239.224315384125</v>
      </c>
      <c r="D28" s="385">
        <f t="shared" si="1"/>
        <v>8970.9561838400568</v>
      </c>
      <c r="E28" s="386">
        <f t="shared" si="1"/>
        <v>101879.5717950367</v>
      </c>
      <c r="F28" s="386">
        <f t="shared" si="1"/>
        <v>2030.8648105567247</v>
      </c>
      <c r="G28" s="386">
        <f t="shared" si="1"/>
        <v>13343.635270679442</v>
      </c>
      <c r="H28" s="386">
        <f t="shared" si="1"/>
        <v>208.81506389517691</v>
      </c>
      <c r="I28" s="386">
        <f t="shared" si="1"/>
        <v>5097.8259793288144</v>
      </c>
      <c r="J28" s="634">
        <f t="shared" si="1"/>
        <v>134770.91341872103</v>
      </c>
      <c r="K28" s="385">
        <f t="shared" si="1"/>
        <v>1657.7340127201101</v>
      </c>
      <c r="L28" s="385">
        <f t="shared" si="1"/>
        <v>14859.331932672078</v>
      </c>
      <c r="M28" s="386">
        <f t="shared" si="1"/>
        <v>100384.8526097976</v>
      </c>
      <c r="N28" s="386">
        <f t="shared" si="1"/>
        <v>2228.2700677604589</v>
      </c>
      <c r="O28" s="386">
        <f t="shared" si="1"/>
        <v>12848.720288570064</v>
      </c>
      <c r="P28" s="386">
        <f t="shared" si="1"/>
        <v>193.00010805867421</v>
      </c>
      <c r="Q28" s="386">
        <f t="shared" si="1"/>
        <v>2599.0180253481458</v>
      </c>
      <c r="R28" s="352"/>
      <c r="S28" s="352"/>
    </row>
    <row r="29" spans="1:21" s="996" customFormat="1" ht="21" customHeight="1">
      <c r="A29" s="849">
        <v>2026</v>
      </c>
      <c r="B29" s="850" t="s">
        <v>239</v>
      </c>
      <c r="C29" s="385">
        <f t="shared" ref="C29:Q29" si="2">C39</f>
        <v>3336.9428620441063</v>
      </c>
      <c r="D29" s="385">
        <f t="shared" si="2"/>
        <v>11406.39543042299</v>
      </c>
      <c r="E29" s="386">
        <f t="shared" si="2"/>
        <v>96410.297510393793</v>
      </c>
      <c r="F29" s="386">
        <f t="shared" si="2"/>
        <v>1855.6666004693905</v>
      </c>
      <c r="G29" s="386">
        <f t="shared" si="2"/>
        <v>13047.167087705791</v>
      </c>
      <c r="H29" s="386">
        <f t="shared" si="2"/>
        <v>254.66956878642489</v>
      </c>
      <c r="I29" s="386">
        <f t="shared" si="2"/>
        <v>6000.3529125565474</v>
      </c>
      <c r="J29" s="634">
        <f t="shared" si="2"/>
        <v>132311.59197237907</v>
      </c>
      <c r="K29" s="385">
        <f t="shared" si="2"/>
        <v>1726.3959865915447</v>
      </c>
      <c r="L29" s="385">
        <f t="shared" si="2"/>
        <v>16544.406226125706</v>
      </c>
      <c r="M29" s="386">
        <f t="shared" si="2"/>
        <v>96392.982842153157</v>
      </c>
      <c r="N29" s="386">
        <f t="shared" si="2"/>
        <v>2169.5298501602847</v>
      </c>
      <c r="O29" s="386">
        <f t="shared" si="2"/>
        <v>12483.884602842845</v>
      </c>
      <c r="P29" s="386">
        <f t="shared" si="2"/>
        <v>178.98248705657974</v>
      </c>
      <c r="Q29" s="386">
        <f t="shared" si="2"/>
        <v>2815.3835679271542</v>
      </c>
      <c r="R29" s="352"/>
      <c r="S29" s="352"/>
    </row>
    <row r="30" spans="1:21" s="996" customFormat="1" ht="15" customHeight="1">
      <c r="A30" s="991"/>
      <c r="B30" s="992" t="s">
        <v>240</v>
      </c>
      <c r="C30" s="993">
        <f t="shared" ref="C30:Q30" si="3">C42</f>
        <v>2536.2316956831164</v>
      </c>
      <c r="D30" s="993">
        <f t="shared" si="3"/>
        <v>11225.416556252318</v>
      </c>
      <c r="E30" s="994">
        <f t="shared" si="3"/>
        <v>92389.665028429125</v>
      </c>
      <c r="F30" s="994">
        <f t="shared" si="3"/>
        <v>1836.4553266231858</v>
      </c>
      <c r="G30" s="994">
        <f t="shared" si="3"/>
        <v>12011.059078893079</v>
      </c>
      <c r="H30" s="994">
        <f t="shared" si="3"/>
        <v>184.52499190766781</v>
      </c>
      <c r="I30" s="994">
        <f t="shared" si="3"/>
        <v>5995.5041266840844</v>
      </c>
      <c r="J30" s="995">
        <f t="shared" si="3"/>
        <v>126178.8568044726</v>
      </c>
      <c r="K30" s="993">
        <f t="shared" si="3"/>
        <v>2075.240061671831</v>
      </c>
      <c r="L30" s="993">
        <f t="shared" si="3"/>
        <v>15896.067948012394</v>
      </c>
      <c r="M30" s="994">
        <f t="shared" si="3"/>
        <v>92936.590928145568</v>
      </c>
      <c r="N30" s="994">
        <f t="shared" si="3"/>
        <v>2039.8165929854636</v>
      </c>
      <c r="O30" s="994">
        <f t="shared" si="3"/>
        <v>10624.598916045314</v>
      </c>
      <c r="P30" s="994">
        <f t="shared" si="3"/>
        <v>172.56577382602958</v>
      </c>
      <c r="Q30" s="994">
        <f t="shared" si="3"/>
        <v>2434.0199021542617</v>
      </c>
      <c r="R30" s="352"/>
      <c r="S30" s="352"/>
    </row>
    <row r="31" spans="1:21" s="597" customFormat="1" ht="21" customHeight="1">
      <c r="A31" s="849">
        <v>2025</v>
      </c>
      <c r="B31" s="850" t="s">
        <v>420</v>
      </c>
      <c r="C31" s="385">
        <v>3723.0696015881358</v>
      </c>
      <c r="D31" s="385">
        <v>6019.5007261315013</v>
      </c>
      <c r="E31" s="386">
        <v>98278.213218841629</v>
      </c>
      <c r="F31" s="386">
        <v>1903.4584297470228</v>
      </c>
      <c r="G31" s="386">
        <v>13193.137305824335</v>
      </c>
      <c r="H31" s="386">
        <v>322.6589761071869</v>
      </c>
      <c r="I31" s="386">
        <v>6330.3753888654383</v>
      </c>
      <c r="J31" s="634">
        <v>129770.46364710524</v>
      </c>
      <c r="K31" s="385">
        <v>1822.7266831542042</v>
      </c>
      <c r="L31" s="385">
        <v>11163.509113474474</v>
      </c>
      <c r="M31" s="386">
        <v>98017.229589237948</v>
      </c>
      <c r="N31" s="386">
        <v>2332.9843249489918</v>
      </c>
      <c r="O31" s="386">
        <v>12424.422404951374</v>
      </c>
      <c r="P31" s="386">
        <v>248.35508780452901</v>
      </c>
      <c r="Q31" s="386">
        <v>3761.2627973805857</v>
      </c>
      <c r="R31" s="352"/>
      <c r="S31" s="352"/>
      <c r="T31" s="180"/>
      <c r="U31" s="180"/>
    </row>
    <row r="32" spans="1:21" s="597" customFormat="1" ht="18" customHeight="1">
      <c r="A32" s="849"/>
      <c r="B32" s="850" t="s">
        <v>421</v>
      </c>
      <c r="C32" s="385">
        <v>3529.8221642385138</v>
      </c>
      <c r="D32" s="385">
        <v>7120.1631935929991</v>
      </c>
      <c r="E32" s="386">
        <v>96180.721698971087</v>
      </c>
      <c r="F32" s="386">
        <v>1958.8118915988991</v>
      </c>
      <c r="G32" s="386">
        <v>13699.178971123141</v>
      </c>
      <c r="H32" s="386">
        <v>328.09488289627416</v>
      </c>
      <c r="I32" s="386">
        <v>6282.503648317349</v>
      </c>
      <c r="J32" s="634">
        <v>129099.29645073824</v>
      </c>
      <c r="K32" s="385">
        <v>1789.1709873090017</v>
      </c>
      <c r="L32" s="385">
        <v>12173.107163425731</v>
      </c>
      <c r="M32" s="386">
        <v>95942.659873852142</v>
      </c>
      <c r="N32" s="386">
        <v>2392.2988801282845</v>
      </c>
      <c r="O32" s="386">
        <v>12794.883099014734</v>
      </c>
      <c r="P32" s="386">
        <v>253.60658962477154</v>
      </c>
      <c r="Q32" s="386">
        <v>3753.5020796085751</v>
      </c>
      <c r="R32" s="352"/>
      <c r="S32" s="352"/>
      <c r="T32" s="180"/>
      <c r="U32" s="180"/>
    </row>
    <row r="33" spans="1:21" s="597" customFormat="1" ht="18" customHeight="1">
      <c r="A33" s="849"/>
      <c r="B33" s="850" t="s">
        <v>422</v>
      </c>
      <c r="C33" s="385">
        <v>3343.892463124816</v>
      </c>
      <c r="D33" s="385">
        <v>9811.2347342382927</v>
      </c>
      <c r="E33" s="386">
        <v>103420.10728501972</v>
      </c>
      <c r="F33" s="386">
        <v>1967.9535629711083</v>
      </c>
      <c r="G33" s="386">
        <v>14132.726329273666</v>
      </c>
      <c r="H33" s="386">
        <v>339.37965770357505</v>
      </c>
      <c r="I33" s="386">
        <v>6220.9096227715727</v>
      </c>
      <c r="J33" s="634">
        <v>139236.20365510276</v>
      </c>
      <c r="K33" s="385">
        <v>1633.7731909547276</v>
      </c>
      <c r="L33" s="385">
        <v>15455.899195688062</v>
      </c>
      <c r="M33" s="386">
        <v>103359.40289964953</v>
      </c>
      <c r="N33" s="386">
        <v>2400.5647126657632</v>
      </c>
      <c r="O33" s="386">
        <v>12424.016531274758</v>
      </c>
      <c r="P33" s="386">
        <v>366.38479906253076</v>
      </c>
      <c r="Q33" s="386">
        <v>3596.144499556975</v>
      </c>
      <c r="R33" s="352"/>
      <c r="S33" s="352"/>
      <c r="T33" s="180"/>
      <c r="U33" s="180"/>
    </row>
    <row r="34" spans="1:21" s="597" customFormat="1" ht="18" customHeight="1">
      <c r="A34" s="849"/>
      <c r="B34" s="850" t="s">
        <v>411</v>
      </c>
      <c r="C34" s="385">
        <v>3452.0656222959278</v>
      </c>
      <c r="D34" s="385">
        <v>9576.274048252888</v>
      </c>
      <c r="E34" s="386">
        <v>100216.49915839404</v>
      </c>
      <c r="F34" s="386">
        <v>1780.1946317096281</v>
      </c>
      <c r="G34" s="386">
        <v>13496.60725400951</v>
      </c>
      <c r="H34" s="386">
        <v>335.11387090705466</v>
      </c>
      <c r="I34" s="386">
        <v>6166.1932068268379</v>
      </c>
      <c r="J34" s="634">
        <v>135022.9577923959</v>
      </c>
      <c r="K34" s="385">
        <v>1718.6385070228321</v>
      </c>
      <c r="L34" s="385">
        <v>14660.458105242134</v>
      </c>
      <c r="M34" s="386">
        <v>100149.64722102387</v>
      </c>
      <c r="N34" s="386">
        <v>2197.6557289146685</v>
      </c>
      <c r="O34" s="386">
        <v>12529.072124199618</v>
      </c>
      <c r="P34" s="386">
        <v>288.35900440267432</v>
      </c>
      <c r="Q34" s="386">
        <v>3479.0617059061569</v>
      </c>
      <c r="R34" s="352"/>
      <c r="S34" s="352"/>
      <c r="T34" s="180"/>
      <c r="U34" s="180"/>
    </row>
    <row r="35" spans="1:21" s="597" customFormat="1" ht="18" customHeight="1">
      <c r="A35" s="849"/>
      <c r="B35" s="850" t="s">
        <v>412</v>
      </c>
      <c r="C35" s="385">
        <v>3451.2841740145395</v>
      </c>
      <c r="D35" s="385">
        <v>9792.2521844423572</v>
      </c>
      <c r="E35" s="386">
        <v>100348.60522467615</v>
      </c>
      <c r="F35" s="386">
        <v>1858.414746118139</v>
      </c>
      <c r="G35" s="386">
        <v>13143.729564773972</v>
      </c>
      <c r="H35" s="386">
        <v>325.41256265315832</v>
      </c>
      <c r="I35" s="386">
        <v>6227.1335086000072</v>
      </c>
      <c r="J35" s="634">
        <v>135146.83196527834</v>
      </c>
      <c r="K35" s="385">
        <v>1691.2796383712832</v>
      </c>
      <c r="L35" s="385">
        <v>14652.337710375803</v>
      </c>
      <c r="M35" s="386">
        <v>99999.811972109397</v>
      </c>
      <c r="N35" s="386">
        <v>2267.8397441731895</v>
      </c>
      <c r="O35" s="386">
        <v>12432.768708468502</v>
      </c>
      <c r="P35" s="386">
        <v>290.61335564697714</v>
      </c>
      <c r="Q35" s="386">
        <v>3812.1944855896768</v>
      </c>
      <c r="R35" s="352"/>
      <c r="S35" s="352"/>
      <c r="T35" s="180"/>
      <c r="U35" s="180"/>
    </row>
    <row r="36" spans="1:21" s="597" customFormat="1" ht="18" customHeight="1">
      <c r="A36" s="849"/>
      <c r="B36" s="850" t="s">
        <v>413</v>
      </c>
      <c r="C36" s="385">
        <v>3239.224315384125</v>
      </c>
      <c r="D36" s="385">
        <v>8970.9561838400568</v>
      </c>
      <c r="E36" s="386">
        <v>101879.5717950367</v>
      </c>
      <c r="F36" s="386">
        <v>2030.8648105567247</v>
      </c>
      <c r="G36" s="386">
        <v>13343.635270679442</v>
      </c>
      <c r="H36" s="386">
        <v>208.81506389517691</v>
      </c>
      <c r="I36" s="386">
        <v>5097.8259793288144</v>
      </c>
      <c r="J36" s="634">
        <v>134770.91341872103</v>
      </c>
      <c r="K36" s="385">
        <v>1657.7340127201101</v>
      </c>
      <c r="L36" s="385">
        <v>14859.331932672078</v>
      </c>
      <c r="M36" s="386">
        <v>100384.8526097976</v>
      </c>
      <c r="N36" s="386">
        <v>2228.2700677604589</v>
      </c>
      <c r="O36" s="386">
        <v>12848.720288570064</v>
      </c>
      <c r="P36" s="386">
        <v>193.00010805867421</v>
      </c>
      <c r="Q36" s="386">
        <v>2599.0180253481458</v>
      </c>
      <c r="R36" s="352"/>
      <c r="S36" s="352"/>
      <c r="T36" s="180"/>
      <c r="U36" s="180"/>
    </row>
    <row r="37" spans="1:21" s="597" customFormat="1" ht="21" customHeight="1">
      <c r="A37" s="849">
        <v>2026</v>
      </c>
      <c r="B37" s="850" t="s">
        <v>414</v>
      </c>
      <c r="C37" s="385">
        <v>3791.4476384410509</v>
      </c>
      <c r="D37" s="385">
        <v>10438.205776547435</v>
      </c>
      <c r="E37" s="386">
        <v>94351.789051037384</v>
      </c>
      <c r="F37" s="386">
        <v>1856.57751953708</v>
      </c>
      <c r="G37" s="386">
        <v>13758.612144076935</v>
      </c>
      <c r="H37" s="386">
        <v>266.90872919049741</v>
      </c>
      <c r="I37" s="386">
        <v>5413.2508166313983</v>
      </c>
      <c r="J37" s="634">
        <v>129876.79167546176</v>
      </c>
      <c r="K37" s="385">
        <v>1248.7207574429804</v>
      </c>
      <c r="L37" s="385">
        <v>15310.276252660489</v>
      </c>
      <c r="M37" s="386">
        <v>94643.917631546341</v>
      </c>
      <c r="N37" s="386">
        <v>2258.9232624559081</v>
      </c>
      <c r="O37" s="386">
        <v>13075.962289317882</v>
      </c>
      <c r="P37" s="386">
        <v>221.57992484440828</v>
      </c>
      <c r="Q37" s="386">
        <v>3117.4485939070628</v>
      </c>
      <c r="R37" s="352"/>
      <c r="S37" s="352"/>
      <c r="T37" s="180"/>
      <c r="U37" s="180"/>
    </row>
    <row r="38" spans="1:21" s="597" customFormat="1" ht="18" customHeight="1">
      <c r="A38" s="849"/>
      <c r="B38" s="850" t="s">
        <v>415</v>
      </c>
      <c r="C38" s="385">
        <v>3754.3775012566634</v>
      </c>
      <c r="D38" s="385">
        <v>10473.815234221482</v>
      </c>
      <c r="E38" s="386">
        <v>90972.896590610544</v>
      </c>
      <c r="F38" s="386">
        <v>2221.6943904181785</v>
      </c>
      <c r="G38" s="386">
        <v>13479.356542708587</v>
      </c>
      <c r="H38" s="386">
        <v>252.44007781101561</v>
      </c>
      <c r="I38" s="386">
        <v>6460.5832467670107</v>
      </c>
      <c r="J38" s="634">
        <v>127615.15358379345</v>
      </c>
      <c r="K38" s="385">
        <v>1795.186005973959</v>
      </c>
      <c r="L38" s="385">
        <v>15937.935735306692</v>
      </c>
      <c r="M38" s="386">
        <v>91530.765133346707</v>
      </c>
      <c r="N38" s="386">
        <v>2193.9308828083763</v>
      </c>
      <c r="O38" s="386">
        <v>12676.60777855068</v>
      </c>
      <c r="P38" s="386">
        <v>181.75033758138144</v>
      </c>
      <c r="Q38" s="386">
        <v>3298.9681318453463</v>
      </c>
      <c r="R38" s="352"/>
      <c r="S38" s="352"/>
      <c r="T38" s="180"/>
      <c r="U38" s="180"/>
    </row>
    <row r="39" spans="1:21" s="597" customFormat="1" ht="18" customHeight="1">
      <c r="A39" s="849"/>
      <c r="B39" s="850" t="s">
        <v>416</v>
      </c>
      <c r="C39" s="385">
        <v>3336.9428620441063</v>
      </c>
      <c r="D39" s="385">
        <v>11406.39543042299</v>
      </c>
      <c r="E39" s="386">
        <v>96410.297510393793</v>
      </c>
      <c r="F39" s="386">
        <v>1855.6666004693905</v>
      </c>
      <c r="G39" s="386">
        <v>13047.167087705791</v>
      </c>
      <c r="H39" s="386">
        <v>254.66956878642489</v>
      </c>
      <c r="I39" s="386">
        <v>6000.3529125565474</v>
      </c>
      <c r="J39" s="634">
        <v>132311.59197237907</v>
      </c>
      <c r="K39" s="385">
        <v>1726.3959865915447</v>
      </c>
      <c r="L39" s="385">
        <v>16544.406226125706</v>
      </c>
      <c r="M39" s="386">
        <v>96392.982842153157</v>
      </c>
      <c r="N39" s="386">
        <v>2169.5298501602847</v>
      </c>
      <c r="O39" s="386">
        <v>12483.884602842845</v>
      </c>
      <c r="P39" s="386">
        <v>178.98248705657974</v>
      </c>
      <c r="Q39" s="386">
        <v>2815.3835679271542</v>
      </c>
      <c r="R39" s="352"/>
      <c r="S39" s="352"/>
      <c r="T39" s="180"/>
      <c r="U39" s="180"/>
    </row>
    <row r="40" spans="1:21" s="597" customFormat="1" ht="18" customHeight="1">
      <c r="A40" s="849"/>
      <c r="B40" s="850" t="s">
        <v>417</v>
      </c>
      <c r="C40" s="385">
        <v>3046.2674321609611</v>
      </c>
      <c r="D40" s="385">
        <v>10544.795995983264</v>
      </c>
      <c r="E40" s="386">
        <v>93673.640596855403</v>
      </c>
      <c r="F40" s="386">
        <v>1848.8874986476101</v>
      </c>
      <c r="G40" s="386">
        <v>13269.168355017669</v>
      </c>
      <c r="H40" s="386">
        <v>215.24835263856579</v>
      </c>
      <c r="I40" s="386">
        <v>6079.5460801611489</v>
      </c>
      <c r="J40" s="634">
        <v>128677.54431146463</v>
      </c>
      <c r="K40" s="385">
        <v>1968.0606999693975</v>
      </c>
      <c r="L40" s="385">
        <v>15779.897585551847</v>
      </c>
      <c r="M40" s="386">
        <v>93414.279238689633</v>
      </c>
      <c r="N40" s="386">
        <v>2163.3047885366786</v>
      </c>
      <c r="O40" s="386">
        <v>12438.185931671787</v>
      </c>
      <c r="P40" s="386">
        <v>199.31830358186798</v>
      </c>
      <c r="Q40" s="386">
        <v>2714.4452617390743</v>
      </c>
      <c r="R40" s="352"/>
      <c r="S40" s="352"/>
      <c r="T40" s="180"/>
      <c r="U40" s="180"/>
    </row>
    <row r="41" spans="1:21" s="597" customFormat="1" ht="18" customHeight="1">
      <c r="A41" s="849"/>
      <c r="B41" s="850" t="s">
        <v>418</v>
      </c>
      <c r="C41" s="385">
        <v>2539.5610531439338</v>
      </c>
      <c r="D41" s="385">
        <v>10608.341139593525</v>
      </c>
      <c r="E41" s="386">
        <v>92724.372033517284</v>
      </c>
      <c r="F41" s="386">
        <v>1876.9633693557914</v>
      </c>
      <c r="G41" s="386">
        <v>12157.681385341397</v>
      </c>
      <c r="H41" s="386">
        <v>188.02551672591403</v>
      </c>
      <c r="I41" s="386">
        <v>6640.3479311106812</v>
      </c>
      <c r="J41" s="634">
        <v>126735.29242878853</v>
      </c>
      <c r="K41" s="385">
        <v>2006.2838790019021</v>
      </c>
      <c r="L41" s="385">
        <v>15562.86614798864</v>
      </c>
      <c r="M41" s="386">
        <v>92809.064338787473</v>
      </c>
      <c r="N41" s="386">
        <v>2025.0357649323701</v>
      </c>
      <c r="O41" s="386">
        <v>11230.476901787966</v>
      </c>
      <c r="P41" s="386">
        <v>175.50199066953678</v>
      </c>
      <c r="Q41" s="386">
        <v>2926.0349618337677</v>
      </c>
      <c r="R41" s="352"/>
      <c r="S41" s="352"/>
      <c r="T41" s="180"/>
      <c r="U41" s="180"/>
    </row>
    <row r="42" spans="1:21" s="597" customFormat="1" ht="18" customHeight="1">
      <c r="A42" s="849"/>
      <c r="B42" s="850" t="s">
        <v>419</v>
      </c>
      <c r="C42" s="385">
        <v>2536.2316956831164</v>
      </c>
      <c r="D42" s="385">
        <v>11225.416556252318</v>
      </c>
      <c r="E42" s="386">
        <v>92389.665028429125</v>
      </c>
      <c r="F42" s="386">
        <v>1836.4553266231858</v>
      </c>
      <c r="G42" s="386">
        <v>12011.059078893079</v>
      </c>
      <c r="H42" s="386">
        <v>184.52499190766781</v>
      </c>
      <c r="I42" s="386">
        <v>5995.5041266840844</v>
      </c>
      <c r="J42" s="634">
        <v>126178.8568044726</v>
      </c>
      <c r="K42" s="385">
        <v>2075.240061671831</v>
      </c>
      <c r="L42" s="385">
        <v>15896.067948012394</v>
      </c>
      <c r="M42" s="386">
        <v>92936.590928145568</v>
      </c>
      <c r="N42" s="386">
        <v>2039.8165929854636</v>
      </c>
      <c r="O42" s="386">
        <v>10624.598916045314</v>
      </c>
      <c r="P42" s="386">
        <v>172.56577382602958</v>
      </c>
      <c r="Q42" s="386">
        <v>2434.0199021542617</v>
      </c>
      <c r="R42" s="352"/>
      <c r="S42" s="352"/>
      <c r="T42" s="180"/>
      <c r="U42" s="180"/>
    </row>
    <row r="43" spans="1:21" s="597" customFormat="1" ht="18" customHeight="1">
      <c r="A43" s="849"/>
      <c r="B43" s="850" t="s">
        <v>420</v>
      </c>
      <c r="C43" s="385">
        <v>2619.6594677638145</v>
      </c>
      <c r="D43" s="385">
        <v>10774.631685763492</v>
      </c>
      <c r="E43" s="386">
        <v>90445.535587375605</v>
      </c>
      <c r="F43" s="386">
        <v>1911.8962157685628</v>
      </c>
      <c r="G43" s="386">
        <v>11879.865899871933</v>
      </c>
      <c r="H43" s="386">
        <v>220.94205709781076</v>
      </c>
      <c r="I43" s="386">
        <v>5782.3248736987325</v>
      </c>
      <c r="J43" s="634">
        <v>123634.82578733996</v>
      </c>
      <c r="K43" s="385">
        <v>2073.0252672458382</v>
      </c>
      <c r="L43" s="385">
        <v>15496.821528171953</v>
      </c>
      <c r="M43" s="386">
        <v>91776.93536470845</v>
      </c>
      <c r="N43" s="386">
        <v>2125.2167217185192</v>
      </c>
      <c r="O43" s="386">
        <v>9618.1215853507911</v>
      </c>
      <c r="P43" s="386">
        <v>215.06663667899358</v>
      </c>
      <c r="Q43" s="386">
        <v>2329.6573548181632</v>
      </c>
      <c r="R43" s="352"/>
      <c r="S43" s="352"/>
      <c r="T43" s="180"/>
      <c r="U43" s="180"/>
    </row>
    <row r="44" spans="1:21" ht="20.25" customHeight="1">
      <c r="A44" s="253" t="s">
        <v>930</v>
      </c>
      <c r="B44" s="1713"/>
      <c r="C44" s="1713"/>
      <c r="D44" s="1713"/>
      <c r="E44" s="380"/>
      <c r="F44" s="380"/>
      <c r="G44" s="380"/>
      <c r="H44" s="380"/>
      <c r="I44" s="380"/>
      <c r="J44" s="380"/>
      <c r="K44" s="1738"/>
      <c r="L44" s="380"/>
      <c r="M44" s="380"/>
      <c r="N44" s="380"/>
      <c r="O44" s="380"/>
      <c r="P44" s="380"/>
      <c r="Q44" s="568" t="s">
        <v>931</v>
      </c>
    </row>
    <row r="45" spans="1:21" ht="20.25" customHeight="1">
      <c r="A45" s="306"/>
      <c r="Q45" s="365"/>
    </row>
    <row r="46" spans="1:21" ht="20.25" customHeight="1">
      <c r="A46" s="306"/>
      <c r="Q46" s="365"/>
    </row>
    <row r="47" spans="1:21" s="180" customFormat="1" ht="15">
      <c r="A47" s="276" t="s">
        <v>1040</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8"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3">
    <pageSetUpPr fitToPage="1"/>
  </sheetPr>
  <dimension ref="A1:S49"/>
  <sheetViews>
    <sheetView zoomScale="75" zoomScaleNormal="75" workbookViewId="0">
      <pane ySplit="12" topLeftCell="A40" activePane="bottomLeft" state="frozen"/>
      <selection activeCell="B2" sqref="B2"/>
      <selection pane="bottomLeft" activeCell="L44" sqref="L44"/>
    </sheetView>
  </sheetViews>
  <sheetFormatPr defaultColWidth="8.77734375" defaultRowHeight="13.2"/>
  <cols>
    <col min="1" max="2" width="9.77734375" style="1413" customWidth="1"/>
    <col min="3" max="3" width="9.21875" style="1413" customWidth="1"/>
    <col min="4" max="4" width="12.77734375" style="1413" customWidth="1"/>
    <col min="5" max="5" width="14.77734375" style="1413" customWidth="1"/>
    <col min="6" max="6" width="12" style="1413" customWidth="1"/>
    <col min="7" max="7" width="11.77734375" style="1413" customWidth="1"/>
    <col min="8" max="8" width="12.21875" style="1413" customWidth="1"/>
    <col min="9" max="9" width="12.77734375" style="1413" customWidth="1"/>
    <col min="10" max="10" width="14.77734375" style="1413" customWidth="1"/>
    <col min="11" max="11" width="11.77734375" style="1413" customWidth="1"/>
    <col min="12" max="12" width="13.21875" style="1413" customWidth="1"/>
    <col min="13" max="13" width="11" style="1413" customWidth="1"/>
    <col min="14" max="14" width="11.21875" style="1413" customWidth="1"/>
    <col min="15" max="15" width="11.77734375" style="1413" customWidth="1"/>
    <col min="16" max="16" width="10.77734375" style="1413" customWidth="1"/>
    <col min="17" max="16384" width="8.77734375" style="1413"/>
  </cols>
  <sheetData>
    <row r="1" spans="1:19" s="8" customFormat="1" ht="18" customHeight="1">
      <c r="A1" s="1717" t="s">
        <v>1755</v>
      </c>
      <c r="B1" s="1716"/>
      <c r="C1" s="1716"/>
      <c r="D1" s="1716"/>
      <c r="E1" s="1716"/>
      <c r="F1" s="1716"/>
      <c r="G1" s="1716"/>
      <c r="H1" s="1716"/>
      <c r="I1" s="1716"/>
      <c r="J1" s="1716"/>
      <c r="K1" s="1716"/>
      <c r="L1" s="1716"/>
      <c r="M1" s="1716"/>
      <c r="N1" s="1716"/>
      <c r="O1" s="1716"/>
      <c r="P1" s="1716"/>
    </row>
    <row r="2" spans="1:19" s="8" customFormat="1" ht="18" customHeight="1">
      <c r="A2" s="1715" t="s">
        <v>1041</v>
      </c>
      <c r="B2" s="1716"/>
      <c r="C2" s="1716"/>
      <c r="D2" s="1716"/>
      <c r="E2" s="1716"/>
      <c r="F2" s="1716"/>
      <c r="G2" s="1716"/>
      <c r="H2" s="1716"/>
      <c r="I2" s="1716"/>
      <c r="J2" s="1716"/>
      <c r="K2" s="1716"/>
      <c r="L2" s="1716"/>
      <c r="M2" s="1716"/>
      <c r="N2" s="1716"/>
      <c r="O2" s="1716"/>
      <c r="P2" s="1716"/>
    </row>
    <row r="3" spans="1:19" s="8" customFormat="1" ht="18" customHeight="1">
      <c r="A3" s="1717" t="s">
        <v>1042</v>
      </c>
      <c r="B3" s="1716"/>
      <c r="C3" s="1716"/>
      <c r="D3" s="1716"/>
      <c r="E3" s="1716"/>
      <c r="F3" s="1716"/>
      <c r="G3" s="1716"/>
      <c r="H3" s="1716"/>
      <c r="I3" s="1716"/>
      <c r="J3" s="1716"/>
      <c r="K3" s="1716"/>
      <c r="L3" s="1716"/>
      <c r="M3" s="1716"/>
      <c r="N3" s="1716"/>
      <c r="O3" s="1716"/>
      <c r="P3" s="1716"/>
    </row>
    <row r="4" spans="1:19" s="8" customFormat="1" ht="18" customHeight="1">
      <c r="A4" s="1717" t="s">
        <v>372</v>
      </c>
      <c r="B4" s="1716"/>
      <c r="C4" s="1716"/>
      <c r="D4" s="1716"/>
      <c r="E4" s="1716"/>
      <c r="F4" s="1716"/>
      <c r="G4" s="1716"/>
      <c r="H4" s="1716"/>
      <c r="I4" s="1716"/>
      <c r="J4" s="1716"/>
      <c r="K4" s="1716"/>
      <c r="L4" s="1716"/>
      <c r="M4" s="1716"/>
      <c r="N4" s="1716"/>
      <c r="O4" s="1716"/>
      <c r="P4" s="1716"/>
    </row>
    <row r="5" spans="1:19" s="25" customFormat="1" ht="20.25" customHeight="1">
      <c r="A5" s="16" t="s">
        <v>371</v>
      </c>
      <c r="B5" s="4"/>
      <c r="C5" s="3"/>
      <c r="D5" s="3"/>
      <c r="E5" s="3"/>
      <c r="F5" s="3"/>
      <c r="G5" s="3"/>
      <c r="H5" s="3"/>
      <c r="I5" s="3"/>
      <c r="J5" s="3"/>
      <c r="K5" s="3"/>
      <c r="L5" s="3"/>
      <c r="M5" s="3"/>
      <c r="N5" s="3"/>
      <c r="O5" s="3"/>
      <c r="P5" s="3"/>
    </row>
    <row r="6" spans="1:19" ht="13.8" customHeight="1">
      <c r="A6" s="8" t="s">
        <v>752</v>
      </c>
      <c r="O6" s="8"/>
      <c r="P6" s="8" t="s">
        <v>753</v>
      </c>
    </row>
    <row r="7" spans="1:19" s="41" customFormat="1" ht="23.25" customHeight="1">
      <c r="A7" s="44"/>
      <c r="B7" s="45"/>
      <c r="C7" s="1730" t="s">
        <v>492</v>
      </c>
      <c r="D7" s="40"/>
      <c r="E7" s="123"/>
      <c r="F7" s="123"/>
      <c r="G7" s="1731"/>
      <c r="H7" s="1732" t="s">
        <v>986</v>
      </c>
      <c r="I7" s="1733" t="s">
        <v>987</v>
      </c>
      <c r="J7" s="40"/>
      <c r="K7" s="123"/>
      <c r="L7" s="123"/>
      <c r="M7" s="1731"/>
      <c r="N7" s="1734" t="s">
        <v>988</v>
      </c>
      <c r="O7" s="1721"/>
      <c r="P7" s="1721"/>
    </row>
    <row r="8" spans="1:19" s="39" customFormat="1" ht="16.5" customHeight="1">
      <c r="A8" s="370" t="s">
        <v>379</v>
      </c>
      <c r="B8" s="81"/>
      <c r="D8" s="270" t="s">
        <v>989</v>
      </c>
      <c r="E8" s="270" t="s">
        <v>989</v>
      </c>
      <c r="F8" s="270" t="s">
        <v>989</v>
      </c>
      <c r="H8" s="270"/>
      <c r="I8" s="270" t="s">
        <v>989</v>
      </c>
      <c r="J8" s="270" t="s">
        <v>989</v>
      </c>
      <c r="K8" s="371"/>
      <c r="L8" s="372" t="s">
        <v>990</v>
      </c>
      <c r="N8" s="371"/>
      <c r="O8" s="270" t="s">
        <v>429</v>
      </c>
      <c r="P8" s="270" t="s">
        <v>991</v>
      </c>
    </row>
    <row r="9" spans="1:19" s="39" customFormat="1" ht="16.5" customHeight="1">
      <c r="A9" s="62" t="s">
        <v>387</v>
      </c>
      <c r="B9" s="74"/>
      <c r="C9" s="270" t="s">
        <v>771</v>
      </c>
      <c r="D9" s="79" t="s">
        <v>431</v>
      </c>
      <c r="E9" s="271" t="s">
        <v>811</v>
      </c>
      <c r="F9" s="95" t="s">
        <v>390</v>
      </c>
      <c r="G9" s="270" t="s">
        <v>391</v>
      </c>
      <c r="H9" s="270" t="s">
        <v>382</v>
      </c>
      <c r="I9" s="79" t="s">
        <v>431</v>
      </c>
      <c r="J9" s="271" t="s">
        <v>811</v>
      </c>
      <c r="K9" s="270" t="s">
        <v>777</v>
      </c>
      <c r="L9" s="372" t="s">
        <v>992</v>
      </c>
      <c r="M9" s="270" t="s">
        <v>391</v>
      </c>
      <c r="N9" s="373" t="s">
        <v>382</v>
      </c>
      <c r="O9" s="63" t="s">
        <v>372</v>
      </c>
      <c r="P9" s="63" t="s">
        <v>993</v>
      </c>
    </row>
    <row r="10" spans="1:19" s="39" customFormat="1" ht="16.5" customHeight="1">
      <c r="A10" s="82"/>
      <c r="B10" s="74"/>
      <c r="C10" s="374" t="s">
        <v>774</v>
      </c>
      <c r="D10" s="107" t="s">
        <v>994</v>
      </c>
      <c r="E10" s="107" t="s">
        <v>994</v>
      </c>
      <c r="F10" s="107" t="s">
        <v>994</v>
      </c>
      <c r="G10" s="228" t="s">
        <v>995</v>
      </c>
      <c r="H10" s="374" t="s">
        <v>392</v>
      </c>
      <c r="I10" s="107" t="s">
        <v>994</v>
      </c>
      <c r="J10" s="107" t="s">
        <v>994</v>
      </c>
      <c r="K10" s="228" t="s">
        <v>784</v>
      </c>
      <c r="L10" s="375" t="s">
        <v>996</v>
      </c>
      <c r="M10" s="228" t="s">
        <v>995</v>
      </c>
      <c r="N10" s="376" t="s">
        <v>392</v>
      </c>
      <c r="O10" s="374" t="s">
        <v>392</v>
      </c>
      <c r="P10" s="374" t="s">
        <v>997</v>
      </c>
    </row>
    <row r="11" spans="1:19" s="39" customFormat="1" ht="16.5" customHeight="1">
      <c r="A11" s="82"/>
      <c r="B11" s="74"/>
      <c r="C11" s="374"/>
      <c r="D11" s="107" t="s">
        <v>998</v>
      </c>
      <c r="E11" s="107" t="s">
        <v>999</v>
      </c>
      <c r="F11" s="107" t="s">
        <v>1000</v>
      </c>
      <c r="G11" s="228"/>
      <c r="H11" s="228"/>
      <c r="I11" s="107" t="s">
        <v>998</v>
      </c>
      <c r="J11" s="107" t="s">
        <v>999</v>
      </c>
      <c r="K11" s="75"/>
      <c r="L11" s="375" t="s">
        <v>1001</v>
      </c>
      <c r="M11" s="228"/>
      <c r="N11" s="377"/>
      <c r="O11" s="228" t="s">
        <v>371</v>
      </c>
      <c r="P11" s="228" t="s">
        <v>740</v>
      </c>
    </row>
    <row r="12" spans="1:19" s="39" customFormat="1" ht="16.5" customHeight="1">
      <c r="A12" s="87"/>
      <c r="B12" s="98"/>
      <c r="C12" s="378"/>
      <c r="D12" s="139" t="s">
        <v>782</v>
      </c>
      <c r="E12" s="379" t="s">
        <v>409</v>
      </c>
      <c r="F12" s="139"/>
      <c r="G12" s="138"/>
      <c r="H12" s="138"/>
      <c r="I12" s="139"/>
      <c r="J12" s="379" t="s">
        <v>409</v>
      </c>
      <c r="K12" s="130"/>
      <c r="L12" s="139"/>
      <c r="M12" s="138"/>
      <c r="N12" s="230"/>
      <c r="O12" s="138" t="s">
        <v>781</v>
      </c>
      <c r="P12" s="138" t="s">
        <v>1002</v>
      </c>
    </row>
    <row r="13" spans="1:19" s="306" customFormat="1" ht="20.25" customHeight="1">
      <c r="A13" s="405">
        <v>2016</v>
      </c>
      <c r="B13" s="497"/>
      <c r="C13" s="1722">
        <v>120.22797464935482</v>
      </c>
      <c r="D13" s="1722">
        <v>4105.3350049019009</v>
      </c>
      <c r="E13" s="1724">
        <v>9137.0684017827225</v>
      </c>
      <c r="F13" s="1724">
        <v>1934.1422542546011</v>
      </c>
      <c r="G13" s="1724">
        <v>1619.2007948840751</v>
      </c>
      <c r="H13" s="1724">
        <v>16915.944430472653</v>
      </c>
      <c r="I13" s="1722">
        <v>1651.3915218554803</v>
      </c>
      <c r="J13" s="1722">
        <v>1860.7899408962419</v>
      </c>
      <c r="K13" s="1724">
        <v>2585.206405477692</v>
      </c>
      <c r="L13" s="1724">
        <v>2694.8139282300303</v>
      </c>
      <c r="M13" s="1724">
        <v>582.3651644639499</v>
      </c>
      <c r="N13" s="1722">
        <v>9374.5669609233937</v>
      </c>
      <c r="O13" s="1724">
        <v>26290.541391396051</v>
      </c>
      <c r="P13" s="652">
        <v>521.20093997717026</v>
      </c>
      <c r="Q13" s="321"/>
      <c r="R13" s="321"/>
      <c r="S13" s="321"/>
    </row>
    <row r="14" spans="1:19" s="408" customFormat="1" ht="14.25" customHeight="1">
      <c r="A14" s="356">
        <v>2017</v>
      </c>
      <c r="B14" s="551"/>
      <c r="C14" s="1725">
        <v>156.31655123491296</v>
      </c>
      <c r="D14" s="1725">
        <v>4330.5636100570664</v>
      </c>
      <c r="E14" s="1726">
        <v>9625.5315162505885</v>
      </c>
      <c r="F14" s="1726">
        <v>2385.8845530120993</v>
      </c>
      <c r="G14" s="1726">
        <v>1934.4151456389654</v>
      </c>
      <c r="H14" s="1726">
        <v>18432.711376193634</v>
      </c>
      <c r="I14" s="1725">
        <v>1636.4852314575953</v>
      </c>
      <c r="J14" s="1725">
        <v>1447.648181711668</v>
      </c>
      <c r="K14" s="1726">
        <v>2014.7349589525902</v>
      </c>
      <c r="L14" s="1726">
        <v>2331.1935625820015</v>
      </c>
      <c r="M14" s="1726">
        <v>882.77542292042642</v>
      </c>
      <c r="N14" s="1725">
        <v>8312.8373576242811</v>
      </c>
      <c r="O14" s="1726">
        <v>26745.548733817915</v>
      </c>
      <c r="P14" s="652">
        <v>726.24851491257448</v>
      </c>
      <c r="Q14" s="321"/>
      <c r="R14" s="321"/>
      <c r="S14" s="321"/>
    </row>
    <row r="15" spans="1:19" s="321" customFormat="1" ht="14.25" customHeight="1">
      <c r="A15" s="747">
        <v>2018</v>
      </c>
      <c r="B15" s="748"/>
      <c r="C15" s="749">
        <v>163.32329856562671</v>
      </c>
      <c r="D15" s="749">
        <v>4793.400533608984</v>
      </c>
      <c r="E15" s="630">
        <v>10732.237257631179</v>
      </c>
      <c r="F15" s="630">
        <v>2854.9394617960766</v>
      </c>
      <c r="G15" s="630">
        <v>1849.2924188181851</v>
      </c>
      <c r="H15" s="630">
        <v>20393.142970420049</v>
      </c>
      <c r="I15" s="749">
        <v>1444.9914662899439</v>
      </c>
      <c r="J15" s="749">
        <v>1541.1068672536403</v>
      </c>
      <c r="K15" s="630">
        <v>2061.38778036241</v>
      </c>
      <c r="L15" s="630">
        <v>1776.3614481054028</v>
      </c>
      <c r="M15" s="630">
        <v>711.24447766921469</v>
      </c>
      <c r="N15" s="749">
        <v>7535.0920396806141</v>
      </c>
      <c r="O15" s="630">
        <v>27928.23501010066</v>
      </c>
      <c r="P15" s="652">
        <v>448.39243295836161</v>
      </c>
    </row>
    <row r="16" spans="1:19" s="321" customFormat="1" ht="14.25" customHeight="1">
      <c r="A16" s="747">
        <v>2019</v>
      </c>
      <c r="B16" s="748"/>
      <c r="C16" s="749">
        <v>158.5730356655547</v>
      </c>
      <c r="D16" s="749">
        <v>5171.7735174593399</v>
      </c>
      <c r="E16" s="630">
        <v>11687.627876231698</v>
      </c>
      <c r="F16" s="630">
        <v>4001.1479588786506</v>
      </c>
      <c r="G16" s="630">
        <v>2533.2029464076782</v>
      </c>
      <c r="H16" s="630">
        <v>23552.345334642923</v>
      </c>
      <c r="I16" s="749">
        <v>1666.3906992675084</v>
      </c>
      <c r="J16" s="749">
        <v>1863.5646445005862</v>
      </c>
      <c r="K16" s="630">
        <v>2624.2132100350536</v>
      </c>
      <c r="L16" s="630">
        <v>1666.2304012699274</v>
      </c>
      <c r="M16" s="630">
        <v>709.89546473997302</v>
      </c>
      <c r="N16" s="749">
        <v>8530.2644198130492</v>
      </c>
      <c r="O16" s="630">
        <v>32082.609754455967</v>
      </c>
      <c r="P16" s="652">
        <v>312.79282905802125</v>
      </c>
    </row>
    <row r="17" spans="1:19" s="321" customFormat="1" ht="14.25" customHeight="1">
      <c r="A17" s="747">
        <v>2020</v>
      </c>
      <c r="B17" s="748"/>
      <c r="C17" s="749">
        <v>165.39880622938821</v>
      </c>
      <c r="D17" s="749">
        <v>4406.3980348080804</v>
      </c>
      <c r="E17" s="630">
        <v>12459.326208535083</v>
      </c>
      <c r="F17" s="630">
        <v>4910.4611532902363</v>
      </c>
      <c r="G17" s="630">
        <v>1659.4900197994416</v>
      </c>
      <c r="H17" s="630">
        <v>23601.074222662231</v>
      </c>
      <c r="I17" s="749">
        <v>1309.4105424797156</v>
      </c>
      <c r="J17" s="749">
        <v>1854.6391079780547</v>
      </c>
      <c r="K17" s="630">
        <v>2626.1643324596525</v>
      </c>
      <c r="L17" s="630">
        <v>1733.319935079048</v>
      </c>
      <c r="M17" s="630">
        <v>486.80778284039093</v>
      </c>
      <c r="N17" s="749">
        <v>8010.3417008368615</v>
      </c>
      <c r="O17" s="630">
        <v>31611.415923499091</v>
      </c>
      <c r="P17" s="652">
        <v>427.55898718365961</v>
      </c>
    </row>
    <row r="18" spans="1:19" s="321" customFormat="1" ht="14.25" customHeight="1">
      <c r="A18" s="747">
        <v>2021</v>
      </c>
      <c r="B18" s="748"/>
      <c r="C18" s="749">
        <v>148.50661675234255</v>
      </c>
      <c r="D18" s="749">
        <v>5907.0357726173106</v>
      </c>
      <c r="E18" s="630">
        <v>13143.990720381538</v>
      </c>
      <c r="F18" s="630">
        <v>5520.0024651330041</v>
      </c>
      <c r="G18" s="630">
        <v>1753.8669156720784</v>
      </c>
      <c r="H18" s="630">
        <v>26473.422490556273</v>
      </c>
      <c r="I18" s="749">
        <v>1318.8767671322519</v>
      </c>
      <c r="J18" s="749">
        <v>1444.3921537841686</v>
      </c>
      <c r="K18" s="630">
        <v>3472.9080534272853</v>
      </c>
      <c r="L18" s="630">
        <v>909.64794909570958</v>
      </c>
      <c r="M18" s="630">
        <v>935.60803601134853</v>
      </c>
      <c r="N18" s="749">
        <v>8081.4329594507635</v>
      </c>
      <c r="O18" s="630">
        <v>34554.835450007035</v>
      </c>
      <c r="P18" s="652">
        <v>256.35854435393617</v>
      </c>
    </row>
    <row r="19" spans="1:19" s="321" customFormat="1" ht="14.25" customHeight="1">
      <c r="A19" s="747">
        <v>2022</v>
      </c>
      <c r="B19" s="748"/>
      <c r="C19" s="749">
        <v>213.45695167373927</v>
      </c>
      <c r="D19" s="630">
        <v>4344.4369243239835</v>
      </c>
      <c r="E19" s="630">
        <v>14683.878630659288</v>
      </c>
      <c r="F19" s="630">
        <v>5623.5018820135847</v>
      </c>
      <c r="G19" s="630">
        <v>1923.6696704142432</v>
      </c>
      <c r="H19" s="630">
        <v>26788.964059084843</v>
      </c>
      <c r="I19" s="749">
        <v>1438.2617691887917</v>
      </c>
      <c r="J19" s="749">
        <v>1477.5774106493923</v>
      </c>
      <c r="K19" s="630">
        <v>4374.9430960219988</v>
      </c>
      <c r="L19" s="630">
        <v>328.68408683470722</v>
      </c>
      <c r="M19" s="630">
        <v>1656.6257595954708</v>
      </c>
      <c r="N19" s="749">
        <v>9276.1021222903619</v>
      </c>
      <c r="O19" s="630">
        <v>36065.066181374605</v>
      </c>
      <c r="P19" s="652">
        <v>543.56655184439887</v>
      </c>
    </row>
    <row r="20" spans="1:19" s="321" customFormat="1" ht="14.25" customHeight="1">
      <c r="A20" s="747">
        <v>2023</v>
      </c>
      <c r="B20" s="748"/>
      <c r="C20" s="749">
        <v>119.52498147184654</v>
      </c>
      <c r="D20" s="749">
        <v>4845.007557206517</v>
      </c>
      <c r="E20" s="630">
        <v>15165.570174102249</v>
      </c>
      <c r="F20" s="630">
        <v>6338.4310771133223</v>
      </c>
      <c r="G20" s="630">
        <v>1776.5702053599646</v>
      </c>
      <c r="H20" s="630">
        <v>28245.103995253899</v>
      </c>
      <c r="I20" s="749">
        <v>1829.8760130545606</v>
      </c>
      <c r="J20" s="749">
        <v>1304.2713105046714</v>
      </c>
      <c r="K20" s="630">
        <v>4135.9066312329351</v>
      </c>
      <c r="L20" s="630">
        <v>625.73656967015279</v>
      </c>
      <c r="M20" s="630">
        <v>2093.4781268918086</v>
      </c>
      <c r="N20" s="749">
        <v>9989.2686513541285</v>
      </c>
      <c r="O20" s="630">
        <v>38234.372646608033</v>
      </c>
      <c r="P20" s="652">
        <v>439.92985851536173</v>
      </c>
    </row>
    <row r="21" spans="1:19" s="321" customFormat="1" ht="14.25" customHeight="1">
      <c r="A21" s="747">
        <v>2024</v>
      </c>
      <c r="B21" s="748"/>
      <c r="C21" s="749">
        <v>177.04466542680666</v>
      </c>
      <c r="D21" s="749">
        <v>6787.7016149907777</v>
      </c>
      <c r="E21" s="630">
        <v>18155.360479984505</v>
      </c>
      <c r="F21" s="630">
        <v>8178.8860480080102</v>
      </c>
      <c r="G21" s="630">
        <v>2367.1659839738372</v>
      </c>
      <c r="H21" s="630">
        <v>35666.158792383932</v>
      </c>
      <c r="I21" s="749">
        <v>3117.7839292219196</v>
      </c>
      <c r="J21" s="749">
        <v>5315.1122718567003</v>
      </c>
      <c r="K21" s="630">
        <v>13489.216786829315</v>
      </c>
      <c r="L21" s="630">
        <v>2036.1622392119077</v>
      </c>
      <c r="M21" s="630">
        <v>3729.9340096533865</v>
      </c>
      <c r="N21" s="749">
        <v>27688.209236773229</v>
      </c>
      <c r="O21" s="630">
        <v>63354.368029157165</v>
      </c>
      <c r="P21" s="652">
        <v>7008.9325346969727</v>
      </c>
    </row>
    <row r="22" spans="1:19" s="321" customFormat="1" ht="14.25" customHeight="1">
      <c r="A22" s="906">
        <v>2025</v>
      </c>
      <c r="B22" s="997"/>
      <c r="C22" s="998">
        <f t="shared" ref="C22:P22" si="0">C28</f>
        <v>291.02785962831706</v>
      </c>
      <c r="D22" s="998">
        <f t="shared" si="0"/>
        <v>8864.8687864983185</v>
      </c>
      <c r="E22" s="999">
        <f t="shared" si="0"/>
        <v>19569.398227884049</v>
      </c>
      <c r="F22" s="999">
        <f t="shared" si="0"/>
        <v>10387.826806060872</v>
      </c>
      <c r="G22" s="999">
        <f t="shared" si="0"/>
        <v>2808.4801592572744</v>
      </c>
      <c r="H22" s="999">
        <f t="shared" si="0"/>
        <v>41921.601839328832</v>
      </c>
      <c r="I22" s="998">
        <f t="shared" si="0"/>
        <v>4284.6120607811654</v>
      </c>
      <c r="J22" s="998">
        <f t="shared" si="0"/>
        <v>6014.4888057151129</v>
      </c>
      <c r="K22" s="999">
        <f t="shared" si="0"/>
        <v>12357.950873808131</v>
      </c>
      <c r="L22" s="999">
        <f t="shared" si="0"/>
        <v>1073.1201221846184</v>
      </c>
      <c r="M22" s="999">
        <f t="shared" si="0"/>
        <v>1409.1306229236402</v>
      </c>
      <c r="N22" s="998">
        <f t="shared" si="0"/>
        <v>25139.302485412671</v>
      </c>
      <c r="O22" s="999">
        <f t="shared" si="0"/>
        <v>67060.904324741496</v>
      </c>
      <c r="P22" s="1727">
        <f t="shared" si="0"/>
        <v>7208.3761195040861</v>
      </c>
    </row>
    <row r="23" spans="1:19" s="321" customFormat="1" ht="21" customHeight="1">
      <c r="A23" s="747">
        <v>2024</v>
      </c>
      <c r="B23" s="748" t="s">
        <v>237</v>
      </c>
      <c r="C23" s="749">
        <v>150.83731913548206</v>
      </c>
      <c r="D23" s="749">
        <v>6021.1237674052973</v>
      </c>
      <c r="E23" s="630">
        <v>18921.772217609468</v>
      </c>
      <c r="F23" s="630">
        <v>8390.0013208940472</v>
      </c>
      <c r="G23" s="630">
        <v>2451.5438445778359</v>
      </c>
      <c r="H23" s="630">
        <v>35935.198469622141</v>
      </c>
      <c r="I23" s="749">
        <v>3374.450939326749</v>
      </c>
      <c r="J23" s="749">
        <v>4305.3310231749128</v>
      </c>
      <c r="K23" s="630">
        <v>13159.238238329921</v>
      </c>
      <c r="L23" s="630">
        <v>1931.055969429636</v>
      </c>
      <c r="M23" s="630">
        <v>3605.2428248439301</v>
      </c>
      <c r="N23" s="749">
        <v>26375.318995105146</v>
      </c>
      <c r="O23" s="630">
        <v>62310.517464727287</v>
      </c>
      <c r="P23" s="652">
        <v>5979.9279797535564</v>
      </c>
    </row>
    <row r="24" spans="1:19" s="321" customFormat="1" ht="15" customHeight="1">
      <c r="A24" s="747"/>
      <c r="B24" s="748" t="s">
        <v>238</v>
      </c>
      <c r="C24" s="749">
        <v>177.04466542680666</v>
      </c>
      <c r="D24" s="749">
        <v>6787.7016149907777</v>
      </c>
      <c r="E24" s="630">
        <v>18155.360479984505</v>
      </c>
      <c r="F24" s="630">
        <v>8178.8860480080102</v>
      </c>
      <c r="G24" s="630">
        <v>2367.1659839738372</v>
      </c>
      <c r="H24" s="630">
        <v>35666.158792383932</v>
      </c>
      <c r="I24" s="749">
        <v>3117.7839292219196</v>
      </c>
      <c r="J24" s="749">
        <v>5315.1122718567003</v>
      </c>
      <c r="K24" s="630">
        <v>13489.216786829315</v>
      </c>
      <c r="L24" s="630">
        <v>2036.1622392119077</v>
      </c>
      <c r="M24" s="630">
        <v>3729.9340096533865</v>
      </c>
      <c r="N24" s="749">
        <v>27688.209236773229</v>
      </c>
      <c r="O24" s="630">
        <v>63354.368029157165</v>
      </c>
      <c r="P24" s="652">
        <v>7008.9325346969727</v>
      </c>
    </row>
    <row r="25" spans="1:19" s="321" customFormat="1" ht="21" customHeight="1">
      <c r="A25" s="747">
        <v>2025</v>
      </c>
      <c r="B25" s="748" t="s">
        <v>239</v>
      </c>
      <c r="C25" s="749">
        <v>138.49950399340256</v>
      </c>
      <c r="D25" s="749">
        <v>7134.2694841983266</v>
      </c>
      <c r="E25" s="630">
        <v>19140.267395152896</v>
      </c>
      <c r="F25" s="630">
        <v>8330.3414190901585</v>
      </c>
      <c r="G25" s="630">
        <v>2431.5154194580423</v>
      </c>
      <c r="H25" s="630">
        <v>37174.903221892833</v>
      </c>
      <c r="I25" s="749">
        <v>2990.3108053772266</v>
      </c>
      <c r="J25" s="749">
        <v>4926.4537569179865</v>
      </c>
      <c r="K25" s="630">
        <v>12444.051932940492</v>
      </c>
      <c r="L25" s="630">
        <v>1411.4100355298074</v>
      </c>
      <c r="M25" s="630">
        <v>2568.9386147247956</v>
      </c>
      <c r="N25" s="749">
        <v>24341.165145490311</v>
      </c>
      <c r="O25" s="630">
        <v>61516.068367383152</v>
      </c>
      <c r="P25" s="652">
        <v>7854.147077882204</v>
      </c>
    </row>
    <row r="26" spans="1:19" s="321" customFormat="1" ht="15" customHeight="1">
      <c r="A26" s="747"/>
      <c r="B26" s="748" t="s">
        <v>240</v>
      </c>
      <c r="C26" s="749">
        <v>157.06578928513451</v>
      </c>
      <c r="D26" s="749">
        <v>7657.1315296206449</v>
      </c>
      <c r="E26" s="630">
        <v>19192.377278979227</v>
      </c>
      <c r="F26" s="630">
        <v>9272.1441901671424</v>
      </c>
      <c r="G26" s="630">
        <v>2866.876535323056</v>
      </c>
      <c r="H26" s="630">
        <v>39145.615323375205</v>
      </c>
      <c r="I26" s="749">
        <v>3495.642057090829</v>
      </c>
      <c r="J26" s="749">
        <v>5130.1909292823457</v>
      </c>
      <c r="K26" s="630">
        <v>13543.003194395274</v>
      </c>
      <c r="L26" s="630">
        <v>1696.5234574205033</v>
      </c>
      <c r="M26" s="630">
        <v>1459.3563909418604</v>
      </c>
      <c r="N26" s="749">
        <v>25324.69602913081</v>
      </c>
      <c r="O26" s="630">
        <v>64470.311352506018</v>
      </c>
      <c r="P26" s="652">
        <v>7688.6106485724295</v>
      </c>
    </row>
    <row r="27" spans="1:19" s="321" customFormat="1" ht="15" customHeight="1">
      <c r="A27" s="747"/>
      <c r="B27" s="748" t="s">
        <v>237</v>
      </c>
      <c r="C27" s="749">
        <v>405.84655689320539</v>
      </c>
      <c r="D27" s="749">
        <v>6866.1485138944417</v>
      </c>
      <c r="E27" s="630">
        <v>19899.664698316221</v>
      </c>
      <c r="F27" s="630">
        <v>9877.77838670663</v>
      </c>
      <c r="G27" s="630">
        <v>3068.7606608401966</v>
      </c>
      <c r="H27" s="630">
        <v>40118.198816650693</v>
      </c>
      <c r="I27" s="749">
        <v>3246.7640760384497</v>
      </c>
      <c r="J27" s="749">
        <v>6435.2108020325777</v>
      </c>
      <c r="K27" s="630">
        <v>13646.286972336551</v>
      </c>
      <c r="L27" s="630">
        <v>1795.4990523982369</v>
      </c>
      <c r="M27" s="630">
        <v>1297.5835603635924</v>
      </c>
      <c r="N27" s="749">
        <v>26421.364463169408</v>
      </c>
      <c r="O27" s="630">
        <v>66539.563279820111</v>
      </c>
      <c r="P27" s="652">
        <v>7309.5356580212019</v>
      </c>
    </row>
    <row r="28" spans="1:19" s="321" customFormat="1" ht="15" customHeight="1">
      <c r="A28" s="747"/>
      <c r="B28" s="748" t="s">
        <v>238</v>
      </c>
      <c r="C28" s="749">
        <f t="shared" ref="C28:P28" si="1">C36</f>
        <v>291.02785962831706</v>
      </c>
      <c r="D28" s="749">
        <f t="shared" si="1"/>
        <v>8864.8687864983185</v>
      </c>
      <c r="E28" s="630">
        <f t="shared" si="1"/>
        <v>19569.398227884049</v>
      </c>
      <c r="F28" s="630">
        <f t="shared" si="1"/>
        <v>10387.826806060872</v>
      </c>
      <c r="G28" s="630">
        <f t="shared" si="1"/>
        <v>2808.4801592572744</v>
      </c>
      <c r="H28" s="630">
        <f t="shared" si="1"/>
        <v>41921.601839328832</v>
      </c>
      <c r="I28" s="749">
        <f t="shared" si="1"/>
        <v>4284.6120607811654</v>
      </c>
      <c r="J28" s="749">
        <f t="shared" si="1"/>
        <v>6014.4888057151129</v>
      </c>
      <c r="K28" s="630">
        <f t="shared" si="1"/>
        <v>12357.950873808131</v>
      </c>
      <c r="L28" s="630">
        <f t="shared" si="1"/>
        <v>1073.1201221846184</v>
      </c>
      <c r="M28" s="630">
        <f t="shared" si="1"/>
        <v>1409.1306229236402</v>
      </c>
      <c r="N28" s="749">
        <f t="shared" si="1"/>
        <v>25139.302485412671</v>
      </c>
      <c r="O28" s="630">
        <f t="shared" si="1"/>
        <v>67060.904324741496</v>
      </c>
      <c r="P28" s="652">
        <f t="shared" si="1"/>
        <v>7208.3761195040861</v>
      </c>
    </row>
    <row r="29" spans="1:19" s="321" customFormat="1" ht="21" customHeight="1">
      <c r="A29" s="747">
        <v>2026</v>
      </c>
      <c r="B29" s="748" t="s">
        <v>239</v>
      </c>
      <c r="C29" s="749">
        <f t="shared" ref="C29:P29" si="2">C39</f>
        <v>460.47599470095054</v>
      </c>
      <c r="D29" s="749">
        <f t="shared" si="2"/>
        <v>8454.2238056328697</v>
      </c>
      <c r="E29" s="630">
        <f t="shared" si="2"/>
        <v>19838.222935487087</v>
      </c>
      <c r="F29" s="630">
        <f t="shared" si="2"/>
        <v>10974.71629861399</v>
      </c>
      <c r="G29" s="630">
        <f t="shared" si="2"/>
        <v>3152.3679353328835</v>
      </c>
      <c r="H29" s="630">
        <f t="shared" si="2"/>
        <v>42880.006969767783</v>
      </c>
      <c r="I29" s="749">
        <f t="shared" si="2"/>
        <v>4910.3345940239078</v>
      </c>
      <c r="J29" s="749">
        <f t="shared" si="2"/>
        <v>6169.5785967063603</v>
      </c>
      <c r="K29" s="630">
        <f t="shared" si="2"/>
        <v>12703.59290808946</v>
      </c>
      <c r="L29" s="630">
        <f t="shared" si="2"/>
        <v>1180.6768994349632</v>
      </c>
      <c r="M29" s="630">
        <f t="shared" si="2"/>
        <v>1409.9243752029352</v>
      </c>
      <c r="N29" s="749">
        <f t="shared" si="2"/>
        <v>26374.097373457626</v>
      </c>
      <c r="O29" s="630">
        <f t="shared" si="2"/>
        <v>69254.104343225408</v>
      </c>
      <c r="P29" s="652">
        <f t="shared" si="2"/>
        <v>5572.0409976146948</v>
      </c>
    </row>
    <row r="30" spans="1:19" s="321" customFormat="1" ht="15" customHeight="1">
      <c r="A30" s="906"/>
      <c r="B30" s="997" t="s">
        <v>240</v>
      </c>
      <c r="C30" s="998">
        <f t="shared" ref="C30:P30" si="3">C42</f>
        <v>433.320671786037</v>
      </c>
      <c r="D30" s="998">
        <f t="shared" si="3"/>
        <v>8217.4923699439714</v>
      </c>
      <c r="E30" s="999">
        <f t="shared" si="3"/>
        <v>20208.167263723164</v>
      </c>
      <c r="F30" s="999">
        <f t="shared" si="3"/>
        <v>11063.28445555796</v>
      </c>
      <c r="G30" s="999">
        <f t="shared" si="3"/>
        <v>2932.5148807193414</v>
      </c>
      <c r="H30" s="999">
        <f t="shared" si="3"/>
        <v>42854.779641730478</v>
      </c>
      <c r="I30" s="998">
        <f t="shared" si="3"/>
        <v>4785.9806892279466</v>
      </c>
      <c r="J30" s="998">
        <f t="shared" si="3"/>
        <v>6381.5388567168557</v>
      </c>
      <c r="K30" s="999">
        <f t="shared" si="3"/>
        <v>12284.113190047912</v>
      </c>
      <c r="L30" s="999">
        <f t="shared" si="3"/>
        <v>1239.6946208843067</v>
      </c>
      <c r="M30" s="999">
        <f t="shared" si="3"/>
        <v>1406.8120134431074</v>
      </c>
      <c r="N30" s="998">
        <f t="shared" si="3"/>
        <v>26098.12937032013</v>
      </c>
      <c r="O30" s="999">
        <f t="shared" si="3"/>
        <v>68952.909012050601</v>
      </c>
      <c r="P30" s="1727">
        <f t="shared" si="3"/>
        <v>4821.5276623376421</v>
      </c>
    </row>
    <row r="31" spans="1:19" s="321" customFormat="1" ht="21" customHeight="1">
      <c r="A31" s="747">
        <v>2025</v>
      </c>
      <c r="B31" s="748" t="s">
        <v>420</v>
      </c>
      <c r="C31" s="749">
        <v>306.05807866603703</v>
      </c>
      <c r="D31" s="749">
        <v>7334.5342430003175</v>
      </c>
      <c r="E31" s="630">
        <v>19690.630372833206</v>
      </c>
      <c r="F31" s="630">
        <v>9339.9909893289641</v>
      </c>
      <c r="G31" s="630">
        <v>2720.7050861925713</v>
      </c>
      <c r="H31" s="630">
        <v>39391.918770021097</v>
      </c>
      <c r="I31" s="749">
        <v>3503.2244934031114</v>
      </c>
      <c r="J31" s="749">
        <v>5793.8920997313771</v>
      </c>
      <c r="K31" s="630">
        <v>13683.586610246293</v>
      </c>
      <c r="L31" s="630">
        <v>1928.2042715052107</v>
      </c>
      <c r="M31" s="630">
        <v>1005.9614042757405</v>
      </c>
      <c r="N31" s="749">
        <v>25914.868879161735</v>
      </c>
      <c r="O31" s="630">
        <v>65306.787649182836</v>
      </c>
      <c r="P31" s="630">
        <v>7295.4870349226348</v>
      </c>
      <c r="Q31" s="770"/>
      <c r="R31" s="770"/>
      <c r="S31" s="770"/>
    </row>
    <row r="32" spans="1:19" s="321" customFormat="1" ht="15" customHeight="1">
      <c r="A32" s="747"/>
      <c r="B32" s="748" t="s">
        <v>421</v>
      </c>
      <c r="C32" s="749">
        <v>265.87039202295529</v>
      </c>
      <c r="D32" s="749">
        <v>6519.9213675391366</v>
      </c>
      <c r="E32" s="630">
        <v>19738.592529765083</v>
      </c>
      <c r="F32" s="630">
        <v>9962.4925205343097</v>
      </c>
      <c r="G32" s="630">
        <v>2735.3679316653393</v>
      </c>
      <c r="H32" s="630">
        <v>39222.264741526815</v>
      </c>
      <c r="I32" s="749">
        <v>3796.6359534162234</v>
      </c>
      <c r="J32" s="749">
        <v>5973.7030812941684</v>
      </c>
      <c r="K32" s="630">
        <v>13768.389554654335</v>
      </c>
      <c r="L32" s="630">
        <v>1941.8797235263464</v>
      </c>
      <c r="M32" s="630">
        <v>968.18571560299279</v>
      </c>
      <c r="N32" s="749">
        <v>26448.794028494071</v>
      </c>
      <c r="O32" s="630">
        <v>65671.0587700209</v>
      </c>
      <c r="P32" s="630">
        <v>7626.7947334898272</v>
      </c>
      <c r="Q32" s="770"/>
      <c r="R32" s="770"/>
      <c r="S32" s="770"/>
    </row>
    <row r="33" spans="1:19" s="321" customFormat="1" ht="15" customHeight="1">
      <c r="A33" s="747"/>
      <c r="B33" s="748" t="s">
        <v>422</v>
      </c>
      <c r="C33" s="749">
        <v>405.84655689320539</v>
      </c>
      <c r="D33" s="749">
        <v>6866.1485138944417</v>
      </c>
      <c r="E33" s="630">
        <v>19899.664698316221</v>
      </c>
      <c r="F33" s="630">
        <v>9877.77838670663</v>
      </c>
      <c r="G33" s="630">
        <v>3068.7606608401966</v>
      </c>
      <c r="H33" s="630">
        <v>40118.198816650693</v>
      </c>
      <c r="I33" s="749">
        <v>3246.7640760384497</v>
      </c>
      <c r="J33" s="749">
        <v>6435.2108020325777</v>
      </c>
      <c r="K33" s="630">
        <v>13646.286972336551</v>
      </c>
      <c r="L33" s="630">
        <v>1795.4990523982369</v>
      </c>
      <c r="M33" s="630">
        <v>1297.5835603635924</v>
      </c>
      <c r="N33" s="749">
        <v>26421.364463169408</v>
      </c>
      <c r="O33" s="630">
        <v>66539.563279820111</v>
      </c>
      <c r="P33" s="630">
        <v>7309.5356580212019</v>
      </c>
      <c r="Q33" s="770"/>
      <c r="R33" s="770"/>
      <c r="S33" s="770"/>
    </row>
    <row r="34" spans="1:19" s="321" customFormat="1" ht="15" customHeight="1">
      <c r="A34" s="747"/>
      <c r="B34" s="748" t="s">
        <v>411</v>
      </c>
      <c r="C34" s="749">
        <v>296.67788166773158</v>
      </c>
      <c r="D34" s="749">
        <v>8267.907375653429</v>
      </c>
      <c r="E34" s="630">
        <v>19545.982578519022</v>
      </c>
      <c r="F34" s="630">
        <v>10246.644878897025</v>
      </c>
      <c r="G34" s="630">
        <v>2744.5866295317524</v>
      </c>
      <c r="H34" s="630">
        <v>41101.819344268952</v>
      </c>
      <c r="I34" s="749">
        <v>3696.9124154219448</v>
      </c>
      <c r="J34" s="749">
        <v>6311.1819142419499</v>
      </c>
      <c r="K34" s="630">
        <v>12112.753111061185</v>
      </c>
      <c r="L34" s="630">
        <v>1391.5638991827052</v>
      </c>
      <c r="M34" s="630">
        <v>1409.4736436397175</v>
      </c>
      <c r="N34" s="749">
        <v>24921.984983547503</v>
      </c>
      <c r="O34" s="630">
        <v>66023.754327816452</v>
      </c>
      <c r="P34" s="630">
        <v>7098.7276960266536</v>
      </c>
      <c r="Q34" s="770"/>
      <c r="R34" s="770"/>
      <c r="S34" s="770"/>
    </row>
    <row r="35" spans="1:19" s="321" customFormat="1" ht="15" customHeight="1">
      <c r="A35" s="747"/>
      <c r="B35" s="748" t="s">
        <v>412</v>
      </c>
      <c r="C35" s="749">
        <v>293.97501536496861</v>
      </c>
      <c r="D35" s="749">
        <v>8533.0836112486086</v>
      </c>
      <c r="E35" s="630">
        <v>19517.825150807432</v>
      </c>
      <c r="F35" s="630">
        <v>10240.699783929203</v>
      </c>
      <c r="G35" s="630">
        <v>2733.0920686367676</v>
      </c>
      <c r="H35" s="630">
        <v>41318.675629986974</v>
      </c>
      <c r="I35" s="749">
        <v>5168.8690181881584</v>
      </c>
      <c r="J35" s="749">
        <v>6573.1349504360223</v>
      </c>
      <c r="K35" s="630">
        <v>12331.85085114604</v>
      </c>
      <c r="L35" s="630">
        <v>1523.5637064853138</v>
      </c>
      <c r="M35" s="630">
        <v>1310.623274966621</v>
      </c>
      <c r="N35" s="749">
        <v>26908.061801222153</v>
      </c>
      <c r="O35" s="630">
        <v>68226.78743120913</v>
      </c>
      <c r="P35" s="630">
        <v>7052.1425001839434</v>
      </c>
      <c r="Q35" s="770"/>
      <c r="R35" s="770"/>
      <c r="S35" s="770"/>
    </row>
    <row r="36" spans="1:19" s="321" customFormat="1" ht="15" customHeight="1">
      <c r="A36" s="747"/>
      <c r="B36" s="748" t="s">
        <v>413</v>
      </c>
      <c r="C36" s="749">
        <v>291.02785962831706</v>
      </c>
      <c r="D36" s="749">
        <v>8864.8687864983185</v>
      </c>
      <c r="E36" s="630">
        <v>19569.398227884049</v>
      </c>
      <c r="F36" s="630">
        <v>10387.826806060872</v>
      </c>
      <c r="G36" s="630">
        <v>2808.4801592572744</v>
      </c>
      <c r="H36" s="630">
        <v>41921.601839328832</v>
      </c>
      <c r="I36" s="749">
        <v>4284.6120607811654</v>
      </c>
      <c r="J36" s="749">
        <v>6014.4888057151129</v>
      </c>
      <c r="K36" s="630">
        <v>12357.950873808131</v>
      </c>
      <c r="L36" s="630">
        <v>1073.1201221846184</v>
      </c>
      <c r="M36" s="630">
        <v>1409.1306229236402</v>
      </c>
      <c r="N36" s="749">
        <v>25139.302485412671</v>
      </c>
      <c r="O36" s="630">
        <v>67060.904324741496</v>
      </c>
      <c r="P36" s="630">
        <v>7208.3761195040861</v>
      </c>
      <c r="Q36" s="770"/>
      <c r="R36" s="770"/>
      <c r="S36" s="770"/>
    </row>
    <row r="37" spans="1:19" s="321" customFormat="1" ht="21" customHeight="1">
      <c r="A37" s="747">
        <v>2026</v>
      </c>
      <c r="B37" s="748" t="s">
        <v>414</v>
      </c>
      <c r="C37" s="749">
        <v>233.55341235846777</v>
      </c>
      <c r="D37" s="749">
        <v>8614.3549236876497</v>
      </c>
      <c r="E37" s="630">
        <v>19551.829201794724</v>
      </c>
      <c r="F37" s="630">
        <v>10501.332572590292</v>
      </c>
      <c r="G37" s="630">
        <v>2836.5996778749254</v>
      </c>
      <c r="H37" s="630">
        <v>41737.659788306046</v>
      </c>
      <c r="I37" s="749">
        <v>5518.5136281962377</v>
      </c>
      <c r="J37" s="749">
        <v>5917.5763844406383</v>
      </c>
      <c r="K37" s="630">
        <v>12093.70118051091</v>
      </c>
      <c r="L37" s="630">
        <v>1037.6854883790429</v>
      </c>
      <c r="M37" s="630">
        <v>1327.009721618731</v>
      </c>
      <c r="N37" s="749">
        <v>25894.476403145563</v>
      </c>
      <c r="O37" s="630">
        <v>67632.246191451602</v>
      </c>
      <c r="P37" s="630">
        <v>6785.6580549592354</v>
      </c>
      <c r="Q37" s="770"/>
      <c r="R37" s="770"/>
      <c r="S37" s="770"/>
    </row>
    <row r="38" spans="1:19" s="321" customFormat="1" ht="15" customHeight="1">
      <c r="A38" s="747"/>
      <c r="B38" s="748" t="s">
        <v>415</v>
      </c>
      <c r="C38" s="749">
        <v>255.38475260999809</v>
      </c>
      <c r="D38" s="749">
        <v>8265.0846628547315</v>
      </c>
      <c r="E38" s="630">
        <v>19587.368301451384</v>
      </c>
      <c r="F38" s="630">
        <v>11042.439591676923</v>
      </c>
      <c r="G38" s="630">
        <v>3061.7965602329455</v>
      </c>
      <c r="H38" s="630">
        <v>42212.073868825973</v>
      </c>
      <c r="I38" s="749">
        <v>5501.3501261500815</v>
      </c>
      <c r="J38" s="749">
        <v>5796.7391758457634</v>
      </c>
      <c r="K38" s="630">
        <v>13186.13315020096</v>
      </c>
      <c r="L38" s="630">
        <v>1142.5383761148657</v>
      </c>
      <c r="M38" s="630">
        <v>1268.451827243925</v>
      </c>
      <c r="N38" s="749">
        <v>26895.172655555594</v>
      </c>
      <c r="O38" s="630">
        <v>69107.256524381562</v>
      </c>
      <c r="P38" s="630">
        <v>6545.4545365327549</v>
      </c>
      <c r="Q38" s="770"/>
      <c r="R38" s="770"/>
      <c r="S38" s="770"/>
    </row>
    <row r="39" spans="1:19" s="321" customFormat="1" ht="15" customHeight="1">
      <c r="A39" s="747"/>
      <c r="B39" s="748" t="s">
        <v>416</v>
      </c>
      <c r="C39" s="749">
        <v>460.47599470095054</v>
      </c>
      <c r="D39" s="749">
        <v>8454.2238056328697</v>
      </c>
      <c r="E39" s="630">
        <v>19838.222935487087</v>
      </c>
      <c r="F39" s="630">
        <v>10974.71629861399</v>
      </c>
      <c r="G39" s="630">
        <v>3152.3679353328835</v>
      </c>
      <c r="H39" s="630">
        <v>42880.006969767783</v>
      </c>
      <c r="I39" s="749">
        <v>4910.3345940239078</v>
      </c>
      <c r="J39" s="749">
        <v>6169.5785967063603</v>
      </c>
      <c r="K39" s="630">
        <v>12703.59290808946</v>
      </c>
      <c r="L39" s="630">
        <v>1180.6768994349632</v>
      </c>
      <c r="M39" s="630">
        <v>1409.9243752029352</v>
      </c>
      <c r="N39" s="749">
        <v>26374.097373457626</v>
      </c>
      <c r="O39" s="630">
        <v>69254.104343225408</v>
      </c>
      <c r="P39" s="630">
        <v>5572.0409976146948</v>
      </c>
      <c r="Q39" s="770"/>
      <c r="R39" s="770"/>
      <c r="S39" s="770"/>
    </row>
    <row r="40" spans="1:19" s="321" customFormat="1" ht="15" customHeight="1">
      <c r="A40" s="747"/>
      <c r="B40" s="748" t="s">
        <v>417</v>
      </c>
      <c r="C40" s="749">
        <v>457.76516054594873</v>
      </c>
      <c r="D40" s="749">
        <v>8426.0072801913084</v>
      </c>
      <c r="E40" s="630">
        <v>20069.161730708645</v>
      </c>
      <c r="F40" s="630">
        <v>11026.378813713434</v>
      </c>
      <c r="G40" s="630">
        <v>2748.1439055448764</v>
      </c>
      <c r="H40" s="630">
        <v>42727.466890704221</v>
      </c>
      <c r="I40" s="749">
        <v>5862.2502810273381</v>
      </c>
      <c r="J40" s="749">
        <v>6299.7079721460714</v>
      </c>
      <c r="K40" s="630">
        <v>12701.237967112509</v>
      </c>
      <c r="L40" s="630">
        <v>1387.318470700134</v>
      </c>
      <c r="M40" s="630">
        <v>1528.4565967597007</v>
      </c>
      <c r="N40" s="749">
        <v>27778.961287745755</v>
      </c>
      <c r="O40" s="630">
        <v>70506.45817844999</v>
      </c>
      <c r="P40" s="630">
        <v>5355.367763010534</v>
      </c>
      <c r="Q40" s="770"/>
      <c r="R40" s="770"/>
      <c r="S40" s="770"/>
    </row>
    <row r="41" spans="1:19" s="321" customFormat="1" ht="15" customHeight="1">
      <c r="A41" s="747"/>
      <c r="B41" s="748" t="s">
        <v>418</v>
      </c>
      <c r="C41" s="749">
        <v>728.45573031462038</v>
      </c>
      <c r="D41" s="749">
        <v>8067.2163880172648</v>
      </c>
      <c r="E41" s="630">
        <v>20185.746229348064</v>
      </c>
      <c r="F41" s="630">
        <v>10901.282779476052</v>
      </c>
      <c r="G41" s="630">
        <v>2961.5051742119981</v>
      </c>
      <c r="H41" s="630">
        <v>42844.196301368007</v>
      </c>
      <c r="I41" s="749">
        <v>5727.6565390087762</v>
      </c>
      <c r="J41" s="749">
        <v>6357.7633861185241</v>
      </c>
      <c r="K41" s="630">
        <v>12355.854915820088</v>
      </c>
      <c r="L41" s="630">
        <v>1433.9713385590746</v>
      </c>
      <c r="M41" s="630">
        <v>1272.8302961151048</v>
      </c>
      <c r="N41" s="749">
        <v>27148.166475621569</v>
      </c>
      <c r="O41" s="630">
        <v>69992.362776989583</v>
      </c>
      <c r="P41" s="630">
        <v>5172.5114572328011</v>
      </c>
      <c r="Q41" s="770"/>
      <c r="R41" s="770"/>
      <c r="S41" s="770"/>
    </row>
    <row r="42" spans="1:19" s="321" customFormat="1" ht="15" customHeight="1">
      <c r="A42" s="747"/>
      <c r="B42" s="748" t="s">
        <v>419</v>
      </c>
      <c r="C42" s="749">
        <v>433.320671786037</v>
      </c>
      <c r="D42" s="749">
        <v>8217.4923699439714</v>
      </c>
      <c r="E42" s="630">
        <v>20208.167263723164</v>
      </c>
      <c r="F42" s="630">
        <v>11063.28445555796</v>
      </c>
      <c r="G42" s="630">
        <v>2932.5148807193414</v>
      </c>
      <c r="H42" s="630">
        <v>42854.779641730478</v>
      </c>
      <c r="I42" s="749">
        <v>4785.9806892279466</v>
      </c>
      <c r="J42" s="749">
        <v>6381.5388567168557</v>
      </c>
      <c r="K42" s="630">
        <v>12284.113190047912</v>
      </c>
      <c r="L42" s="630">
        <v>1239.6946208843067</v>
      </c>
      <c r="M42" s="630">
        <v>1406.8120134431074</v>
      </c>
      <c r="N42" s="749">
        <v>26098.12937032013</v>
      </c>
      <c r="O42" s="630">
        <v>68952.909012050601</v>
      </c>
      <c r="P42" s="630">
        <v>4821.5276623376421</v>
      </c>
      <c r="Q42" s="770"/>
      <c r="R42" s="770"/>
      <c r="S42" s="770"/>
    </row>
    <row r="43" spans="1:19" s="321" customFormat="1" ht="15" customHeight="1">
      <c r="A43" s="747"/>
      <c r="B43" s="748" t="s">
        <v>420</v>
      </c>
      <c r="C43" s="749">
        <v>331.07676046626585</v>
      </c>
      <c r="D43" s="749">
        <v>7909.9823314976547</v>
      </c>
      <c r="E43" s="630">
        <v>20605.442190526766</v>
      </c>
      <c r="F43" s="630">
        <v>11281.786768073767</v>
      </c>
      <c r="G43" s="630">
        <v>2854.7734061244523</v>
      </c>
      <c r="H43" s="630">
        <v>42983.061456688905</v>
      </c>
      <c r="I43" s="749">
        <v>5164.0034583731676</v>
      </c>
      <c r="J43" s="749">
        <v>6560.8718217923051</v>
      </c>
      <c r="K43" s="630">
        <v>12382.000917526995</v>
      </c>
      <c r="L43" s="630">
        <v>1119.6639302284102</v>
      </c>
      <c r="M43" s="630">
        <v>1430.0040391851876</v>
      </c>
      <c r="N43" s="749">
        <v>26656.564167106069</v>
      </c>
      <c r="O43" s="630">
        <v>69639.65562379497</v>
      </c>
      <c r="P43" s="630">
        <v>4433.6256803025872</v>
      </c>
      <c r="Q43" s="770"/>
      <c r="R43" s="770"/>
      <c r="S43" s="770"/>
    </row>
    <row r="44" spans="1:19" ht="19.5" customHeight="1">
      <c r="A44" s="380" t="s">
        <v>1003</v>
      </c>
      <c r="B44" s="1410"/>
      <c r="C44" s="1410"/>
      <c r="D44" s="1410"/>
      <c r="E44" s="1410"/>
      <c r="F44" s="220"/>
      <c r="G44" s="220"/>
      <c r="H44" s="220"/>
      <c r="I44" s="220"/>
      <c r="J44" s="220"/>
      <c r="K44" s="220"/>
      <c r="L44" s="220"/>
      <c r="M44" s="220"/>
      <c r="N44" s="220"/>
      <c r="O44" s="726"/>
      <c r="P44" s="1728" t="s">
        <v>1004</v>
      </c>
    </row>
    <row r="45" spans="1:19">
      <c r="A45" s="381" t="s">
        <v>1005</v>
      </c>
      <c r="F45" s="25"/>
      <c r="O45" s="1729"/>
      <c r="P45" s="1729" t="s">
        <v>1006</v>
      </c>
    </row>
    <row r="46" spans="1:19">
      <c r="A46" s="381" t="s">
        <v>1007</v>
      </c>
      <c r="O46" s="1729"/>
      <c r="P46" s="1729" t="s">
        <v>1008</v>
      </c>
    </row>
    <row r="48" spans="1:19">
      <c r="A48" s="382" t="s">
        <v>1043</v>
      </c>
      <c r="B48" s="1414"/>
      <c r="C48" s="1414"/>
      <c r="D48" s="1414"/>
      <c r="E48" s="1414"/>
      <c r="F48" s="1414"/>
      <c r="G48" s="1414"/>
      <c r="H48" s="1414"/>
      <c r="I48" s="1414"/>
      <c r="J48" s="1414"/>
      <c r="K48" s="1414"/>
      <c r="L48" s="1414"/>
      <c r="M48" s="1414"/>
      <c r="N48" s="1414"/>
      <c r="O48" s="1414"/>
      <c r="P48" s="1414"/>
    </row>
    <row r="49" spans="3:16">
      <c r="C49" s="1735"/>
      <c r="D49" s="1735"/>
      <c r="E49" s="1735"/>
      <c r="F49" s="1735"/>
      <c r="G49" s="1735"/>
      <c r="H49" s="1735"/>
      <c r="I49" s="1735"/>
      <c r="J49" s="1735"/>
      <c r="K49" s="1735"/>
      <c r="L49" s="1735"/>
      <c r="M49" s="1735"/>
      <c r="N49" s="1735"/>
      <c r="O49" s="1735"/>
      <c r="P49" s="1735"/>
    </row>
  </sheetData>
  <phoneticPr fontId="32" type="noConversion"/>
  <printOptions horizontalCentered="1" verticalCentered="1"/>
  <pageMargins left="0" right="0" top="0" bottom="0" header="0.5" footer="0.5"/>
  <pageSetup paperSize="9" scale="7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S48"/>
  <sheetViews>
    <sheetView zoomScale="75" zoomScaleNormal="75" workbookViewId="0">
      <pane ySplit="12" topLeftCell="A39" activePane="bottomLeft" state="frozen"/>
      <selection activeCell="B2" sqref="B2"/>
      <selection pane="bottomLeft" activeCell="J44" sqref="J44"/>
    </sheetView>
  </sheetViews>
  <sheetFormatPr defaultColWidth="8.77734375" defaultRowHeight="13.2"/>
  <cols>
    <col min="1" max="2" width="9.77734375" style="1413" customWidth="1"/>
    <col min="3" max="3" width="11.44140625" style="1413" customWidth="1"/>
    <col min="4" max="4" width="12.77734375" style="1413" customWidth="1"/>
    <col min="5" max="5" width="14" style="1413" customWidth="1"/>
    <col min="6" max="6" width="14.77734375" style="1413" customWidth="1"/>
    <col min="7" max="7" width="10.77734375" style="1413" customWidth="1"/>
    <col min="8" max="8" width="14.21875" style="1413" customWidth="1"/>
    <col min="9" max="9" width="12" style="1413" customWidth="1"/>
    <col min="10" max="10" width="12.77734375" style="1413" customWidth="1"/>
    <col min="11" max="11" width="14" style="1413" customWidth="1"/>
    <col min="12" max="12" width="12.77734375" style="1413" customWidth="1"/>
    <col min="13" max="13" width="9.77734375" style="1413" bestFit="1" customWidth="1"/>
    <col min="14" max="14" width="12" style="1413" customWidth="1"/>
    <col min="15" max="15" width="12.77734375" style="1413" customWidth="1"/>
    <col min="16" max="16" width="10.77734375" style="1413" customWidth="1"/>
    <col min="17" max="16384" width="8.77734375" style="1413"/>
  </cols>
  <sheetData>
    <row r="1" spans="1:19" s="8" customFormat="1" ht="18" customHeight="1">
      <c r="A1" s="16" t="s">
        <v>1754</v>
      </c>
      <c r="B1" s="10"/>
      <c r="C1" s="10"/>
      <c r="D1" s="10"/>
      <c r="E1" s="10"/>
      <c r="F1" s="10"/>
      <c r="G1" s="10"/>
      <c r="H1" s="10"/>
      <c r="I1" s="10"/>
      <c r="J1" s="10"/>
      <c r="K1" s="10"/>
      <c r="L1" s="10"/>
      <c r="M1" s="10"/>
      <c r="N1" s="10"/>
      <c r="O1" s="10"/>
      <c r="P1" s="10"/>
    </row>
    <row r="2" spans="1:19" s="8" customFormat="1" ht="18" customHeight="1">
      <c r="A2" s="1715" t="s">
        <v>1041</v>
      </c>
      <c r="B2" s="1716"/>
      <c r="C2" s="1716"/>
      <c r="D2" s="1716"/>
      <c r="E2" s="1716"/>
      <c r="F2" s="1716"/>
      <c r="G2" s="1716"/>
      <c r="H2" s="1716"/>
      <c r="I2" s="1716"/>
      <c r="J2" s="1716"/>
      <c r="K2" s="1716"/>
      <c r="L2" s="1716"/>
      <c r="M2" s="1716"/>
      <c r="N2" s="1716"/>
      <c r="O2" s="1716"/>
      <c r="P2" s="1716"/>
    </row>
    <row r="3" spans="1:19" s="8" customFormat="1" ht="18" customHeight="1">
      <c r="A3" s="1717" t="s">
        <v>1042</v>
      </c>
      <c r="B3" s="1716"/>
      <c r="C3" s="1716"/>
      <c r="D3" s="1716"/>
      <c r="E3" s="1716"/>
      <c r="F3" s="1716"/>
      <c r="G3" s="1716"/>
      <c r="H3" s="1716"/>
      <c r="I3" s="1716"/>
      <c r="J3" s="1716"/>
      <c r="K3" s="1716"/>
      <c r="L3" s="1716"/>
      <c r="M3" s="1716"/>
      <c r="N3" s="1716"/>
      <c r="O3" s="1716"/>
      <c r="P3" s="1716"/>
    </row>
    <row r="4" spans="1:19" s="8" customFormat="1" ht="18" customHeight="1">
      <c r="A4" s="16" t="s">
        <v>374</v>
      </c>
      <c r="B4" s="10"/>
      <c r="C4" s="10"/>
      <c r="D4" s="10"/>
      <c r="E4" s="10"/>
      <c r="F4" s="10"/>
      <c r="G4" s="10"/>
      <c r="H4" s="10"/>
      <c r="I4" s="10"/>
      <c r="J4" s="10"/>
      <c r="K4" s="10"/>
      <c r="L4" s="10"/>
      <c r="M4" s="10"/>
      <c r="N4" s="10"/>
      <c r="O4" s="10"/>
      <c r="P4" s="10"/>
    </row>
    <row r="5" spans="1:19" s="25" customFormat="1" ht="20.25" customHeight="1">
      <c r="A5" s="1718" t="s">
        <v>373</v>
      </c>
      <c r="B5" s="3"/>
      <c r="C5" s="3"/>
      <c r="D5" s="3"/>
      <c r="E5" s="3"/>
      <c r="F5" s="3"/>
      <c r="G5" s="3"/>
      <c r="H5" s="3"/>
      <c r="I5" s="3"/>
      <c r="J5" s="3"/>
      <c r="K5" s="3"/>
      <c r="L5" s="3"/>
      <c r="M5" s="3"/>
      <c r="N5" s="3"/>
      <c r="O5" s="3"/>
      <c r="P5" s="3"/>
    </row>
    <row r="6" spans="1:19" ht="13.8" customHeight="1">
      <c r="A6" s="8" t="s">
        <v>752</v>
      </c>
      <c r="O6" s="8"/>
      <c r="P6" s="8" t="s">
        <v>1044</v>
      </c>
    </row>
    <row r="7" spans="1:19" s="41" customFormat="1" ht="23.25" customHeight="1">
      <c r="A7" s="44"/>
      <c r="B7" s="45"/>
      <c r="C7" s="264" t="s">
        <v>791</v>
      </c>
      <c r="D7" s="40"/>
      <c r="E7" s="123"/>
      <c r="F7" s="123"/>
      <c r="G7" s="123"/>
      <c r="H7" s="1719" t="s">
        <v>792</v>
      </c>
      <c r="I7" s="1720" t="s">
        <v>1014</v>
      </c>
      <c r="J7" s="122"/>
      <c r="K7" s="123"/>
      <c r="L7" s="123"/>
      <c r="M7" s="123"/>
      <c r="N7" s="1719" t="s">
        <v>1015</v>
      </c>
      <c r="O7" s="1721"/>
      <c r="P7" s="1721"/>
    </row>
    <row r="8" spans="1:19" s="39" customFormat="1" ht="16.5" customHeight="1">
      <c r="A8" s="370" t="s">
        <v>379</v>
      </c>
      <c r="B8" s="81"/>
      <c r="D8" s="270" t="s">
        <v>499</v>
      </c>
      <c r="E8" s="270"/>
      <c r="F8" s="270" t="s">
        <v>386</v>
      </c>
      <c r="G8" s="371"/>
      <c r="I8" s="270"/>
      <c r="J8" s="270"/>
      <c r="K8" s="371" t="s">
        <v>990</v>
      </c>
      <c r="L8" s="270" t="s">
        <v>386</v>
      </c>
      <c r="M8" s="372"/>
      <c r="O8" s="63" t="s">
        <v>794</v>
      </c>
      <c r="P8" s="270" t="s">
        <v>991</v>
      </c>
    </row>
    <row r="9" spans="1:19" s="39" customFormat="1" ht="16.5" customHeight="1">
      <c r="A9" s="62" t="s">
        <v>387</v>
      </c>
      <c r="B9" s="74"/>
      <c r="C9" s="270" t="s">
        <v>431</v>
      </c>
      <c r="D9" s="271" t="s">
        <v>755</v>
      </c>
      <c r="E9" s="271" t="s">
        <v>390</v>
      </c>
      <c r="F9" s="271" t="s">
        <v>1016</v>
      </c>
      <c r="G9" s="95" t="s">
        <v>756</v>
      </c>
      <c r="H9" s="270" t="s">
        <v>1017</v>
      </c>
      <c r="I9" s="270" t="s">
        <v>431</v>
      </c>
      <c r="J9" s="79" t="s">
        <v>811</v>
      </c>
      <c r="K9" s="270" t="s">
        <v>992</v>
      </c>
      <c r="L9" s="271" t="s">
        <v>1016</v>
      </c>
      <c r="M9" s="372" t="s">
        <v>391</v>
      </c>
      <c r="N9" s="270" t="s">
        <v>382</v>
      </c>
      <c r="O9" s="270" t="s">
        <v>374</v>
      </c>
      <c r="P9" s="63" t="s">
        <v>993</v>
      </c>
    </row>
    <row r="10" spans="1:19" s="39" customFormat="1" ht="16.5" customHeight="1">
      <c r="A10" s="82"/>
      <c r="B10" s="74"/>
      <c r="C10" s="374"/>
      <c r="D10" s="107" t="s">
        <v>758</v>
      </c>
      <c r="E10" s="107" t="s">
        <v>466</v>
      </c>
      <c r="F10" s="107" t="s">
        <v>403</v>
      </c>
      <c r="G10" s="383"/>
      <c r="H10" s="228"/>
      <c r="I10" s="374"/>
      <c r="J10" s="107"/>
      <c r="K10" s="228" t="s">
        <v>996</v>
      </c>
      <c r="L10" s="107" t="s">
        <v>403</v>
      </c>
      <c r="M10" s="375"/>
      <c r="N10" s="228"/>
      <c r="O10" s="374" t="s">
        <v>392</v>
      </c>
      <c r="P10" s="374" t="s">
        <v>997</v>
      </c>
    </row>
    <row r="11" spans="1:19" s="39" customFormat="1" ht="16.5" customHeight="1">
      <c r="A11" s="82"/>
      <c r="B11" s="74"/>
      <c r="C11" s="374" t="s">
        <v>405</v>
      </c>
      <c r="D11" s="107" t="s">
        <v>759</v>
      </c>
      <c r="E11" s="107" t="s">
        <v>505</v>
      </c>
      <c r="F11" s="107" t="s">
        <v>410</v>
      </c>
      <c r="G11" s="107" t="s">
        <v>399</v>
      </c>
      <c r="H11" s="228" t="s">
        <v>392</v>
      </c>
      <c r="I11" s="228" t="s">
        <v>405</v>
      </c>
      <c r="J11" s="107" t="s">
        <v>759</v>
      </c>
      <c r="K11" s="63" t="s">
        <v>1001</v>
      </c>
      <c r="L11" s="107" t="s">
        <v>410</v>
      </c>
      <c r="M11" s="375" t="s">
        <v>399</v>
      </c>
      <c r="N11" s="228" t="s">
        <v>392</v>
      </c>
      <c r="O11" s="228" t="s">
        <v>373</v>
      </c>
      <c r="P11" s="228" t="s">
        <v>740</v>
      </c>
    </row>
    <row r="12" spans="1:19" s="39" customFormat="1" ht="16.5" customHeight="1">
      <c r="A12" s="87"/>
      <c r="B12" s="98"/>
      <c r="C12" s="378" t="s">
        <v>782</v>
      </c>
      <c r="D12" s="139"/>
      <c r="E12" s="379"/>
      <c r="F12" s="384"/>
      <c r="G12" s="139"/>
      <c r="H12" s="138"/>
      <c r="I12" s="138"/>
      <c r="J12" s="139"/>
      <c r="K12" s="130"/>
      <c r="L12" s="117"/>
      <c r="M12" s="139"/>
      <c r="N12" s="138"/>
      <c r="O12" s="138" t="s">
        <v>781</v>
      </c>
      <c r="P12" s="138" t="s">
        <v>1002</v>
      </c>
    </row>
    <row r="13" spans="1:19" s="306" customFormat="1" ht="20.25" customHeight="1">
      <c r="A13" s="405">
        <v>2016</v>
      </c>
      <c r="B13" s="497"/>
      <c r="C13" s="1722">
        <v>2808.1265450605624</v>
      </c>
      <c r="D13" s="1722">
        <v>9657.9580489980453</v>
      </c>
      <c r="E13" s="1722">
        <v>1543.2992124664511</v>
      </c>
      <c r="F13" s="1722">
        <v>3124.2201250677854</v>
      </c>
      <c r="G13" s="1722">
        <v>650.68248832766426</v>
      </c>
      <c r="H13" s="1722">
        <v>17784.276419920512</v>
      </c>
      <c r="I13" s="1722">
        <v>2170.6594328236256</v>
      </c>
      <c r="J13" s="1722">
        <v>1316.8800125930354</v>
      </c>
      <c r="K13" s="1722">
        <v>754.59398919997318</v>
      </c>
      <c r="L13" s="1722">
        <v>3946.7296395681483</v>
      </c>
      <c r="M13" s="1723">
        <v>317.25815851613697</v>
      </c>
      <c r="N13" s="1722">
        <v>8506.2012327009215</v>
      </c>
      <c r="O13" s="1724">
        <v>26290.47765262143</v>
      </c>
      <c r="P13" s="652">
        <v>500.0573229558936</v>
      </c>
      <c r="Q13" s="321"/>
      <c r="R13" s="321"/>
      <c r="S13" s="321"/>
    </row>
    <row r="14" spans="1:19" s="408" customFormat="1" ht="14.25" customHeight="1">
      <c r="A14" s="356">
        <v>2017</v>
      </c>
      <c r="B14" s="551"/>
      <c r="C14" s="1725">
        <v>2782.4644292720213</v>
      </c>
      <c r="D14" s="1725">
        <v>10523.743100082333</v>
      </c>
      <c r="E14" s="1726">
        <v>1449.1910483419003</v>
      </c>
      <c r="F14" s="1726">
        <v>3422.8719105847936</v>
      </c>
      <c r="G14" s="1726">
        <v>684.43174972046609</v>
      </c>
      <c r="H14" s="1726">
        <v>18862.702238001511</v>
      </c>
      <c r="I14" s="1726">
        <v>2189.6096609167271</v>
      </c>
      <c r="J14" s="1725">
        <v>1567.0330521168528</v>
      </c>
      <c r="K14" s="1726">
        <v>408.67949108830442</v>
      </c>
      <c r="L14" s="1726">
        <v>3433.0369736222387</v>
      </c>
      <c r="M14" s="1726">
        <v>284.45918301779483</v>
      </c>
      <c r="N14" s="1726">
        <v>7882.8183607619176</v>
      </c>
      <c r="O14" s="1726">
        <v>26745.520598763429</v>
      </c>
      <c r="P14" s="652">
        <v>726.69582643533954</v>
      </c>
      <c r="Q14" s="321"/>
      <c r="R14" s="321"/>
      <c r="S14" s="321"/>
    </row>
    <row r="15" spans="1:19" s="321" customFormat="1" ht="14.25" customHeight="1">
      <c r="A15" s="747">
        <v>2018</v>
      </c>
      <c r="B15" s="748"/>
      <c r="C15" s="749">
        <v>3298.3922684051067</v>
      </c>
      <c r="D15" s="749">
        <v>10658.32677088996</v>
      </c>
      <c r="E15" s="630">
        <v>1457.8572165731014</v>
      </c>
      <c r="F15" s="630">
        <v>3287.5838046594868</v>
      </c>
      <c r="G15" s="630">
        <v>917.54257493251066</v>
      </c>
      <c r="H15" s="630">
        <v>19619.722635460166</v>
      </c>
      <c r="I15" s="630">
        <v>2411.7194159203059</v>
      </c>
      <c r="J15" s="749">
        <v>1877.0206727024197</v>
      </c>
      <c r="K15" s="630">
        <v>368.46042397555516</v>
      </c>
      <c r="L15" s="630">
        <v>3356.4228835296044</v>
      </c>
      <c r="M15" s="630">
        <v>294.87963241310479</v>
      </c>
      <c r="N15" s="630">
        <v>8308.4730285409896</v>
      </c>
      <c r="O15" s="630">
        <v>27928.195664001156</v>
      </c>
      <c r="P15" s="652">
        <v>863.93560726087571</v>
      </c>
    </row>
    <row r="16" spans="1:19" s="321" customFormat="1" ht="14.25" customHeight="1">
      <c r="A16" s="747">
        <v>2019</v>
      </c>
      <c r="B16" s="748"/>
      <c r="C16" s="749">
        <v>2648.1251509171325</v>
      </c>
      <c r="D16" s="749">
        <v>12215.44044754835</v>
      </c>
      <c r="E16" s="630">
        <v>1465.4896821406587</v>
      </c>
      <c r="F16" s="630">
        <v>3528.6022478184514</v>
      </c>
      <c r="G16" s="630">
        <v>1091.1179279307084</v>
      </c>
      <c r="H16" s="630">
        <v>20948.745456355307</v>
      </c>
      <c r="I16" s="630">
        <v>5246.9232433291145</v>
      </c>
      <c r="J16" s="749">
        <v>1981.6908049802964</v>
      </c>
      <c r="K16" s="630">
        <v>471.99059004027674</v>
      </c>
      <c r="L16" s="630">
        <v>3197.5152318289965</v>
      </c>
      <c r="M16" s="630">
        <v>235.7177895254012</v>
      </c>
      <c r="N16" s="630">
        <v>11133.887659704085</v>
      </c>
      <c r="O16" s="630">
        <v>32082.633116059391</v>
      </c>
      <c r="P16" s="652">
        <v>759.70140558993626</v>
      </c>
    </row>
    <row r="17" spans="1:19" s="321" customFormat="1" ht="14.25" customHeight="1">
      <c r="A17" s="747">
        <v>2020</v>
      </c>
      <c r="B17" s="748"/>
      <c r="C17" s="749">
        <v>2816.7169051047181</v>
      </c>
      <c r="D17" s="749">
        <v>13113.569616804331</v>
      </c>
      <c r="E17" s="630">
        <v>1172.6932473231223</v>
      </c>
      <c r="F17" s="630">
        <v>2941.6005236347742</v>
      </c>
      <c r="G17" s="630">
        <v>1308.0551920424421</v>
      </c>
      <c r="H17" s="630">
        <v>21352.655484909385</v>
      </c>
      <c r="I17" s="630">
        <v>4024.0438308358389</v>
      </c>
      <c r="J17" s="749">
        <v>2604.4013560606354</v>
      </c>
      <c r="K17" s="630">
        <v>604.85678452347008</v>
      </c>
      <c r="L17" s="630">
        <v>2718.0570703134777</v>
      </c>
      <c r="M17" s="630">
        <v>307.3380540978518</v>
      </c>
      <c r="N17" s="630">
        <v>10258.677095831274</v>
      </c>
      <c r="O17" s="630">
        <v>31611.382580740654</v>
      </c>
      <c r="P17" s="652">
        <v>819.92092452229599</v>
      </c>
    </row>
    <row r="18" spans="1:19" s="321" customFormat="1" ht="14.25" customHeight="1">
      <c r="A18" s="747">
        <v>2021</v>
      </c>
      <c r="B18" s="748"/>
      <c r="C18" s="749">
        <v>3245.7588134885691</v>
      </c>
      <c r="D18" s="749">
        <v>14533.68937072066</v>
      </c>
      <c r="E18" s="630">
        <v>1086.9578953738028</v>
      </c>
      <c r="F18" s="630">
        <v>2737.9019001063134</v>
      </c>
      <c r="G18" s="630">
        <v>1018.0906603466869</v>
      </c>
      <c r="H18" s="630">
        <v>22622.458640036035</v>
      </c>
      <c r="I18" s="630">
        <v>5826.2275112204197</v>
      </c>
      <c r="J18" s="749">
        <v>3314.4066355169757</v>
      </c>
      <c r="K18" s="630">
        <v>734.85057526395326</v>
      </c>
      <c r="L18" s="630">
        <v>1837.063740502321</v>
      </c>
      <c r="M18" s="630">
        <v>219.7144119713642</v>
      </c>
      <c r="N18" s="630">
        <v>11932.262874475033</v>
      </c>
      <c r="O18" s="630">
        <v>34554.801514509956</v>
      </c>
      <c r="P18" s="652">
        <v>640.04642634880315</v>
      </c>
    </row>
    <row r="19" spans="1:19" s="321" customFormat="1" ht="14.25" customHeight="1">
      <c r="A19" s="747">
        <v>2022</v>
      </c>
      <c r="B19" s="748"/>
      <c r="C19" s="749">
        <v>3876.7492942223089</v>
      </c>
      <c r="D19" s="630">
        <v>14311.411305187155</v>
      </c>
      <c r="E19" s="630">
        <v>965.11924333900538</v>
      </c>
      <c r="F19" s="630">
        <v>3530.1717745519736</v>
      </c>
      <c r="G19" s="630">
        <v>1420.7930555898947</v>
      </c>
      <c r="H19" s="630">
        <v>24104.244672890338</v>
      </c>
      <c r="I19" s="630">
        <v>6877.1166952142748</v>
      </c>
      <c r="J19" s="749">
        <v>3146.7126503923055</v>
      </c>
      <c r="K19" s="630">
        <v>787.3988433238776</v>
      </c>
      <c r="L19" s="630">
        <v>577.0597078589783</v>
      </c>
      <c r="M19" s="630">
        <v>572.55347112472168</v>
      </c>
      <c r="N19" s="630">
        <v>11960.921367914159</v>
      </c>
      <c r="O19" s="630">
        <v>36065.066040804501</v>
      </c>
      <c r="P19" s="652">
        <v>548.76655183907974</v>
      </c>
    </row>
    <row r="20" spans="1:19" s="321" customFormat="1" ht="14.25" customHeight="1">
      <c r="A20" s="747">
        <v>2023</v>
      </c>
      <c r="B20" s="748"/>
      <c r="C20" s="749">
        <v>3355.7990370976386</v>
      </c>
      <c r="D20" s="749">
        <v>14516.281554268764</v>
      </c>
      <c r="E20" s="630">
        <v>1019.2075178131645</v>
      </c>
      <c r="F20" s="630">
        <v>3403.3167497559962</v>
      </c>
      <c r="G20" s="630">
        <v>1463.3493064448742</v>
      </c>
      <c r="H20" s="630">
        <v>23757.944165380439</v>
      </c>
      <c r="I20" s="630">
        <v>7103.0113365120742</v>
      </c>
      <c r="J20" s="749">
        <v>5105.8678003462264</v>
      </c>
      <c r="K20" s="630">
        <v>857.39851003021454</v>
      </c>
      <c r="L20" s="630">
        <v>555.52267761903204</v>
      </c>
      <c r="M20" s="630">
        <v>854.71192167085132</v>
      </c>
      <c r="N20" s="630">
        <v>14476.462246178398</v>
      </c>
      <c r="O20" s="630">
        <v>38234.416411558843</v>
      </c>
      <c r="P20" s="652">
        <v>454.26916329993622</v>
      </c>
    </row>
    <row r="21" spans="1:19" s="321" customFormat="1" ht="14.25" customHeight="1">
      <c r="A21" s="747">
        <v>2024</v>
      </c>
      <c r="B21" s="748"/>
      <c r="C21" s="749">
        <v>4562.3217298076315</v>
      </c>
      <c r="D21" s="749">
        <v>19936.770069994003</v>
      </c>
      <c r="E21" s="630">
        <v>1593.563847750612</v>
      </c>
      <c r="F21" s="630">
        <v>3626.0125184576232</v>
      </c>
      <c r="G21" s="630">
        <v>1360.5001635101908</v>
      </c>
      <c r="H21" s="630">
        <v>31079.16832952006</v>
      </c>
      <c r="I21" s="630">
        <v>17736.727415640569</v>
      </c>
      <c r="J21" s="749">
        <v>7357.8589559839838</v>
      </c>
      <c r="K21" s="630">
        <v>677.02146712126023</v>
      </c>
      <c r="L21" s="630">
        <v>5799.2745308849589</v>
      </c>
      <c r="M21" s="630">
        <v>704.32554133858866</v>
      </c>
      <c r="N21" s="630">
        <v>32275.207910969362</v>
      </c>
      <c r="O21" s="630">
        <v>63354.376240489422</v>
      </c>
      <c r="P21" s="652">
        <v>7099.9859692193722</v>
      </c>
    </row>
    <row r="22" spans="1:19" s="321" customFormat="1" ht="14.25" customHeight="1">
      <c r="A22" s="906">
        <v>2025</v>
      </c>
      <c r="B22" s="997"/>
      <c r="C22" s="998">
        <f t="shared" ref="C22:P22" si="0">C28</f>
        <v>5917.6053432477056</v>
      </c>
      <c r="D22" s="998">
        <f t="shared" si="0"/>
        <v>20663.914405030075</v>
      </c>
      <c r="E22" s="999">
        <f t="shared" si="0"/>
        <v>1251.3529959863563</v>
      </c>
      <c r="F22" s="999">
        <f t="shared" si="0"/>
        <v>3708.6448094659472</v>
      </c>
      <c r="G22" s="999">
        <f t="shared" si="0"/>
        <v>1468.0733909537407</v>
      </c>
      <c r="H22" s="999">
        <f t="shared" si="0"/>
        <v>33009.600944683829</v>
      </c>
      <c r="I22" s="999">
        <f t="shared" si="0"/>
        <v>18084.148589047938</v>
      </c>
      <c r="J22" s="998">
        <f t="shared" si="0"/>
        <v>9521.6440770185673</v>
      </c>
      <c r="K22" s="999">
        <f t="shared" si="0"/>
        <v>336.52680588653305</v>
      </c>
      <c r="L22" s="999">
        <f t="shared" si="0"/>
        <v>5916.1853665733297</v>
      </c>
      <c r="M22" s="999">
        <f t="shared" si="0"/>
        <v>192.87284557808007</v>
      </c>
      <c r="N22" s="999">
        <f t="shared" si="0"/>
        <v>34051.327684104443</v>
      </c>
      <c r="O22" s="999">
        <f t="shared" si="0"/>
        <v>67060.928628788271</v>
      </c>
      <c r="P22" s="1727">
        <f t="shared" si="0"/>
        <v>7250.3602279886054</v>
      </c>
    </row>
    <row r="23" spans="1:19" s="321" customFormat="1" ht="21" customHeight="1">
      <c r="A23" s="747">
        <v>2024</v>
      </c>
      <c r="B23" s="748" t="s">
        <v>237</v>
      </c>
      <c r="C23" s="749">
        <v>4602.3040107294382</v>
      </c>
      <c r="D23" s="749">
        <v>20377.4300162459</v>
      </c>
      <c r="E23" s="630">
        <v>1588.5648083490692</v>
      </c>
      <c r="F23" s="630">
        <v>3477.5340150437787</v>
      </c>
      <c r="G23" s="630">
        <v>1759.5522010900063</v>
      </c>
      <c r="H23" s="630">
        <v>31805.385051458194</v>
      </c>
      <c r="I23" s="630">
        <v>15479.084720333196</v>
      </c>
      <c r="J23" s="749">
        <v>7366.0241449047335</v>
      </c>
      <c r="K23" s="630">
        <v>706.70281009499172</v>
      </c>
      <c r="L23" s="630">
        <v>5416.440257044088</v>
      </c>
      <c r="M23" s="630">
        <v>1536.8574827639441</v>
      </c>
      <c r="N23" s="630">
        <v>30505.10941514096</v>
      </c>
      <c r="O23" s="630">
        <v>62310.494466599135</v>
      </c>
      <c r="P23" s="652">
        <v>5986.1897349339097</v>
      </c>
    </row>
    <row r="24" spans="1:19" s="321" customFormat="1" ht="15" customHeight="1">
      <c r="A24" s="747"/>
      <c r="B24" s="748" t="s">
        <v>238</v>
      </c>
      <c r="C24" s="749">
        <v>4562.3217298076315</v>
      </c>
      <c r="D24" s="749">
        <v>19936.770069994003</v>
      </c>
      <c r="E24" s="630">
        <v>1593.563847750612</v>
      </c>
      <c r="F24" s="630">
        <v>3626.0125184576232</v>
      </c>
      <c r="G24" s="630">
        <v>1360.5001635101908</v>
      </c>
      <c r="H24" s="630">
        <v>31079.16832952006</v>
      </c>
      <c r="I24" s="630">
        <v>17736.727415640569</v>
      </c>
      <c r="J24" s="749">
        <v>7357.8589559839838</v>
      </c>
      <c r="K24" s="630">
        <v>677.02146712126023</v>
      </c>
      <c r="L24" s="630">
        <v>5799.2745308849589</v>
      </c>
      <c r="M24" s="630">
        <v>704.32554133858866</v>
      </c>
      <c r="N24" s="630">
        <v>32275.207910969362</v>
      </c>
      <c r="O24" s="630">
        <v>63354.376240489422</v>
      </c>
      <c r="P24" s="652">
        <v>7099.9859692193722</v>
      </c>
    </row>
    <row r="25" spans="1:19" s="321" customFormat="1" ht="21" customHeight="1">
      <c r="A25" s="747">
        <v>2025</v>
      </c>
      <c r="B25" s="748" t="s">
        <v>239</v>
      </c>
      <c r="C25" s="749">
        <v>5699.4442318190668</v>
      </c>
      <c r="D25" s="749">
        <v>19937.105545862887</v>
      </c>
      <c r="E25" s="630">
        <v>1513.3904585456385</v>
      </c>
      <c r="F25" s="630">
        <v>3232.0817427092165</v>
      </c>
      <c r="G25" s="630">
        <v>2009.6329206256423</v>
      </c>
      <c r="H25" s="630">
        <v>32391.624899562448</v>
      </c>
      <c r="I25" s="630">
        <v>15775.613840548498</v>
      </c>
      <c r="J25" s="749">
        <v>6722.3657276824924</v>
      </c>
      <c r="K25" s="630">
        <v>788.22835129553869</v>
      </c>
      <c r="L25" s="630">
        <v>5468.1974600100002</v>
      </c>
      <c r="M25" s="630">
        <v>370.14424267327962</v>
      </c>
      <c r="N25" s="630">
        <v>29124.529622209808</v>
      </c>
      <c r="O25" s="630">
        <v>61516.104521772264</v>
      </c>
      <c r="P25" s="652">
        <v>7914.1785332618256</v>
      </c>
    </row>
    <row r="26" spans="1:19" s="321" customFormat="1" ht="15" customHeight="1">
      <c r="A26" s="747"/>
      <c r="B26" s="748" t="s">
        <v>240</v>
      </c>
      <c r="C26" s="749">
        <v>5759.4064604318282</v>
      </c>
      <c r="D26" s="749">
        <v>20013.796662639001</v>
      </c>
      <c r="E26" s="630">
        <v>1405.2976167792563</v>
      </c>
      <c r="F26" s="630">
        <v>3487.7965950408598</v>
      </c>
      <c r="G26" s="630">
        <v>1531.5401166807576</v>
      </c>
      <c r="H26" s="630">
        <v>32197.847451571703</v>
      </c>
      <c r="I26" s="630">
        <v>17929.553531658446</v>
      </c>
      <c r="J26" s="749">
        <v>7097.315652403815</v>
      </c>
      <c r="K26" s="630">
        <v>1025.7562867582783</v>
      </c>
      <c r="L26" s="630">
        <v>5927.5188164748433</v>
      </c>
      <c r="M26" s="630">
        <v>292.29646471656287</v>
      </c>
      <c r="N26" s="630">
        <v>32272.460752011943</v>
      </c>
      <c r="O26" s="630">
        <v>64470.288203583637</v>
      </c>
      <c r="P26" s="652">
        <v>7761.1637619448184</v>
      </c>
    </row>
    <row r="27" spans="1:19" s="321" customFormat="1" ht="15" customHeight="1">
      <c r="A27" s="747"/>
      <c r="B27" s="748" t="s">
        <v>237</v>
      </c>
      <c r="C27" s="749">
        <v>5880.0501049236827</v>
      </c>
      <c r="D27" s="749">
        <v>20092.048809434069</v>
      </c>
      <c r="E27" s="630">
        <v>1380.5200631453999</v>
      </c>
      <c r="F27" s="630">
        <v>3627.2970871792568</v>
      </c>
      <c r="G27" s="630">
        <v>1486.2753438507189</v>
      </c>
      <c r="H27" s="630">
        <v>32466.191408533123</v>
      </c>
      <c r="I27" s="630">
        <v>18266.141163692773</v>
      </c>
      <c r="J27" s="749">
        <v>8223.3757204002723</v>
      </c>
      <c r="K27" s="630">
        <v>1192.8481617984883</v>
      </c>
      <c r="L27" s="630">
        <v>6074.9583086717385</v>
      </c>
      <c r="M27" s="630">
        <v>316.12091436945542</v>
      </c>
      <c r="N27" s="630">
        <v>34073.444268932733</v>
      </c>
      <c r="O27" s="630">
        <v>66539.635677465849</v>
      </c>
      <c r="P27" s="652">
        <v>7349.6691770874295</v>
      </c>
    </row>
    <row r="28" spans="1:19" s="321" customFormat="1" ht="15" customHeight="1">
      <c r="A28" s="747"/>
      <c r="B28" s="748" t="s">
        <v>238</v>
      </c>
      <c r="C28" s="749">
        <f t="shared" ref="C28:P28" si="1">C36</f>
        <v>5917.6053432477056</v>
      </c>
      <c r="D28" s="749">
        <f t="shared" si="1"/>
        <v>20663.914405030075</v>
      </c>
      <c r="E28" s="630">
        <f t="shared" si="1"/>
        <v>1251.3529959863563</v>
      </c>
      <c r="F28" s="630">
        <f t="shared" si="1"/>
        <v>3708.6448094659472</v>
      </c>
      <c r="G28" s="630">
        <f t="shared" si="1"/>
        <v>1468.0733909537407</v>
      </c>
      <c r="H28" s="630">
        <f t="shared" si="1"/>
        <v>33009.600944683829</v>
      </c>
      <c r="I28" s="630">
        <f t="shared" si="1"/>
        <v>18084.148589047938</v>
      </c>
      <c r="J28" s="749">
        <f t="shared" si="1"/>
        <v>9521.6440770185673</v>
      </c>
      <c r="K28" s="630">
        <f t="shared" si="1"/>
        <v>336.52680588653305</v>
      </c>
      <c r="L28" s="630">
        <f t="shared" si="1"/>
        <v>5916.1853665733297</v>
      </c>
      <c r="M28" s="630">
        <f t="shared" si="1"/>
        <v>192.87284557808007</v>
      </c>
      <c r="N28" s="630">
        <f t="shared" si="1"/>
        <v>34051.327684104443</v>
      </c>
      <c r="O28" s="630">
        <f t="shared" si="1"/>
        <v>67060.928628788271</v>
      </c>
      <c r="P28" s="652">
        <f t="shared" si="1"/>
        <v>7250.3602279886054</v>
      </c>
    </row>
    <row r="29" spans="1:19" s="321" customFormat="1" ht="21" customHeight="1">
      <c r="A29" s="747">
        <v>2026</v>
      </c>
      <c r="B29" s="748" t="s">
        <v>239</v>
      </c>
      <c r="C29" s="749">
        <f t="shared" ref="C29:P29" si="2">C39</f>
        <v>6011.5377109973488</v>
      </c>
      <c r="D29" s="749">
        <f t="shared" si="2"/>
        <v>21558.214997773943</v>
      </c>
      <c r="E29" s="630">
        <f t="shared" si="2"/>
        <v>1164.6759949258783</v>
      </c>
      <c r="F29" s="630">
        <f t="shared" si="2"/>
        <v>3422.8831969647672</v>
      </c>
      <c r="G29" s="630">
        <f t="shared" si="2"/>
        <v>1548.3297851167474</v>
      </c>
      <c r="H29" s="630">
        <f t="shared" si="2"/>
        <v>33705.641685778683</v>
      </c>
      <c r="I29" s="630">
        <f t="shared" si="2"/>
        <v>19423.815859088583</v>
      </c>
      <c r="J29" s="749">
        <f t="shared" si="2"/>
        <v>9587.2028690403349</v>
      </c>
      <c r="K29" s="630">
        <f t="shared" si="2"/>
        <v>357.05230756692026</v>
      </c>
      <c r="L29" s="630">
        <f t="shared" si="2"/>
        <v>5579.2327688660571</v>
      </c>
      <c r="M29" s="630">
        <f t="shared" si="2"/>
        <v>601.24608632866375</v>
      </c>
      <c r="N29" s="630">
        <f t="shared" si="2"/>
        <v>35548.549890890557</v>
      </c>
      <c r="O29" s="630">
        <f t="shared" si="2"/>
        <v>69254.141576669237</v>
      </c>
      <c r="P29" s="652">
        <f t="shared" si="2"/>
        <v>5593.8362869649509</v>
      </c>
    </row>
    <row r="30" spans="1:19" s="321" customFormat="1" ht="15" customHeight="1">
      <c r="A30" s="906"/>
      <c r="B30" s="997" t="s">
        <v>240</v>
      </c>
      <c r="C30" s="998">
        <f t="shared" ref="C30:P30" si="3">C42</f>
        <v>5665.4933006518359</v>
      </c>
      <c r="D30" s="998">
        <f t="shared" si="3"/>
        <v>22327.981362608378</v>
      </c>
      <c r="E30" s="999">
        <f t="shared" si="3"/>
        <v>1299.6301209623675</v>
      </c>
      <c r="F30" s="999">
        <f t="shared" si="3"/>
        <v>3632.9964121979265</v>
      </c>
      <c r="G30" s="999">
        <f t="shared" si="3"/>
        <v>1606.1008219761427</v>
      </c>
      <c r="H30" s="999">
        <f t="shared" si="3"/>
        <v>34532.202018396652</v>
      </c>
      <c r="I30" s="999">
        <f t="shared" si="3"/>
        <v>16808.35697345878</v>
      </c>
      <c r="J30" s="998">
        <f t="shared" si="3"/>
        <v>10701.581059099935</v>
      </c>
      <c r="K30" s="999">
        <f t="shared" si="3"/>
        <v>364.83646956519721</v>
      </c>
      <c r="L30" s="999">
        <f t="shared" si="3"/>
        <v>5758.5114318733413</v>
      </c>
      <c r="M30" s="999">
        <f t="shared" si="3"/>
        <v>787.38766445676617</v>
      </c>
      <c r="N30" s="999">
        <f t="shared" si="3"/>
        <v>34420.673598454014</v>
      </c>
      <c r="O30" s="999">
        <f t="shared" si="3"/>
        <v>68952.875616850666</v>
      </c>
      <c r="P30" s="1727">
        <f t="shared" si="3"/>
        <v>4858.7993565598281</v>
      </c>
    </row>
    <row r="31" spans="1:19" s="321" customFormat="1" ht="21" customHeight="1">
      <c r="A31" s="747">
        <v>2025</v>
      </c>
      <c r="B31" s="748" t="s">
        <v>420</v>
      </c>
      <c r="C31" s="749">
        <v>6031.0213226840624</v>
      </c>
      <c r="D31" s="749">
        <v>19551.028257805287</v>
      </c>
      <c r="E31" s="630">
        <v>1530.6885597907717</v>
      </c>
      <c r="F31" s="630">
        <v>3565.8460345079848</v>
      </c>
      <c r="G31" s="630">
        <v>1543.7571498482091</v>
      </c>
      <c r="H31" s="630">
        <v>32222.33132463631</v>
      </c>
      <c r="I31" s="630">
        <v>17828.805819746038</v>
      </c>
      <c r="J31" s="749">
        <v>7695.2617726303133</v>
      </c>
      <c r="K31" s="630">
        <v>1279.1144423574283</v>
      </c>
      <c r="L31" s="630">
        <v>6003.4364762356108</v>
      </c>
      <c r="M31" s="630">
        <v>277.85832632808274</v>
      </c>
      <c r="N31" s="630">
        <v>33084.46683729747</v>
      </c>
      <c r="O31" s="630">
        <v>65306.798161933781</v>
      </c>
      <c r="P31" s="652">
        <v>7357.2193948115146</v>
      </c>
      <c r="Q31" s="770"/>
      <c r="R31" s="770"/>
      <c r="S31" s="770"/>
    </row>
    <row r="32" spans="1:19" s="321" customFormat="1" ht="15" customHeight="1">
      <c r="A32" s="747"/>
      <c r="B32" s="748" t="s">
        <v>421</v>
      </c>
      <c r="C32" s="749">
        <v>5981.4584712719898</v>
      </c>
      <c r="D32" s="749">
        <v>19626.364134964151</v>
      </c>
      <c r="E32" s="630">
        <v>1417.2177024611715</v>
      </c>
      <c r="F32" s="630">
        <v>3552.1308634062575</v>
      </c>
      <c r="G32" s="630">
        <v>1524.5157056924602</v>
      </c>
      <c r="H32" s="630">
        <v>32101.686877796026</v>
      </c>
      <c r="I32" s="630">
        <v>18091.24324157336</v>
      </c>
      <c r="J32" s="749">
        <v>7916.2985242706882</v>
      </c>
      <c r="K32" s="630">
        <v>1279.1144423574283</v>
      </c>
      <c r="L32" s="630">
        <v>5985.7635561343695</v>
      </c>
      <c r="M32" s="630">
        <v>297.02676347228146</v>
      </c>
      <c r="N32" s="630">
        <v>33569.436527808131</v>
      </c>
      <c r="O32" s="630">
        <v>65671.143405604162</v>
      </c>
      <c r="P32" s="652">
        <v>7679.7223960506826</v>
      </c>
      <c r="Q32" s="770"/>
      <c r="R32" s="770"/>
      <c r="S32" s="770"/>
    </row>
    <row r="33" spans="1:19" s="321" customFormat="1" ht="15" customHeight="1">
      <c r="A33" s="747"/>
      <c r="B33" s="748" t="s">
        <v>422</v>
      </c>
      <c r="C33" s="749">
        <v>5880.0501049236827</v>
      </c>
      <c r="D33" s="749">
        <v>20092.048809434069</v>
      </c>
      <c r="E33" s="630">
        <v>1380.5200631453999</v>
      </c>
      <c r="F33" s="630">
        <v>3627.2970871792568</v>
      </c>
      <c r="G33" s="630">
        <v>1486.2753438507189</v>
      </c>
      <c r="H33" s="630">
        <v>32466.191408533123</v>
      </c>
      <c r="I33" s="630">
        <v>18266.141163692773</v>
      </c>
      <c r="J33" s="749">
        <v>8223.3757204002723</v>
      </c>
      <c r="K33" s="630">
        <v>1192.8481617984883</v>
      </c>
      <c r="L33" s="630">
        <v>6074.9583086717385</v>
      </c>
      <c r="M33" s="630">
        <v>316.12091436945542</v>
      </c>
      <c r="N33" s="630">
        <v>34073.444268932733</v>
      </c>
      <c r="O33" s="630">
        <v>66539.635677465849</v>
      </c>
      <c r="P33" s="652">
        <v>7349.6691770874295</v>
      </c>
      <c r="Q33" s="770"/>
      <c r="R33" s="770"/>
      <c r="S33" s="770"/>
    </row>
    <row r="34" spans="1:19" s="321" customFormat="1" ht="15" customHeight="1">
      <c r="A34" s="747"/>
      <c r="B34" s="748" t="s">
        <v>411</v>
      </c>
      <c r="C34" s="749">
        <v>5764.1164106948454</v>
      </c>
      <c r="D34" s="749">
        <v>19813.344155729905</v>
      </c>
      <c r="E34" s="630">
        <v>1316.757093442553</v>
      </c>
      <c r="F34" s="630">
        <v>3751.1524472792953</v>
      </c>
      <c r="G34" s="630">
        <v>1529.3461138872387</v>
      </c>
      <c r="H34" s="630">
        <v>32174.726221033838</v>
      </c>
      <c r="I34" s="630">
        <v>17622.367624646096</v>
      </c>
      <c r="J34" s="749">
        <v>8604.9351384701858</v>
      </c>
      <c r="K34" s="630">
        <v>1261.0534601714307</v>
      </c>
      <c r="L34" s="630">
        <v>6034.7164253678511</v>
      </c>
      <c r="M34" s="630">
        <v>326.02633864885695</v>
      </c>
      <c r="N34" s="630">
        <v>33849.098987304416</v>
      </c>
      <c r="O34" s="630">
        <v>66023.825208338254</v>
      </c>
      <c r="P34" s="652">
        <v>7136.3698914346933</v>
      </c>
      <c r="Q34" s="770"/>
      <c r="R34" s="770"/>
      <c r="S34" s="770"/>
    </row>
    <row r="35" spans="1:19" s="321" customFormat="1" ht="15" customHeight="1">
      <c r="A35" s="747"/>
      <c r="B35" s="748" t="s">
        <v>412</v>
      </c>
      <c r="C35" s="749">
        <v>6032.5587910218528</v>
      </c>
      <c r="D35" s="749">
        <v>19969.938454394112</v>
      </c>
      <c r="E35" s="630">
        <v>1267.7447511126861</v>
      </c>
      <c r="F35" s="630">
        <v>3823.9762641382094</v>
      </c>
      <c r="G35" s="630">
        <v>1552.9864543171645</v>
      </c>
      <c r="H35" s="630">
        <v>32647.234714984028</v>
      </c>
      <c r="I35" s="630">
        <v>18177.655566420421</v>
      </c>
      <c r="J35" s="749">
        <v>9752.0197873834331</v>
      </c>
      <c r="K35" s="630">
        <v>1278.3963891543219</v>
      </c>
      <c r="L35" s="630">
        <v>6022.9847574192081</v>
      </c>
      <c r="M35" s="630">
        <v>348.54575680403491</v>
      </c>
      <c r="N35" s="630">
        <v>35579.602257181417</v>
      </c>
      <c r="O35" s="630">
        <v>68226.836972165445</v>
      </c>
      <c r="P35" s="652">
        <v>7073.6603355584957</v>
      </c>
      <c r="Q35" s="770"/>
      <c r="R35" s="770"/>
      <c r="S35" s="770"/>
    </row>
    <row r="36" spans="1:19" s="321" customFormat="1" ht="15" customHeight="1">
      <c r="A36" s="747"/>
      <c r="B36" s="748" t="s">
        <v>413</v>
      </c>
      <c r="C36" s="749">
        <v>5917.6053432477056</v>
      </c>
      <c r="D36" s="749">
        <v>20663.914405030075</v>
      </c>
      <c r="E36" s="630">
        <v>1251.3529959863563</v>
      </c>
      <c r="F36" s="630">
        <v>3708.6448094659472</v>
      </c>
      <c r="G36" s="630">
        <v>1468.0733909537407</v>
      </c>
      <c r="H36" s="630">
        <v>33009.600944683829</v>
      </c>
      <c r="I36" s="630">
        <v>18084.148589047938</v>
      </c>
      <c r="J36" s="749">
        <v>9521.6440770185673</v>
      </c>
      <c r="K36" s="630">
        <v>336.52680588653305</v>
      </c>
      <c r="L36" s="630">
        <v>5916.1853665733297</v>
      </c>
      <c r="M36" s="630">
        <v>192.87284557808007</v>
      </c>
      <c r="N36" s="630">
        <v>34051.327684104443</v>
      </c>
      <c r="O36" s="630">
        <v>67060.928628788271</v>
      </c>
      <c r="P36" s="652">
        <v>7250.3602279886054</v>
      </c>
      <c r="Q36" s="770"/>
      <c r="R36" s="770"/>
      <c r="S36" s="770"/>
    </row>
    <row r="37" spans="1:19" s="321" customFormat="1" ht="21" customHeight="1">
      <c r="A37" s="747">
        <v>2026</v>
      </c>
      <c r="B37" s="748" t="s">
        <v>414</v>
      </c>
      <c r="C37" s="749">
        <v>5999.5330530274987</v>
      </c>
      <c r="D37" s="749">
        <v>20518.758573414063</v>
      </c>
      <c r="E37" s="630">
        <v>1178.4272992548938</v>
      </c>
      <c r="F37" s="630">
        <v>3827.3002069798658</v>
      </c>
      <c r="G37" s="630">
        <v>1548.1771996964512</v>
      </c>
      <c r="H37" s="630">
        <v>33072.196332372776</v>
      </c>
      <c r="I37" s="630">
        <v>18208.352355733728</v>
      </c>
      <c r="J37" s="749">
        <v>9867.8442197387922</v>
      </c>
      <c r="K37" s="630">
        <v>341.04165026318975</v>
      </c>
      <c r="L37" s="630">
        <v>5929.3178745467958</v>
      </c>
      <c r="M37" s="630">
        <v>213.45845234461675</v>
      </c>
      <c r="N37" s="630">
        <v>34560.044552627121</v>
      </c>
      <c r="O37" s="630">
        <v>67632.150884999894</v>
      </c>
      <c r="P37" s="652">
        <v>6819.6170586999251</v>
      </c>
      <c r="Q37" s="770"/>
      <c r="R37" s="770"/>
      <c r="S37" s="770"/>
    </row>
    <row r="38" spans="1:19" s="321" customFormat="1" ht="15" customHeight="1">
      <c r="A38" s="747"/>
      <c r="B38" s="748" t="s">
        <v>415</v>
      </c>
      <c r="C38" s="749">
        <v>5825.4902696898444</v>
      </c>
      <c r="D38" s="749">
        <v>21230.8355439884</v>
      </c>
      <c r="E38" s="630">
        <v>1180.271091386463</v>
      </c>
      <c r="F38" s="630">
        <v>3843.3621031952466</v>
      </c>
      <c r="G38" s="630">
        <v>1469.832625954743</v>
      </c>
      <c r="H38" s="630">
        <v>33549.7916342147</v>
      </c>
      <c r="I38" s="630">
        <v>18356.500086804775</v>
      </c>
      <c r="J38" s="749">
        <v>10617.365107588048</v>
      </c>
      <c r="K38" s="630">
        <v>378.16590601959928</v>
      </c>
      <c r="L38" s="630">
        <v>5923.2428501507893</v>
      </c>
      <c r="M38" s="630">
        <v>282.2487722585301</v>
      </c>
      <c r="N38" s="630">
        <v>35557.542722821745</v>
      </c>
      <c r="O38" s="630">
        <v>69107.344357036447</v>
      </c>
      <c r="P38" s="652">
        <v>6580.0034210498179</v>
      </c>
      <c r="Q38" s="770"/>
      <c r="R38" s="770"/>
      <c r="S38" s="770"/>
    </row>
    <row r="39" spans="1:19" s="321" customFormat="1" ht="15" customHeight="1">
      <c r="A39" s="747"/>
      <c r="B39" s="748" t="s">
        <v>416</v>
      </c>
      <c r="C39" s="749">
        <v>6011.5377109973488</v>
      </c>
      <c r="D39" s="749">
        <v>21558.214997773943</v>
      </c>
      <c r="E39" s="630">
        <v>1164.6759949258783</v>
      </c>
      <c r="F39" s="630">
        <v>3422.8831969647672</v>
      </c>
      <c r="G39" s="630">
        <v>1548.3297851167474</v>
      </c>
      <c r="H39" s="630">
        <v>33705.641685778683</v>
      </c>
      <c r="I39" s="630">
        <v>19423.815859088583</v>
      </c>
      <c r="J39" s="749">
        <v>9587.2028690403349</v>
      </c>
      <c r="K39" s="630">
        <v>357.05230756692026</v>
      </c>
      <c r="L39" s="630">
        <v>5579.2327688660571</v>
      </c>
      <c r="M39" s="630">
        <v>601.24608632866375</v>
      </c>
      <c r="N39" s="630">
        <v>35548.549890890557</v>
      </c>
      <c r="O39" s="630">
        <v>69254.141576669237</v>
      </c>
      <c r="P39" s="652">
        <v>5593.8362869649509</v>
      </c>
      <c r="Q39" s="770"/>
      <c r="R39" s="770"/>
      <c r="S39" s="770"/>
    </row>
    <row r="40" spans="1:19" s="321" customFormat="1" ht="15" customHeight="1">
      <c r="A40" s="747"/>
      <c r="B40" s="748" t="s">
        <v>417</v>
      </c>
      <c r="C40" s="749">
        <v>6156.2424750985492</v>
      </c>
      <c r="D40" s="749">
        <v>22060.017430892418</v>
      </c>
      <c r="E40" s="630">
        <v>1095.3790963926604</v>
      </c>
      <c r="F40" s="630">
        <v>3613.1922274253602</v>
      </c>
      <c r="G40" s="630">
        <v>1636.4905712131131</v>
      </c>
      <c r="H40" s="630">
        <v>34561.321801022103</v>
      </c>
      <c r="I40" s="630">
        <v>18351.69116590163</v>
      </c>
      <c r="J40" s="749">
        <v>11001.709913734348</v>
      </c>
      <c r="K40" s="630">
        <v>345.61742733391554</v>
      </c>
      <c r="L40" s="630">
        <v>5672.3456391200225</v>
      </c>
      <c r="M40" s="630">
        <v>573.89477554680343</v>
      </c>
      <c r="N40" s="630">
        <v>35945.248921636718</v>
      </c>
      <c r="O40" s="630">
        <v>70506.540722658814</v>
      </c>
      <c r="P40" s="652">
        <v>5375.8344340643262</v>
      </c>
      <c r="Q40" s="770"/>
      <c r="R40" s="770"/>
      <c r="S40" s="770"/>
    </row>
    <row r="41" spans="1:19" s="321" customFormat="1" ht="15" customHeight="1">
      <c r="A41" s="747"/>
      <c r="B41" s="748" t="s">
        <v>418</v>
      </c>
      <c r="C41" s="749">
        <v>6028.0576091735957</v>
      </c>
      <c r="D41" s="749">
        <v>22210.608730009124</v>
      </c>
      <c r="E41" s="630">
        <v>1113.3409880025797</v>
      </c>
      <c r="F41" s="630">
        <v>3622.8717385458554</v>
      </c>
      <c r="G41" s="630">
        <v>1759.6876337802485</v>
      </c>
      <c r="H41" s="630">
        <v>34734.576699511403</v>
      </c>
      <c r="I41" s="630">
        <v>17297.779359491848</v>
      </c>
      <c r="J41" s="749">
        <v>11359.82973753674</v>
      </c>
      <c r="K41" s="630">
        <v>342.24179117342965</v>
      </c>
      <c r="L41" s="630">
        <v>5710.1650351480012</v>
      </c>
      <c r="M41" s="630">
        <v>547.82713173926925</v>
      </c>
      <c r="N41" s="630">
        <v>35257.843055089281</v>
      </c>
      <c r="O41" s="630">
        <v>69992.419754600691</v>
      </c>
      <c r="P41" s="652">
        <v>5191.2366443874516</v>
      </c>
      <c r="Q41" s="770"/>
      <c r="R41" s="770"/>
      <c r="S41" s="770"/>
    </row>
    <row r="42" spans="1:19" s="321" customFormat="1" ht="15" customHeight="1">
      <c r="A42" s="747"/>
      <c r="B42" s="748" t="s">
        <v>419</v>
      </c>
      <c r="C42" s="749">
        <v>5665.4933006518359</v>
      </c>
      <c r="D42" s="749">
        <v>22327.981362608378</v>
      </c>
      <c r="E42" s="630">
        <v>1299.6301209623675</v>
      </c>
      <c r="F42" s="630">
        <v>3632.9964121979265</v>
      </c>
      <c r="G42" s="630">
        <v>1606.1008219761427</v>
      </c>
      <c r="H42" s="630">
        <v>34532.202018396652</v>
      </c>
      <c r="I42" s="630">
        <v>16808.35697345878</v>
      </c>
      <c r="J42" s="749">
        <v>10701.581059099935</v>
      </c>
      <c r="K42" s="630">
        <v>364.83646956519721</v>
      </c>
      <c r="L42" s="630">
        <v>5758.5114318733413</v>
      </c>
      <c r="M42" s="630">
        <v>787.38766445676617</v>
      </c>
      <c r="N42" s="630">
        <v>34420.673598454014</v>
      </c>
      <c r="O42" s="630">
        <v>68952.875616850666</v>
      </c>
      <c r="P42" s="652">
        <v>4858.7993565598281</v>
      </c>
      <c r="Q42" s="770"/>
      <c r="R42" s="770"/>
      <c r="S42" s="770"/>
    </row>
    <row r="43" spans="1:19" s="321" customFormat="1" ht="15" customHeight="1">
      <c r="A43" s="747"/>
      <c r="B43" s="748" t="s">
        <v>420</v>
      </c>
      <c r="C43" s="749">
        <v>5922.3808674079628</v>
      </c>
      <c r="D43" s="749">
        <v>21674.811691748375</v>
      </c>
      <c r="E43" s="630">
        <v>1328.0101698339097</v>
      </c>
      <c r="F43" s="630">
        <v>3761.6395989949547</v>
      </c>
      <c r="G43" s="630">
        <v>1915.3666635316233</v>
      </c>
      <c r="H43" s="630">
        <v>34602.228991516822</v>
      </c>
      <c r="I43" s="630">
        <v>17617.798135595658</v>
      </c>
      <c r="J43" s="749">
        <v>10708.462501177039</v>
      </c>
      <c r="K43" s="630">
        <v>284.60121664632652</v>
      </c>
      <c r="L43" s="630">
        <v>5769.3260690037623</v>
      </c>
      <c r="M43" s="630">
        <v>657.32887570580499</v>
      </c>
      <c r="N43" s="630">
        <v>35037.496798128581</v>
      </c>
      <c r="O43" s="630">
        <v>69639.725789645396</v>
      </c>
      <c r="P43" s="652">
        <v>4519.1116736281892</v>
      </c>
      <c r="Q43" s="770"/>
      <c r="R43" s="770"/>
      <c r="S43" s="770"/>
    </row>
    <row r="44" spans="1:19" ht="19.5" customHeight="1">
      <c r="A44" s="380" t="s">
        <v>1003</v>
      </c>
      <c r="B44" s="1410"/>
      <c r="C44" s="1410"/>
      <c r="D44" s="1410"/>
      <c r="E44" s="1410"/>
      <c r="F44" s="1410"/>
      <c r="G44" s="1410"/>
      <c r="H44" s="1410"/>
      <c r="I44" s="1410"/>
      <c r="J44" s="1410"/>
      <c r="K44" s="1410"/>
      <c r="L44" s="1410"/>
      <c r="M44" s="1410"/>
      <c r="N44" s="220"/>
      <c r="O44" s="726"/>
      <c r="P44" s="1728" t="s">
        <v>1004</v>
      </c>
    </row>
    <row r="45" spans="1:19" ht="13.8">
      <c r="A45" s="381" t="s">
        <v>1005</v>
      </c>
      <c r="J45" s="766"/>
      <c r="O45" s="1729"/>
      <c r="P45" s="1729" t="s">
        <v>1006</v>
      </c>
    </row>
    <row r="46" spans="1:19">
      <c r="A46" s="381" t="s">
        <v>1007</v>
      </c>
      <c r="O46" s="1729"/>
      <c r="P46" s="1729" t="s">
        <v>1008</v>
      </c>
    </row>
    <row r="48" spans="1:19">
      <c r="A48" s="382" t="s">
        <v>1045</v>
      </c>
      <c r="B48" s="1414"/>
      <c r="C48" s="1414"/>
      <c r="D48" s="1414"/>
      <c r="E48" s="1414"/>
      <c r="F48" s="1414"/>
      <c r="G48" s="1414"/>
      <c r="H48" s="1414"/>
      <c r="I48" s="1414"/>
      <c r="J48" s="1414"/>
      <c r="K48" s="1414"/>
      <c r="L48" s="1414"/>
      <c r="M48" s="1414"/>
      <c r="N48" s="1414"/>
      <c r="O48" s="1414"/>
      <c r="P48" s="1414"/>
    </row>
  </sheetData>
  <phoneticPr fontId="32" type="noConversion"/>
  <printOptions horizontalCentered="1" verticalCentered="1"/>
  <pageMargins left="0" right="0" top="0" bottom="0" header="0.5" footer="0.5"/>
  <pageSetup paperSize="9" scale="7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dimension ref="A1:U47"/>
  <sheetViews>
    <sheetView zoomScale="80" zoomScaleNormal="80" workbookViewId="0">
      <pane ySplit="12" topLeftCell="A37" activePane="bottomLeft" state="frozen"/>
      <selection activeCell="B2" sqref="B2"/>
      <selection pane="bottomLeft" activeCell="L48" sqref="L48"/>
    </sheetView>
  </sheetViews>
  <sheetFormatPr defaultColWidth="9.21875" defaultRowHeight="13.2"/>
  <cols>
    <col min="1" max="2" width="9.77734375" style="1402" customWidth="1"/>
    <col min="3" max="3" width="12.77734375" style="1402" customWidth="1"/>
    <col min="4" max="4" width="10.21875" style="1402" customWidth="1"/>
    <col min="5" max="5" width="12.77734375" style="1402" customWidth="1"/>
    <col min="6" max="6" width="11.77734375" style="1402" customWidth="1"/>
    <col min="7" max="8" width="10.77734375" style="1402" customWidth="1"/>
    <col min="9" max="9" width="10.21875" style="1402" customWidth="1"/>
    <col min="10" max="10" width="11.77734375" style="1402" customWidth="1"/>
    <col min="11" max="11" width="12.77734375" style="1402" customWidth="1"/>
    <col min="12" max="12" width="10.21875" style="1402" customWidth="1"/>
    <col min="13" max="13" width="12.77734375" style="1402" customWidth="1"/>
    <col min="14" max="14" width="11.77734375" style="1402" customWidth="1"/>
    <col min="15" max="16" width="10.77734375" style="1402" customWidth="1"/>
    <col min="17" max="17" width="10.21875" style="1402" customWidth="1"/>
    <col min="18" max="18" width="8.21875" style="1402" customWidth="1"/>
    <col min="19" max="16384" width="9.21875" style="1402"/>
  </cols>
  <sheetData>
    <row r="1" spans="1:21" s="381" customFormat="1" ht="17.399999999999999">
      <c r="A1" s="277" t="s">
        <v>1753</v>
      </c>
      <c r="B1" s="1710"/>
      <c r="C1" s="1710"/>
      <c r="D1" s="1710"/>
      <c r="E1" s="1710"/>
      <c r="F1" s="1710"/>
      <c r="G1" s="1710"/>
      <c r="H1" s="1710"/>
      <c r="I1" s="1710"/>
      <c r="J1" s="1710"/>
      <c r="K1" s="1710"/>
      <c r="L1" s="1710"/>
      <c r="M1" s="1710"/>
      <c r="N1" s="1710"/>
      <c r="O1" s="1710"/>
      <c r="P1" s="1710"/>
      <c r="Q1" s="1710"/>
    </row>
    <row r="2" spans="1:21" s="381" customFormat="1" ht="17.399999999999999">
      <c r="A2" s="1714" t="s">
        <v>1046</v>
      </c>
      <c r="B2" s="1710"/>
      <c r="C2" s="1710"/>
      <c r="D2" s="1710"/>
      <c r="E2" s="1710"/>
      <c r="F2" s="1710"/>
      <c r="G2" s="1710"/>
      <c r="H2" s="1710"/>
      <c r="I2" s="1710"/>
      <c r="J2" s="1710"/>
      <c r="K2" s="1710"/>
      <c r="L2" s="1710"/>
      <c r="M2" s="1710"/>
      <c r="N2" s="1710"/>
      <c r="O2" s="1710"/>
      <c r="P2" s="1710"/>
      <c r="Q2" s="1710"/>
    </row>
    <row r="3" spans="1:21" s="381" customFormat="1" ht="17.399999999999999">
      <c r="A3" s="1711" t="s">
        <v>1047</v>
      </c>
      <c r="B3" s="1710"/>
      <c r="C3" s="1710"/>
      <c r="D3" s="1710"/>
      <c r="E3" s="1710"/>
      <c r="F3" s="1710"/>
      <c r="G3" s="1710"/>
      <c r="H3" s="1710"/>
      <c r="I3" s="1710"/>
      <c r="J3" s="1710"/>
      <c r="K3" s="1710"/>
      <c r="L3" s="1710"/>
      <c r="M3" s="1710"/>
      <c r="N3" s="1710"/>
      <c r="O3" s="382"/>
      <c r="P3" s="1710"/>
      <c r="Q3" s="1710"/>
    </row>
    <row r="4" spans="1:21" s="306" customFormat="1" ht="13.8">
      <c r="A4" s="306" t="s">
        <v>752</v>
      </c>
      <c r="B4" s="319"/>
      <c r="Q4" s="1407" t="s">
        <v>753</v>
      </c>
    </row>
    <row r="5" spans="1:21" s="306" customFormat="1" ht="13.8" hidden="1">
      <c r="B5" s="319"/>
      <c r="Q5" s="1407"/>
    </row>
    <row r="6" spans="1:21" s="306" customFormat="1" ht="13.8" hidden="1">
      <c r="B6" s="319"/>
      <c r="Q6" s="1407"/>
    </row>
    <row r="7" spans="1:21" s="306" customFormat="1" ht="13.8" hidden="1">
      <c r="B7" s="319"/>
      <c r="Q7" s="1407"/>
    </row>
    <row r="8" spans="1:21"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1" s="176" customFormat="1" ht="18" customHeight="1">
      <c r="A9" s="175"/>
      <c r="C9" s="191" t="s">
        <v>768</v>
      </c>
      <c r="D9" s="182" t="s">
        <v>915</v>
      </c>
      <c r="E9" s="177" t="s">
        <v>916</v>
      </c>
      <c r="F9" s="166"/>
      <c r="G9" s="177"/>
      <c r="H9" s="166"/>
      <c r="I9" s="177"/>
      <c r="J9" s="193"/>
      <c r="K9" s="182" t="s">
        <v>768</v>
      </c>
      <c r="L9" s="182" t="s">
        <v>915</v>
      </c>
      <c r="M9" s="177" t="s">
        <v>916</v>
      </c>
      <c r="N9" s="166"/>
      <c r="O9" s="177"/>
      <c r="P9" s="166"/>
      <c r="Q9" s="177"/>
    </row>
    <row r="10" spans="1:21" s="176" customFormat="1" ht="18" customHeight="1">
      <c r="A10" s="163" t="s">
        <v>379</v>
      </c>
      <c r="B10" s="165"/>
      <c r="C10" s="182" t="s">
        <v>917</v>
      </c>
      <c r="D10" s="182" t="s">
        <v>918</v>
      </c>
      <c r="E10" s="177" t="s">
        <v>500</v>
      </c>
      <c r="F10" s="162" t="s">
        <v>919</v>
      </c>
      <c r="G10" s="177" t="s">
        <v>920</v>
      </c>
      <c r="H10" s="177" t="s">
        <v>921</v>
      </c>
      <c r="I10" s="177" t="s">
        <v>391</v>
      </c>
      <c r="J10" s="193" t="s">
        <v>382</v>
      </c>
      <c r="K10" s="182" t="s">
        <v>917</v>
      </c>
      <c r="L10" s="182" t="s">
        <v>918</v>
      </c>
      <c r="M10" s="177" t="s">
        <v>500</v>
      </c>
      <c r="N10" s="162" t="s">
        <v>919</v>
      </c>
      <c r="O10" s="177" t="s">
        <v>920</v>
      </c>
      <c r="P10" s="177" t="s">
        <v>921</v>
      </c>
      <c r="Q10" s="177" t="s">
        <v>391</v>
      </c>
    </row>
    <row r="11" spans="1:21" s="164" customFormat="1" ht="18" customHeight="1">
      <c r="A11" s="178" t="s">
        <v>387</v>
      </c>
      <c r="B11" s="165"/>
      <c r="C11" s="254" t="s">
        <v>922</v>
      </c>
      <c r="D11" s="256" t="s">
        <v>923</v>
      </c>
      <c r="E11" s="257" t="s">
        <v>924</v>
      </c>
      <c r="F11" s="258" t="s">
        <v>925</v>
      </c>
      <c r="G11" s="258" t="s">
        <v>926</v>
      </c>
      <c r="H11" s="258" t="s">
        <v>927</v>
      </c>
      <c r="I11" s="258" t="s">
        <v>399</v>
      </c>
      <c r="J11" s="259" t="s">
        <v>392</v>
      </c>
      <c r="K11" s="254" t="s">
        <v>922</v>
      </c>
      <c r="L11" s="256" t="s">
        <v>923</v>
      </c>
      <c r="M11" s="260" t="s">
        <v>924</v>
      </c>
      <c r="N11" s="258" t="s">
        <v>925</v>
      </c>
      <c r="O11" s="258" t="s">
        <v>926</v>
      </c>
      <c r="P11" s="258" t="s">
        <v>927</v>
      </c>
      <c r="Q11" s="258" t="s">
        <v>399</v>
      </c>
    </row>
    <row r="12" spans="1:21" s="164" customFormat="1" ht="18" customHeight="1">
      <c r="A12" s="179"/>
      <c r="B12" s="170"/>
      <c r="C12" s="255" t="s">
        <v>928</v>
      </c>
      <c r="D12" s="255"/>
      <c r="E12" s="261" t="s">
        <v>929</v>
      </c>
      <c r="F12" s="262" t="s">
        <v>781</v>
      </c>
      <c r="G12" s="262"/>
      <c r="H12" s="262"/>
      <c r="I12" s="262"/>
      <c r="J12" s="263"/>
      <c r="K12" s="255" t="s">
        <v>928</v>
      </c>
      <c r="L12" s="255"/>
      <c r="M12" s="262" t="s">
        <v>929</v>
      </c>
      <c r="N12" s="262" t="s">
        <v>781</v>
      </c>
      <c r="O12" s="262"/>
      <c r="P12" s="262"/>
      <c r="Q12" s="262"/>
    </row>
    <row r="13" spans="1:21" s="180" customFormat="1" ht="27" customHeight="1">
      <c r="A13" s="849">
        <v>2016</v>
      </c>
      <c r="B13" s="850"/>
      <c r="C13" s="385">
        <v>16915.870636761112</v>
      </c>
      <c r="D13" s="385">
        <v>3738.7233965944033</v>
      </c>
      <c r="E13" s="386">
        <v>1290.7583252354243</v>
      </c>
      <c r="F13" s="386">
        <v>1341.7605968333933</v>
      </c>
      <c r="G13" s="386">
        <v>2218.7744604677996</v>
      </c>
      <c r="H13" s="386">
        <v>612.86765593321309</v>
      </c>
      <c r="I13" s="386">
        <v>171.56334655839095</v>
      </c>
      <c r="J13" s="634">
        <v>26290.458418383736</v>
      </c>
      <c r="K13" s="386">
        <v>17784.335360812427</v>
      </c>
      <c r="L13" s="386">
        <v>5862.603460448001</v>
      </c>
      <c r="M13" s="386">
        <v>949.36712528992302</v>
      </c>
      <c r="N13" s="386">
        <v>256.27209994279195</v>
      </c>
      <c r="O13" s="386">
        <v>880.90726747326516</v>
      </c>
      <c r="P13" s="386">
        <v>515.46360070008632</v>
      </c>
      <c r="Q13" s="386">
        <v>41.461432493150085</v>
      </c>
      <c r="R13" s="352"/>
      <c r="S13" s="352"/>
      <c r="T13" s="996"/>
    </row>
    <row r="14" spans="1:21" s="996" customFormat="1" ht="18" customHeight="1">
      <c r="A14" s="849">
        <v>2017</v>
      </c>
      <c r="B14" s="850"/>
      <c r="C14" s="385">
        <v>18432.709030170547</v>
      </c>
      <c r="D14" s="385">
        <v>2865.5700775625482</v>
      </c>
      <c r="E14" s="386">
        <v>1809.5480220937636</v>
      </c>
      <c r="F14" s="386">
        <v>932.18692299415534</v>
      </c>
      <c r="G14" s="386">
        <v>1981.4173135986537</v>
      </c>
      <c r="H14" s="386">
        <v>612.25750694573287</v>
      </c>
      <c r="I14" s="386">
        <v>111.76840006063679</v>
      </c>
      <c r="J14" s="634">
        <v>26745.537273426035</v>
      </c>
      <c r="K14" s="385">
        <v>18862.656854744506</v>
      </c>
      <c r="L14" s="385">
        <v>5044.0204808779454</v>
      </c>
      <c r="M14" s="386">
        <v>1112.2894674128968</v>
      </c>
      <c r="N14" s="386">
        <v>383.59697149632933</v>
      </c>
      <c r="O14" s="386">
        <v>779.24300911382079</v>
      </c>
      <c r="P14" s="386">
        <v>550.23878994357437</v>
      </c>
      <c r="Q14" s="386">
        <v>13.450326419601062</v>
      </c>
      <c r="R14" s="352"/>
      <c r="S14" s="352"/>
      <c r="U14" s="180"/>
    </row>
    <row r="15" spans="1:21" s="996" customFormat="1" ht="18" customHeight="1">
      <c r="A15" s="849">
        <v>2018</v>
      </c>
      <c r="B15" s="850"/>
      <c r="C15" s="385">
        <v>20393.124016193731</v>
      </c>
      <c r="D15" s="385">
        <v>2884.2357736747476</v>
      </c>
      <c r="E15" s="385">
        <v>1666.7575897744146</v>
      </c>
      <c r="F15" s="385">
        <v>855.85782442056234</v>
      </c>
      <c r="G15" s="385">
        <v>1406.5961209812149</v>
      </c>
      <c r="H15" s="385">
        <v>588.72433772389945</v>
      </c>
      <c r="I15" s="385">
        <v>132.88033882308676</v>
      </c>
      <c r="J15" s="634">
        <v>27928.239076870166</v>
      </c>
      <c r="K15" s="385">
        <v>19619.740638052135</v>
      </c>
      <c r="L15" s="385">
        <v>4756.3216053224423</v>
      </c>
      <c r="M15" s="385">
        <v>1257.4746967035805</v>
      </c>
      <c r="N15" s="385">
        <v>357.38052764009814</v>
      </c>
      <c r="O15" s="385">
        <v>1319.3527413938016</v>
      </c>
      <c r="P15" s="385">
        <v>601.15795357424622</v>
      </c>
      <c r="Q15" s="386">
        <v>16.679904792487513</v>
      </c>
      <c r="R15" s="352"/>
      <c r="S15" s="352"/>
      <c r="U15" s="180"/>
    </row>
    <row r="16" spans="1:21" s="996" customFormat="1" ht="18" customHeight="1">
      <c r="A16" s="849">
        <v>2019</v>
      </c>
      <c r="B16" s="850"/>
      <c r="C16" s="385">
        <v>23552.28119473876</v>
      </c>
      <c r="D16" s="385">
        <v>3110.6735767465689</v>
      </c>
      <c r="E16" s="385">
        <v>1623.5195529504001</v>
      </c>
      <c r="F16" s="385">
        <v>1709.0431877292126</v>
      </c>
      <c r="G16" s="385">
        <v>1398.1926550595988</v>
      </c>
      <c r="H16" s="385">
        <v>617.26589346202991</v>
      </c>
      <c r="I16" s="385">
        <v>71.558650050930936</v>
      </c>
      <c r="J16" s="634">
        <v>32082.564438416543</v>
      </c>
      <c r="K16" s="385">
        <v>20948.741957092185</v>
      </c>
      <c r="L16" s="385">
        <v>6089.9239975312303</v>
      </c>
      <c r="M16" s="385">
        <v>1543.1060293388455</v>
      </c>
      <c r="N16" s="385">
        <v>646.30002941017699</v>
      </c>
      <c r="O16" s="385">
        <v>1947.4309181834878</v>
      </c>
      <c r="P16" s="385">
        <v>873.52436963516539</v>
      </c>
      <c r="Q16" s="386">
        <v>33.728170188672408</v>
      </c>
      <c r="R16" s="352"/>
      <c r="S16" s="352"/>
      <c r="U16" s="180"/>
    </row>
    <row r="17" spans="1:21" s="996" customFormat="1" ht="18" customHeight="1">
      <c r="A17" s="849">
        <v>2020</v>
      </c>
      <c r="B17" s="850"/>
      <c r="C17" s="385">
        <v>23601.118171711008</v>
      </c>
      <c r="D17" s="385">
        <v>2730.0935360605836</v>
      </c>
      <c r="E17" s="385">
        <v>1506.6075883880833</v>
      </c>
      <c r="F17" s="385">
        <v>1565.0255963192205</v>
      </c>
      <c r="G17" s="385">
        <v>1448.3863198724164</v>
      </c>
      <c r="H17" s="385">
        <v>648.71153596720308</v>
      </c>
      <c r="I17" s="385">
        <v>111.48937847034576</v>
      </c>
      <c r="J17" s="634">
        <v>31611.432126788863</v>
      </c>
      <c r="K17" s="385">
        <v>21352.662279479049</v>
      </c>
      <c r="L17" s="385">
        <v>5715.9107546634223</v>
      </c>
      <c r="M17" s="385">
        <v>1602.777944884564</v>
      </c>
      <c r="N17" s="385">
        <v>533.15749133234021</v>
      </c>
      <c r="O17" s="385">
        <v>1427.1896484610129</v>
      </c>
      <c r="P17" s="385">
        <v>898.32527042068114</v>
      </c>
      <c r="Q17" s="386">
        <v>81.319633875936006</v>
      </c>
      <c r="R17" s="352"/>
      <c r="S17" s="352"/>
      <c r="U17" s="180"/>
    </row>
    <row r="18" spans="1:21" s="996" customFormat="1" ht="18" customHeight="1">
      <c r="A18" s="849">
        <v>2021</v>
      </c>
      <c r="B18" s="850"/>
      <c r="C18" s="385">
        <v>26473.372563242312</v>
      </c>
      <c r="D18" s="385">
        <v>3258.5639318622998</v>
      </c>
      <c r="E18" s="385">
        <v>861.95875885256726</v>
      </c>
      <c r="F18" s="385">
        <v>2488.9226764650712</v>
      </c>
      <c r="G18" s="385">
        <v>1062.6583625777816</v>
      </c>
      <c r="H18" s="385">
        <v>286.45235958026149</v>
      </c>
      <c r="I18" s="385">
        <v>122.70345194789324</v>
      </c>
      <c r="J18" s="634">
        <v>34554.802104528186</v>
      </c>
      <c r="K18" s="385">
        <v>22622.479047562199</v>
      </c>
      <c r="L18" s="385">
        <v>6612.1835401926255</v>
      </c>
      <c r="M18" s="385">
        <v>960.24234062718097</v>
      </c>
      <c r="N18" s="385">
        <v>781.71133762640943</v>
      </c>
      <c r="O18" s="385">
        <v>2849.8113595303885</v>
      </c>
      <c r="P18" s="385">
        <v>620.19414207371904</v>
      </c>
      <c r="Q18" s="386">
        <v>108.17891564742459</v>
      </c>
      <c r="R18" s="352"/>
      <c r="S18" s="352"/>
      <c r="U18" s="180"/>
    </row>
    <row r="19" spans="1:21" s="996" customFormat="1" ht="18" customHeight="1">
      <c r="A19" s="849">
        <v>2022</v>
      </c>
      <c r="B19" s="850"/>
      <c r="C19" s="385">
        <v>26788.956822715747</v>
      </c>
      <c r="D19" s="386">
        <v>3677.6370362191919</v>
      </c>
      <c r="E19" s="385">
        <v>724.3390627572453</v>
      </c>
      <c r="F19" s="385">
        <v>3252.772414884425</v>
      </c>
      <c r="G19" s="385">
        <v>1309.5187396788594</v>
      </c>
      <c r="H19" s="385">
        <v>227.18150363268208</v>
      </c>
      <c r="I19" s="385">
        <v>84.657128353989776</v>
      </c>
      <c r="J19" s="634">
        <v>36065.052708242132</v>
      </c>
      <c r="K19" s="385">
        <v>24104.239860056325</v>
      </c>
      <c r="L19" s="385">
        <v>6617.0625936390388</v>
      </c>
      <c r="M19" s="385">
        <v>1388.2293532276065</v>
      </c>
      <c r="N19" s="385">
        <v>1269.5068120255546</v>
      </c>
      <c r="O19" s="385">
        <v>1952.4128673489683</v>
      </c>
      <c r="P19" s="385">
        <v>606.08538484757287</v>
      </c>
      <c r="Q19" s="386">
        <v>127.64408332446808</v>
      </c>
      <c r="R19" s="352"/>
      <c r="S19" s="352"/>
      <c r="U19" s="180"/>
    </row>
    <row r="20" spans="1:21" s="996" customFormat="1" ht="18" customHeight="1">
      <c r="A20" s="849">
        <v>2023</v>
      </c>
      <c r="B20" s="850"/>
      <c r="C20" s="385">
        <v>28245.0958159697</v>
      </c>
      <c r="D20" s="385">
        <v>3654.1317282963441</v>
      </c>
      <c r="E20" s="385">
        <v>946.22078191032858</v>
      </c>
      <c r="F20" s="385">
        <v>3668.5918989521219</v>
      </c>
      <c r="G20" s="385">
        <v>1545.1655927968395</v>
      </c>
      <c r="H20" s="385">
        <v>147.93438408348715</v>
      </c>
      <c r="I20" s="385">
        <v>27.262403103729884</v>
      </c>
      <c r="J20" s="634">
        <v>38234.382605112551</v>
      </c>
      <c r="K20" s="385">
        <v>23757.932858925506</v>
      </c>
      <c r="L20" s="385">
        <v>9031.3945705547521</v>
      </c>
      <c r="M20" s="385">
        <v>1533.2130792050843</v>
      </c>
      <c r="N20" s="385">
        <v>1292.485231204681</v>
      </c>
      <c r="O20" s="385">
        <v>1953.4846860099246</v>
      </c>
      <c r="P20" s="385">
        <v>618.073442214235</v>
      </c>
      <c r="Q20" s="386">
        <v>47.798736998374807</v>
      </c>
      <c r="R20" s="352"/>
      <c r="S20" s="352"/>
      <c r="U20" s="180"/>
    </row>
    <row r="21" spans="1:21" s="996" customFormat="1" ht="18" customHeight="1">
      <c r="A21" s="849">
        <v>2024</v>
      </c>
      <c r="B21" s="850"/>
      <c r="C21" s="385">
        <v>35666.166580377969</v>
      </c>
      <c r="D21" s="385">
        <v>11908.69736138275</v>
      </c>
      <c r="E21" s="385">
        <v>2607.6842712068897</v>
      </c>
      <c r="F21" s="385">
        <v>6975.4494418132863</v>
      </c>
      <c r="G21" s="385">
        <v>4415.5863569453668</v>
      </c>
      <c r="H21" s="385">
        <v>1380.0864249703741</v>
      </c>
      <c r="I21" s="385">
        <v>400.72818193368875</v>
      </c>
      <c r="J21" s="634">
        <v>63354.448618630326</v>
      </c>
      <c r="K21" s="385">
        <v>31079.174129476036</v>
      </c>
      <c r="L21" s="385">
        <v>17838.281410897907</v>
      </c>
      <c r="M21" s="385">
        <v>3718.7411874902173</v>
      </c>
      <c r="N21" s="385">
        <v>2488.9286083254688</v>
      </c>
      <c r="O21" s="385">
        <v>6574.8407911432851</v>
      </c>
      <c r="P21" s="385">
        <v>1529.9598550351161</v>
      </c>
      <c r="Q21" s="386">
        <v>124.52263626229251</v>
      </c>
      <c r="R21" s="352"/>
      <c r="S21" s="352"/>
      <c r="U21" s="180"/>
    </row>
    <row r="22" spans="1:21" s="996" customFormat="1" ht="18" customHeight="1">
      <c r="A22" s="991">
        <v>2025</v>
      </c>
      <c r="B22" s="992"/>
      <c r="C22" s="993">
        <f t="shared" ref="C22:Q22" si="0">C28</f>
        <v>41921.622877057787</v>
      </c>
      <c r="D22" s="993">
        <f t="shared" si="0"/>
        <v>11993.886170670605</v>
      </c>
      <c r="E22" s="993">
        <f t="shared" si="0"/>
        <v>2309.085492164952</v>
      </c>
      <c r="F22" s="993">
        <f t="shared" si="0"/>
        <v>5318.0100223856516</v>
      </c>
      <c r="G22" s="993">
        <f t="shared" si="0"/>
        <v>4144.8597337199217</v>
      </c>
      <c r="H22" s="993">
        <f t="shared" si="0"/>
        <v>1065.5951096080084</v>
      </c>
      <c r="I22" s="993">
        <f t="shared" si="0"/>
        <v>307.84337560617945</v>
      </c>
      <c r="J22" s="995">
        <f t="shared" si="0"/>
        <v>67060.942781213103</v>
      </c>
      <c r="K22" s="993">
        <f t="shared" si="0"/>
        <v>33009.579002405277</v>
      </c>
      <c r="L22" s="993">
        <f t="shared" si="0"/>
        <v>19929.275109303602</v>
      </c>
      <c r="M22" s="993">
        <f t="shared" si="0"/>
        <v>3140.3101905847257</v>
      </c>
      <c r="N22" s="993">
        <f t="shared" si="0"/>
        <v>1788.1371306342965</v>
      </c>
      <c r="O22" s="993">
        <f t="shared" si="0"/>
        <v>7422.6045373900679</v>
      </c>
      <c r="P22" s="993">
        <f t="shared" si="0"/>
        <v>1621.5929301330366</v>
      </c>
      <c r="Q22" s="994">
        <f t="shared" si="0"/>
        <v>149.42388076208996</v>
      </c>
      <c r="R22" s="352"/>
      <c r="S22" s="352"/>
      <c r="U22" s="180"/>
    </row>
    <row r="23" spans="1:21" s="996" customFormat="1" ht="21" customHeight="1">
      <c r="A23" s="849">
        <v>2024</v>
      </c>
      <c r="B23" s="850" t="s">
        <v>237</v>
      </c>
      <c r="C23" s="385">
        <v>35935.192611948165</v>
      </c>
      <c r="D23" s="385">
        <v>11831.157568871629</v>
      </c>
      <c r="E23" s="385">
        <v>1984.0156293004084</v>
      </c>
      <c r="F23" s="385">
        <v>6993.0955797329907</v>
      </c>
      <c r="G23" s="385">
        <v>4056.836924852124</v>
      </c>
      <c r="H23" s="385">
        <v>1134.541586639052</v>
      </c>
      <c r="I23" s="385">
        <v>375.66465723191618</v>
      </c>
      <c r="J23" s="634">
        <v>62310.474558576287</v>
      </c>
      <c r="K23" s="385">
        <v>31805.392807007731</v>
      </c>
      <c r="L23" s="385">
        <v>17919.954757575197</v>
      </c>
      <c r="M23" s="385">
        <v>3212.9328598095494</v>
      </c>
      <c r="N23" s="385">
        <v>1988.1036626044652</v>
      </c>
      <c r="O23" s="385">
        <v>5713.9812263077029</v>
      </c>
      <c r="P23" s="385">
        <v>1603.3455707081632</v>
      </c>
      <c r="Q23" s="386">
        <v>66.763674563466338</v>
      </c>
      <c r="R23" s="352"/>
      <c r="S23" s="352"/>
      <c r="U23" s="180"/>
    </row>
    <row r="24" spans="1:21" s="996" customFormat="1" ht="15" customHeight="1">
      <c r="A24" s="849"/>
      <c r="B24" s="850" t="s">
        <v>238</v>
      </c>
      <c r="C24" s="385">
        <v>35666.166580377969</v>
      </c>
      <c r="D24" s="385">
        <v>11908.69736138275</v>
      </c>
      <c r="E24" s="385">
        <v>2607.6842712068897</v>
      </c>
      <c r="F24" s="385">
        <v>6975.4494418132863</v>
      </c>
      <c r="G24" s="385">
        <v>4415.5863569453668</v>
      </c>
      <c r="H24" s="385">
        <v>1380.0864249703741</v>
      </c>
      <c r="I24" s="385">
        <v>400.72818193368875</v>
      </c>
      <c r="J24" s="634">
        <v>63354.448618630326</v>
      </c>
      <c r="K24" s="385">
        <v>31079.174129476036</v>
      </c>
      <c r="L24" s="385">
        <v>17838.281410897907</v>
      </c>
      <c r="M24" s="385">
        <v>3718.7411874902173</v>
      </c>
      <c r="N24" s="385">
        <v>2488.9286083254688</v>
      </c>
      <c r="O24" s="385">
        <v>6574.8407911432851</v>
      </c>
      <c r="P24" s="385">
        <v>1529.9598550351161</v>
      </c>
      <c r="Q24" s="386">
        <v>124.52263626229251</v>
      </c>
      <c r="R24" s="352"/>
      <c r="S24" s="352"/>
      <c r="U24" s="180"/>
    </row>
    <row r="25" spans="1:21" s="996" customFormat="1" ht="21" customHeight="1">
      <c r="A25" s="849">
        <v>2025</v>
      </c>
      <c r="B25" s="850" t="s">
        <v>239</v>
      </c>
      <c r="C25" s="385">
        <v>37174.860514398039</v>
      </c>
      <c r="D25" s="385">
        <v>11801.089049713642</v>
      </c>
      <c r="E25" s="385">
        <v>2545.1247007401398</v>
      </c>
      <c r="F25" s="385">
        <v>4535.4961811068624</v>
      </c>
      <c r="G25" s="385">
        <v>3797.0488836860604</v>
      </c>
      <c r="H25" s="385">
        <v>1296.5586355617386</v>
      </c>
      <c r="I25" s="385">
        <v>365.92623757687397</v>
      </c>
      <c r="J25" s="634">
        <v>61516.104202783361</v>
      </c>
      <c r="K25" s="385">
        <v>32391.597633826983</v>
      </c>
      <c r="L25" s="385">
        <v>16643.729910823939</v>
      </c>
      <c r="M25" s="385">
        <v>3328.2529583183032</v>
      </c>
      <c r="N25" s="385">
        <v>1885.8360991990387</v>
      </c>
      <c r="O25" s="385">
        <v>5598.1128569223847</v>
      </c>
      <c r="P25" s="385">
        <v>1535.6053595418707</v>
      </c>
      <c r="Q25" s="386">
        <v>132.96938415083423</v>
      </c>
      <c r="R25" s="352"/>
      <c r="S25" s="352"/>
      <c r="U25" s="180"/>
    </row>
    <row r="26" spans="1:21" s="996" customFormat="1" ht="15" customHeight="1">
      <c r="A26" s="849"/>
      <c r="B26" s="850" t="s">
        <v>240</v>
      </c>
      <c r="C26" s="385">
        <v>39145.589016989863</v>
      </c>
      <c r="D26" s="385">
        <v>12639.522560265539</v>
      </c>
      <c r="E26" s="385">
        <v>3235.0354931325242</v>
      </c>
      <c r="F26" s="385">
        <v>4109.8876316677452</v>
      </c>
      <c r="G26" s="385">
        <v>3847.6656202660415</v>
      </c>
      <c r="H26" s="385">
        <v>1145.6975710733814</v>
      </c>
      <c r="I26" s="385">
        <v>346.9410391700585</v>
      </c>
      <c r="J26" s="634">
        <v>64470.338932565159</v>
      </c>
      <c r="K26" s="385">
        <v>32197.829038017346</v>
      </c>
      <c r="L26" s="385">
        <v>18366.796072158773</v>
      </c>
      <c r="M26" s="385">
        <v>3876.9992541387487</v>
      </c>
      <c r="N26" s="385">
        <v>1593.9539555634683</v>
      </c>
      <c r="O26" s="385">
        <v>6709.6760347666932</v>
      </c>
      <c r="P26" s="385">
        <v>1606.4455608731653</v>
      </c>
      <c r="Q26" s="386">
        <v>118.63901704696764</v>
      </c>
      <c r="R26" s="352"/>
      <c r="S26" s="352"/>
      <c r="U26" s="180"/>
    </row>
    <row r="27" spans="1:21" s="996" customFormat="1" ht="15" customHeight="1">
      <c r="A27" s="849"/>
      <c r="B27" s="850" t="s">
        <v>237</v>
      </c>
      <c r="C27" s="385">
        <v>40118.169060660432</v>
      </c>
      <c r="D27" s="385">
        <v>12853.441122411488</v>
      </c>
      <c r="E27" s="385">
        <v>3535.7632305995617</v>
      </c>
      <c r="F27" s="385">
        <v>4583.2330833241977</v>
      </c>
      <c r="G27" s="385">
        <v>4106.5144368518459</v>
      </c>
      <c r="H27" s="385">
        <v>1011.3085320434973</v>
      </c>
      <c r="I27" s="385">
        <v>331.21213175691082</v>
      </c>
      <c r="J27" s="634">
        <v>66539.641597647933</v>
      </c>
      <c r="K27" s="385">
        <v>32466.166937688144</v>
      </c>
      <c r="L27" s="385">
        <v>19158.429659085668</v>
      </c>
      <c r="M27" s="385">
        <v>4157.4782230516857</v>
      </c>
      <c r="N27" s="385">
        <v>1720.0315594059125</v>
      </c>
      <c r="O27" s="385">
        <v>7230.8392378506924</v>
      </c>
      <c r="P27" s="385">
        <v>1661.3583561665107</v>
      </c>
      <c r="Q27" s="386">
        <v>145.33762439931161</v>
      </c>
      <c r="R27" s="352"/>
      <c r="S27" s="352"/>
      <c r="U27" s="180"/>
    </row>
    <row r="28" spans="1:21" s="996" customFormat="1" ht="15" customHeight="1">
      <c r="A28" s="849"/>
      <c r="B28" s="850" t="s">
        <v>238</v>
      </c>
      <c r="C28" s="385">
        <f t="shared" ref="C28:Q28" si="1">C36</f>
        <v>41921.622877057787</v>
      </c>
      <c r="D28" s="385">
        <f t="shared" si="1"/>
        <v>11993.886170670605</v>
      </c>
      <c r="E28" s="385">
        <f t="shared" si="1"/>
        <v>2309.085492164952</v>
      </c>
      <c r="F28" s="385">
        <f t="shared" si="1"/>
        <v>5318.0100223856516</v>
      </c>
      <c r="G28" s="385">
        <f t="shared" si="1"/>
        <v>4144.8597337199217</v>
      </c>
      <c r="H28" s="385">
        <f t="shared" si="1"/>
        <v>1065.5951096080084</v>
      </c>
      <c r="I28" s="385">
        <f t="shared" si="1"/>
        <v>307.84337560617945</v>
      </c>
      <c r="J28" s="634">
        <f t="shared" si="1"/>
        <v>67060.942781213103</v>
      </c>
      <c r="K28" s="385">
        <f t="shared" si="1"/>
        <v>33009.579002405277</v>
      </c>
      <c r="L28" s="385">
        <f t="shared" si="1"/>
        <v>19929.275109303602</v>
      </c>
      <c r="M28" s="385">
        <f t="shared" si="1"/>
        <v>3140.3101905847257</v>
      </c>
      <c r="N28" s="385">
        <f t="shared" si="1"/>
        <v>1788.1371306342965</v>
      </c>
      <c r="O28" s="385">
        <f t="shared" si="1"/>
        <v>7422.6045373900679</v>
      </c>
      <c r="P28" s="385">
        <f t="shared" si="1"/>
        <v>1621.5929301330366</v>
      </c>
      <c r="Q28" s="386">
        <f t="shared" si="1"/>
        <v>149.42388076208996</v>
      </c>
      <c r="R28" s="352"/>
      <c r="S28" s="352"/>
      <c r="U28" s="180"/>
    </row>
    <row r="29" spans="1:21" s="996" customFormat="1" ht="21" customHeight="1">
      <c r="A29" s="849">
        <v>2026</v>
      </c>
      <c r="B29" s="850" t="s">
        <v>239</v>
      </c>
      <c r="C29" s="385">
        <f t="shared" ref="C29:Q29" si="2">C39</f>
        <v>42880.011491359066</v>
      </c>
      <c r="D29" s="385">
        <f t="shared" si="2"/>
        <v>13227.622401473955</v>
      </c>
      <c r="E29" s="385">
        <f t="shared" si="2"/>
        <v>2499.5956606652894</v>
      </c>
      <c r="F29" s="385">
        <f t="shared" si="2"/>
        <v>4655.0805454757301</v>
      </c>
      <c r="G29" s="385">
        <f t="shared" si="2"/>
        <v>4727.8900188903208</v>
      </c>
      <c r="H29" s="385">
        <f t="shared" si="2"/>
        <v>1000.1957490637025</v>
      </c>
      <c r="I29" s="385">
        <f t="shared" si="2"/>
        <v>263.73796844834578</v>
      </c>
      <c r="J29" s="634">
        <f t="shared" si="2"/>
        <v>69254.1338353764</v>
      </c>
      <c r="K29" s="385">
        <f t="shared" si="2"/>
        <v>33705.617160546833</v>
      </c>
      <c r="L29" s="385">
        <f t="shared" si="2"/>
        <v>20770.021308299732</v>
      </c>
      <c r="M29" s="385">
        <f t="shared" si="2"/>
        <v>3592.0801882453934</v>
      </c>
      <c r="N29" s="385">
        <f t="shared" si="2"/>
        <v>2221.1770072292675</v>
      </c>
      <c r="O29" s="385">
        <f t="shared" si="2"/>
        <v>7129.1126602112436</v>
      </c>
      <c r="P29" s="385">
        <f t="shared" si="2"/>
        <v>1692.3357248341499</v>
      </c>
      <c r="Q29" s="386">
        <f t="shared" si="2"/>
        <v>143.7897860097728</v>
      </c>
      <c r="R29" s="352"/>
      <c r="S29" s="352"/>
      <c r="U29" s="180"/>
    </row>
    <row r="30" spans="1:21" s="996" customFormat="1" ht="15" customHeight="1">
      <c r="A30" s="991"/>
      <c r="B30" s="992" t="s">
        <v>240</v>
      </c>
      <c r="C30" s="993">
        <f t="shared" ref="C30:Q30" si="3">C42</f>
        <v>42854.781993577599</v>
      </c>
      <c r="D30" s="993">
        <f t="shared" si="3"/>
        <v>13277.441797885862</v>
      </c>
      <c r="E30" s="993">
        <f t="shared" si="3"/>
        <v>2819.311134791104</v>
      </c>
      <c r="F30" s="993">
        <f t="shared" si="3"/>
        <v>4605.7658475460667</v>
      </c>
      <c r="G30" s="993">
        <f t="shared" si="3"/>
        <v>4190.9173998081505</v>
      </c>
      <c r="H30" s="993">
        <f t="shared" si="3"/>
        <v>984.31112759996086</v>
      </c>
      <c r="I30" s="993">
        <f t="shared" si="3"/>
        <v>220.37556173927442</v>
      </c>
      <c r="J30" s="995">
        <f t="shared" si="3"/>
        <v>68952.904862948009</v>
      </c>
      <c r="K30" s="993">
        <f t="shared" si="3"/>
        <v>34532.235708813903</v>
      </c>
      <c r="L30" s="993">
        <f t="shared" si="3"/>
        <v>19492.867457865352</v>
      </c>
      <c r="M30" s="993">
        <f t="shared" si="3"/>
        <v>3965.6362113338691</v>
      </c>
      <c r="N30" s="993">
        <f t="shared" si="3"/>
        <v>2365.6647847835052</v>
      </c>
      <c r="O30" s="993">
        <f t="shared" si="3"/>
        <v>6800.4664565137391</v>
      </c>
      <c r="P30" s="993">
        <f t="shared" si="3"/>
        <v>1648.9976217243725</v>
      </c>
      <c r="Q30" s="994">
        <f t="shared" si="3"/>
        <v>147.03662191327021</v>
      </c>
      <c r="R30" s="352"/>
      <c r="S30" s="352"/>
      <c r="U30" s="180"/>
    </row>
    <row r="31" spans="1:21" s="148" customFormat="1" ht="21" customHeight="1">
      <c r="A31" s="848">
        <v>2025</v>
      </c>
      <c r="B31" s="440" t="s">
        <v>420</v>
      </c>
      <c r="C31" s="385">
        <v>39391.9254471401</v>
      </c>
      <c r="D31" s="385">
        <v>13020.263679575819</v>
      </c>
      <c r="E31" s="385">
        <v>3548.099264459247</v>
      </c>
      <c r="F31" s="385">
        <v>4045.9192698421366</v>
      </c>
      <c r="G31" s="385">
        <v>3983.123714714282</v>
      </c>
      <c r="H31" s="385">
        <v>975.35905633038908</v>
      </c>
      <c r="I31" s="386">
        <f t="shared" ref="I31" si="4">$J31-SUM(C31:H31)</f>
        <v>342.06596960753814</v>
      </c>
      <c r="J31" s="634">
        <v>65306.756401669518</v>
      </c>
      <c r="K31" s="385">
        <v>32222.320332717532</v>
      </c>
      <c r="L31" s="385">
        <v>18105.344132962913</v>
      </c>
      <c r="M31" s="385">
        <v>3987.366265395211</v>
      </c>
      <c r="N31" s="385">
        <v>2197.5916605435395</v>
      </c>
      <c r="O31" s="385">
        <v>7020.0582827718936</v>
      </c>
      <c r="P31" s="385">
        <v>1657.5731504009859</v>
      </c>
      <c r="Q31" s="386">
        <f t="shared" ref="Q31:Q34" si="5">$J31-SUM(K31:P31)</f>
        <v>116.50257687744306</v>
      </c>
      <c r="R31" s="352"/>
      <c r="S31" s="352"/>
    </row>
    <row r="32" spans="1:21" s="148" customFormat="1" ht="16.5" customHeight="1">
      <c r="A32" s="848"/>
      <c r="B32" s="440" t="s">
        <v>421</v>
      </c>
      <c r="C32" s="385">
        <v>39222.25141864577</v>
      </c>
      <c r="D32" s="385">
        <v>13274.83844334519</v>
      </c>
      <c r="E32" s="385">
        <v>3528.765076912212</v>
      </c>
      <c r="F32" s="385">
        <v>4218.7447090602618</v>
      </c>
      <c r="G32" s="385">
        <v>4031.5823570604111</v>
      </c>
      <c r="H32" s="385">
        <v>1057.0109575572853</v>
      </c>
      <c r="I32" s="386">
        <f t="shared" ref="I32" si="6">$J32-SUM(C32:H32)</f>
        <v>337.90286205342272</v>
      </c>
      <c r="J32" s="634">
        <v>65671.095824634554</v>
      </c>
      <c r="K32" s="385">
        <v>32101.68317805016</v>
      </c>
      <c r="L32" s="385">
        <v>18198.634213325771</v>
      </c>
      <c r="M32" s="385">
        <v>3975.9173072998001</v>
      </c>
      <c r="N32" s="385">
        <v>2256.9853970368695</v>
      </c>
      <c r="O32" s="385">
        <v>7286.155774573479</v>
      </c>
      <c r="P32" s="385">
        <v>1721.4330955675491</v>
      </c>
      <c r="Q32" s="386">
        <f t="shared" si="5"/>
        <v>130.28685878092074</v>
      </c>
      <c r="R32" s="352"/>
      <c r="S32" s="352"/>
    </row>
    <row r="33" spans="1:19" s="148" customFormat="1" ht="16.5" customHeight="1">
      <c r="A33" s="848"/>
      <c r="B33" s="440" t="s">
        <v>422</v>
      </c>
      <c r="C33" s="385">
        <v>40118.169060660432</v>
      </c>
      <c r="D33" s="385">
        <v>12853.441122411488</v>
      </c>
      <c r="E33" s="385">
        <v>3535.7632305995617</v>
      </c>
      <c r="F33" s="385">
        <v>4583.2330833241977</v>
      </c>
      <c r="G33" s="385">
        <v>4106.5144368518459</v>
      </c>
      <c r="H33" s="385">
        <v>1011.3085320434973</v>
      </c>
      <c r="I33" s="386">
        <f t="shared" ref="I33" si="7">$J33-SUM(C33:H33)</f>
        <v>331.21213175691082</v>
      </c>
      <c r="J33" s="634">
        <v>66539.641597647933</v>
      </c>
      <c r="K33" s="385">
        <v>32466.166937688144</v>
      </c>
      <c r="L33" s="385">
        <v>19158.429659085668</v>
      </c>
      <c r="M33" s="385">
        <v>4157.4782230516857</v>
      </c>
      <c r="N33" s="385">
        <v>1720.0315594059125</v>
      </c>
      <c r="O33" s="385">
        <v>7230.8392378506924</v>
      </c>
      <c r="P33" s="385">
        <v>1661.3583561665107</v>
      </c>
      <c r="Q33" s="386">
        <f t="shared" si="5"/>
        <v>145.33762439931161</v>
      </c>
      <c r="R33" s="352"/>
      <c r="S33" s="352"/>
    </row>
    <row r="34" spans="1:19" s="148" customFormat="1" ht="16.5" customHeight="1">
      <c r="A34" s="848"/>
      <c r="B34" s="440" t="s">
        <v>411</v>
      </c>
      <c r="C34" s="385">
        <v>41101.792089371782</v>
      </c>
      <c r="D34" s="385">
        <v>11782.755040156455</v>
      </c>
      <c r="E34" s="385">
        <v>3528.4045672436082</v>
      </c>
      <c r="F34" s="385">
        <v>4156.6477975677399</v>
      </c>
      <c r="G34" s="385">
        <v>3940.9342703505731</v>
      </c>
      <c r="H34" s="385">
        <v>1188.1747123365753</v>
      </c>
      <c r="I34" s="386">
        <f t="shared" ref="I34" si="8">$J34-SUM(C34:H34)</f>
        <v>325.13323193613905</v>
      </c>
      <c r="J34" s="634">
        <v>66023.841708962878</v>
      </c>
      <c r="K34" s="385">
        <v>32174.711357992197</v>
      </c>
      <c r="L34" s="385">
        <v>19173.151601864258</v>
      </c>
      <c r="M34" s="385">
        <v>4303.5001225849501</v>
      </c>
      <c r="N34" s="385">
        <v>1843.0069966755377</v>
      </c>
      <c r="O34" s="385">
        <v>6773.7469991097987</v>
      </c>
      <c r="P34" s="385">
        <v>1605.1419144152107</v>
      </c>
      <c r="Q34" s="386">
        <f t="shared" si="5"/>
        <v>150.58271632091783</v>
      </c>
      <c r="R34" s="352"/>
      <c r="S34" s="352"/>
    </row>
    <row r="35" spans="1:19" s="148" customFormat="1" ht="16.5" customHeight="1">
      <c r="A35" s="848"/>
      <c r="B35" s="440" t="s">
        <v>412</v>
      </c>
      <c r="C35" s="385">
        <v>41318.699400573685</v>
      </c>
      <c r="D35" s="385">
        <v>12620.775553810934</v>
      </c>
      <c r="E35" s="385">
        <v>3579.922006526087</v>
      </c>
      <c r="F35" s="385">
        <v>5275.8249728867941</v>
      </c>
      <c r="G35" s="385">
        <v>3961.3383444743431</v>
      </c>
      <c r="H35" s="385">
        <v>1149.9633053957541</v>
      </c>
      <c r="I35" s="386">
        <f t="shared" ref="I35" si="9">$J35-SUM(C35:H35)</f>
        <v>320.27431012607121</v>
      </c>
      <c r="J35" s="634">
        <v>68226.797893793671</v>
      </c>
      <c r="K35" s="385">
        <v>32647.211698311501</v>
      </c>
      <c r="L35" s="385">
        <v>20323.368630873563</v>
      </c>
      <c r="M35" s="385">
        <v>4491.1017649429486</v>
      </c>
      <c r="N35" s="385">
        <v>1750.2710318317838</v>
      </c>
      <c r="O35" s="385">
        <v>7206.2147159697597</v>
      </c>
      <c r="P35" s="385">
        <v>1653.9725745701089</v>
      </c>
      <c r="Q35" s="386">
        <f>$J35-SUM(K35:P35)-0.02</f>
        <v>154.63747729400754</v>
      </c>
      <c r="R35" s="352"/>
      <c r="S35" s="352"/>
    </row>
    <row r="36" spans="1:19" s="148" customFormat="1" ht="16.5" customHeight="1">
      <c r="A36" s="848"/>
      <c r="B36" s="440" t="s">
        <v>413</v>
      </c>
      <c r="C36" s="385">
        <v>41921.622877057787</v>
      </c>
      <c r="D36" s="385">
        <v>11993.886170670605</v>
      </c>
      <c r="E36" s="385">
        <v>2309.085492164952</v>
      </c>
      <c r="F36" s="385">
        <v>5318.0100223856516</v>
      </c>
      <c r="G36" s="385">
        <v>4144.8597337199217</v>
      </c>
      <c r="H36" s="385">
        <v>1065.5951096080084</v>
      </c>
      <c r="I36" s="386">
        <f>$J36-SUM(C36:H36)-0.04</f>
        <v>307.84337560617945</v>
      </c>
      <c r="J36" s="634">
        <v>67060.942781213103</v>
      </c>
      <c r="K36" s="385">
        <v>33009.579002405277</v>
      </c>
      <c r="L36" s="385">
        <v>19929.275109303602</v>
      </c>
      <c r="M36" s="385">
        <v>3140.3101905847257</v>
      </c>
      <c r="N36" s="385">
        <v>1788.1371306342965</v>
      </c>
      <c r="O36" s="385">
        <v>7422.6045373900679</v>
      </c>
      <c r="P36" s="385">
        <v>1621.5929301330366</v>
      </c>
      <c r="Q36" s="386">
        <f>$J36-SUM(K36:P36)-0.02</f>
        <v>149.42388076208996</v>
      </c>
      <c r="R36" s="352"/>
      <c r="S36" s="352"/>
    </row>
    <row r="37" spans="1:19" s="148" customFormat="1" ht="21" customHeight="1">
      <c r="A37" s="848">
        <v>2026</v>
      </c>
      <c r="B37" s="440" t="s">
        <v>414</v>
      </c>
      <c r="C37" s="385">
        <v>41737.666549178131</v>
      </c>
      <c r="D37" s="385">
        <v>13157.940697388101</v>
      </c>
      <c r="E37" s="385">
        <v>2350.477527186642</v>
      </c>
      <c r="F37" s="385">
        <v>4624.1781661295981</v>
      </c>
      <c r="G37" s="385">
        <v>4458.2444012419564</v>
      </c>
      <c r="H37" s="385">
        <v>1000.7847991917456</v>
      </c>
      <c r="I37" s="386">
        <f>$J37-SUM(C37:H37)</f>
        <v>302.86733379702491</v>
      </c>
      <c r="J37" s="634">
        <v>67632.159474113199</v>
      </c>
      <c r="K37" s="385">
        <v>33072.171798745316</v>
      </c>
      <c r="L37" s="385">
        <v>19407.030473694103</v>
      </c>
      <c r="M37" s="385">
        <v>3680.559933410148</v>
      </c>
      <c r="N37" s="385">
        <v>1866.9009797482872</v>
      </c>
      <c r="O37" s="385">
        <v>7687.3022279126117</v>
      </c>
      <c r="P37" s="385">
        <v>1762.4823986251879</v>
      </c>
      <c r="Q37" s="386">
        <f>$J37-SUM(K37:P37)</f>
        <v>155.71166197754792</v>
      </c>
      <c r="R37" s="352"/>
      <c r="S37" s="352"/>
    </row>
    <row r="38" spans="1:19" s="148" customFormat="1" ht="16.5" customHeight="1">
      <c r="A38" s="848"/>
      <c r="B38" s="440" t="s">
        <v>415</v>
      </c>
      <c r="C38" s="385">
        <v>42212.066266559908</v>
      </c>
      <c r="D38" s="385">
        <v>13650.732987013816</v>
      </c>
      <c r="E38" s="385">
        <v>2388.7706991770037</v>
      </c>
      <c r="F38" s="385">
        <v>4950.9170705832303</v>
      </c>
      <c r="G38" s="385">
        <v>4518.4322670365473</v>
      </c>
      <c r="H38" s="385">
        <v>1099.0634494108224</v>
      </c>
      <c r="I38" s="386">
        <f>$J38-SUM(C38:H38)</f>
        <v>287.34873357375909</v>
      </c>
      <c r="J38" s="634">
        <v>69107.331473355094</v>
      </c>
      <c r="K38" s="385">
        <v>33549.798877643254</v>
      </c>
      <c r="L38" s="385">
        <v>20519.165872021771</v>
      </c>
      <c r="M38" s="385">
        <v>3736.7868392604501</v>
      </c>
      <c r="N38" s="385">
        <v>2016.1799917134106</v>
      </c>
      <c r="O38" s="385">
        <v>7426.3877050310912</v>
      </c>
      <c r="P38" s="385">
        <v>1693.3332649947299</v>
      </c>
      <c r="Q38" s="386">
        <f>$J38-SUM(K38:P38)-0.03</f>
        <v>165.64892269039294</v>
      </c>
      <c r="R38" s="352"/>
      <c r="S38" s="352"/>
    </row>
    <row r="39" spans="1:19" s="148" customFormat="1" ht="16.5" customHeight="1">
      <c r="A39" s="848"/>
      <c r="B39" s="440" t="s">
        <v>416</v>
      </c>
      <c r="C39" s="385">
        <v>42880.011491359066</v>
      </c>
      <c r="D39" s="385">
        <v>13227.622401473955</v>
      </c>
      <c r="E39" s="385">
        <v>2499.5956606652894</v>
      </c>
      <c r="F39" s="385">
        <v>4655.0805454757301</v>
      </c>
      <c r="G39" s="385">
        <v>4727.8900188903208</v>
      </c>
      <c r="H39" s="385">
        <v>1000.1957490637025</v>
      </c>
      <c r="I39" s="386">
        <f>$J39-SUM(C39:H39)</f>
        <v>263.73796844834578</v>
      </c>
      <c r="J39" s="634">
        <v>69254.1338353764</v>
      </c>
      <c r="K39" s="385">
        <v>33705.617160546833</v>
      </c>
      <c r="L39" s="385">
        <v>20770.021308299732</v>
      </c>
      <c r="M39" s="385">
        <v>3592.0801882453934</v>
      </c>
      <c r="N39" s="385">
        <v>2221.1770072292675</v>
      </c>
      <c r="O39" s="385">
        <v>7129.1126602112436</v>
      </c>
      <c r="P39" s="385">
        <v>1692.3357248341499</v>
      </c>
      <c r="Q39" s="386">
        <f>$J39-SUM(K39:P39)</f>
        <v>143.7897860097728</v>
      </c>
      <c r="R39" s="352"/>
      <c r="S39" s="352"/>
    </row>
    <row r="40" spans="1:19" s="148" customFormat="1" ht="16.5" customHeight="1">
      <c r="A40" s="848"/>
      <c r="B40" s="440" t="s">
        <v>417</v>
      </c>
      <c r="C40" s="385">
        <v>42727.46679919368</v>
      </c>
      <c r="D40" s="385">
        <v>13532.572631777311</v>
      </c>
      <c r="E40" s="385">
        <v>2769.7436735168808</v>
      </c>
      <c r="F40" s="385">
        <v>4993.5256787299359</v>
      </c>
      <c r="G40" s="385">
        <v>5100.1983937719287</v>
      </c>
      <c r="H40" s="385">
        <v>1109.3175783847228</v>
      </c>
      <c r="I40" s="386">
        <f>$J40-SUM(C40:H40)-0.05</f>
        <v>273.66552288436213</v>
      </c>
      <c r="J40" s="634">
        <v>70506.540278258835</v>
      </c>
      <c r="K40" s="385">
        <v>34561.338031723557</v>
      </c>
      <c r="L40" s="385">
        <v>20862.94173535092</v>
      </c>
      <c r="M40" s="385">
        <v>3424.2170699878648</v>
      </c>
      <c r="N40" s="385">
        <v>2259.9139772939316</v>
      </c>
      <c r="O40" s="385">
        <v>7616.7554398392167</v>
      </c>
      <c r="P40" s="385">
        <v>1632.6971142074838</v>
      </c>
      <c r="Q40" s="386">
        <f>$J40-SUM(K40:P40)</f>
        <v>148.67690985585796</v>
      </c>
      <c r="R40" s="352"/>
      <c r="S40" s="352"/>
    </row>
    <row r="41" spans="1:19" s="148" customFormat="1" ht="16.5" customHeight="1">
      <c r="A41" s="848"/>
      <c r="B41" s="440" t="s">
        <v>418</v>
      </c>
      <c r="C41" s="385">
        <v>42844.200707609067</v>
      </c>
      <c r="D41" s="385">
        <v>13081.012793382026</v>
      </c>
      <c r="E41" s="385">
        <v>2659.5539679958924</v>
      </c>
      <c r="F41" s="385">
        <v>5318.4382602701171</v>
      </c>
      <c r="G41" s="385">
        <v>4858.8484705027804</v>
      </c>
      <c r="H41" s="385">
        <v>967.17218407391852</v>
      </c>
      <c r="I41" s="386">
        <f>$J41-SUM(C41:H41)</f>
        <v>263.16918527110829</v>
      </c>
      <c r="J41" s="634">
        <v>69992.395569104905</v>
      </c>
      <c r="K41" s="385">
        <v>34734.581588362373</v>
      </c>
      <c r="L41" s="385">
        <v>20143.55585925826</v>
      </c>
      <c r="M41" s="385">
        <v>3542.4448008458944</v>
      </c>
      <c r="N41" s="385">
        <v>2231.6171738041321</v>
      </c>
      <c r="O41" s="385">
        <v>7533.1737386671384</v>
      </c>
      <c r="P41" s="385">
        <v>1655.5925669552062</v>
      </c>
      <c r="Q41" s="386">
        <f>$J41-SUM(K41:P41)</f>
        <v>151.42984121189511</v>
      </c>
      <c r="R41" s="352"/>
      <c r="S41" s="352"/>
    </row>
    <row r="42" spans="1:19" s="148" customFormat="1" ht="16.5" customHeight="1">
      <c r="A42" s="848"/>
      <c r="B42" s="440" t="s">
        <v>419</v>
      </c>
      <c r="C42" s="385">
        <v>42854.781993577599</v>
      </c>
      <c r="D42" s="385">
        <v>13277.441797885862</v>
      </c>
      <c r="E42" s="385">
        <v>2819.311134791104</v>
      </c>
      <c r="F42" s="385">
        <v>4605.7658475460667</v>
      </c>
      <c r="G42" s="385">
        <v>4190.9173998081505</v>
      </c>
      <c r="H42" s="385">
        <v>984.31112759996086</v>
      </c>
      <c r="I42" s="386">
        <f>$J42-SUM(C42:H42)</f>
        <v>220.37556173927442</v>
      </c>
      <c r="J42" s="634">
        <v>68952.904862948009</v>
      </c>
      <c r="K42" s="385">
        <v>34532.235708813903</v>
      </c>
      <c r="L42" s="385">
        <v>19492.867457865352</v>
      </c>
      <c r="M42" s="385">
        <v>3965.6362113338691</v>
      </c>
      <c r="N42" s="385">
        <v>2365.6647847835052</v>
      </c>
      <c r="O42" s="385">
        <v>6800.4664565137391</v>
      </c>
      <c r="P42" s="385">
        <v>1648.9976217243725</v>
      </c>
      <c r="Q42" s="386">
        <f>$J42-SUM(K42:P42)</f>
        <v>147.03662191327021</v>
      </c>
      <c r="R42" s="352"/>
      <c r="S42" s="352"/>
    </row>
    <row r="43" spans="1:19" s="148" customFormat="1" ht="16.5" customHeight="1">
      <c r="A43" s="848"/>
      <c r="B43" s="440" t="s">
        <v>420</v>
      </c>
      <c r="C43" s="385">
        <v>42983.063809694933</v>
      </c>
      <c r="D43" s="385">
        <v>13285.383148430938</v>
      </c>
      <c r="E43" s="385">
        <v>2722.6746743511007</v>
      </c>
      <c r="F43" s="385">
        <v>5087.9390402159379</v>
      </c>
      <c r="G43" s="385">
        <v>4329.973650396867</v>
      </c>
      <c r="H43" s="385">
        <v>1012.5256900840043</v>
      </c>
      <c r="I43" s="386">
        <f>$J43-SUM(C43:H43)-0.03</f>
        <v>218.14255366541212</v>
      </c>
      <c r="J43" s="634">
        <v>69639.7325668392</v>
      </c>
      <c r="K43" s="385">
        <v>34602.240163404967</v>
      </c>
      <c r="L43" s="385">
        <v>19552.850462896015</v>
      </c>
      <c r="M43" s="385">
        <v>3800.0404581621056</v>
      </c>
      <c r="N43" s="385">
        <v>2472.6038025913267</v>
      </c>
      <c r="O43" s="385">
        <v>7363.4846588796945</v>
      </c>
      <c r="P43" s="385">
        <v>1711.8838501680189</v>
      </c>
      <c r="Q43" s="386">
        <f>$J43-SUM(K43:P43)</f>
        <v>136.62917073706922</v>
      </c>
      <c r="R43" s="352"/>
      <c r="S43" s="352"/>
    </row>
    <row r="44" spans="1:19" ht="20.25" customHeight="1">
      <c r="A44" s="253" t="s">
        <v>1048</v>
      </c>
      <c r="B44" s="1713"/>
      <c r="C44" s="1713"/>
      <c r="D44" s="1713"/>
      <c r="E44" s="1713"/>
      <c r="F44" s="1713"/>
      <c r="G44" s="1713"/>
      <c r="H44" s="1713"/>
      <c r="I44" s="1713"/>
      <c r="J44" s="1713"/>
      <c r="K44" s="1713"/>
      <c r="L44" s="1713"/>
      <c r="M44" s="1713"/>
      <c r="N44" s="380"/>
      <c r="O44" s="1713"/>
      <c r="P44" s="1713"/>
      <c r="Q44" s="252" t="s">
        <v>1049</v>
      </c>
    </row>
    <row r="45" spans="1:19" s="180" customFormat="1" ht="15">
      <c r="A45" s="306" t="s">
        <v>934</v>
      </c>
      <c r="B45" s="306"/>
      <c r="C45" s="306"/>
      <c r="D45" s="306"/>
      <c r="E45" s="306"/>
      <c r="F45" s="306"/>
      <c r="G45" s="306"/>
      <c r="H45" s="306"/>
      <c r="I45" s="306"/>
      <c r="J45" s="276"/>
      <c r="K45" s="276"/>
      <c r="L45" s="276"/>
      <c r="M45" s="276"/>
      <c r="N45" s="276"/>
      <c r="O45" s="276"/>
      <c r="P45" s="276"/>
      <c r="Q45" s="627" t="s">
        <v>935</v>
      </c>
    </row>
    <row r="47" spans="1:19" s="180" customFormat="1" ht="15">
      <c r="A47" s="276" t="s">
        <v>1050</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dimension ref="A1:S47"/>
  <sheetViews>
    <sheetView zoomScale="80" zoomScaleNormal="80" workbookViewId="0">
      <pane ySplit="12" topLeftCell="A36" activePane="bottomLeft" state="frozen"/>
      <selection activeCell="B2" sqref="B2"/>
      <selection pane="bottomLeft" activeCell="I44" sqref="I44"/>
    </sheetView>
  </sheetViews>
  <sheetFormatPr defaultColWidth="9.21875" defaultRowHeight="13.2"/>
  <cols>
    <col min="1" max="2" width="9.77734375" style="1402" customWidth="1"/>
    <col min="3" max="3" width="11.44140625" style="1402" customWidth="1"/>
    <col min="4" max="5" width="12.77734375" style="1402" customWidth="1"/>
    <col min="6" max="6" width="10.21875" style="1402" customWidth="1"/>
    <col min="7" max="7" width="11.77734375" style="1402" customWidth="1"/>
    <col min="8" max="8" width="12" style="1402" customWidth="1"/>
    <col min="9" max="9" width="10.21875" style="1402" customWidth="1"/>
    <col min="10" max="10" width="12.77734375" style="1402" customWidth="1"/>
    <col min="11" max="11" width="11.44140625" style="1402" customWidth="1"/>
    <col min="12" max="12" width="12.77734375" style="1402" customWidth="1"/>
    <col min="13" max="13" width="11.77734375" style="1402" customWidth="1"/>
    <col min="14" max="14" width="10.21875" style="1402" customWidth="1"/>
    <col min="15" max="15" width="11.77734375" style="1402" customWidth="1"/>
    <col min="16" max="16" width="12.21875" style="1402" customWidth="1"/>
    <col min="17" max="17" width="10.77734375" style="1402" customWidth="1"/>
    <col min="18" max="16384" width="9.21875" style="1402"/>
  </cols>
  <sheetData>
    <row r="1" spans="1:19" s="381" customFormat="1" ht="17.399999999999999">
      <c r="A1" s="277" t="s">
        <v>1752</v>
      </c>
      <c r="B1" s="1710"/>
      <c r="C1" s="1710"/>
      <c r="D1" s="1710"/>
      <c r="E1" s="1710"/>
      <c r="F1" s="1710"/>
      <c r="G1" s="1710"/>
      <c r="H1" s="1710"/>
      <c r="I1" s="1710"/>
      <c r="J1" s="1710"/>
      <c r="K1" s="1710"/>
      <c r="L1" s="1710"/>
      <c r="M1" s="1710"/>
      <c r="N1" s="1710"/>
      <c r="O1" s="1710"/>
      <c r="P1" s="1710"/>
      <c r="Q1" s="1710"/>
    </row>
    <row r="2" spans="1:19" s="381" customFormat="1" ht="17.399999999999999">
      <c r="A2" s="1660" t="s">
        <v>1051</v>
      </c>
      <c r="B2" s="1710"/>
      <c r="C2" s="1710"/>
      <c r="D2" s="1710"/>
      <c r="E2" s="1710"/>
      <c r="F2" s="1710"/>
      <c r="G2" s="1710"/>
      <c r="H2" s="1710"/>
      <c r="I2" s="1710"/>
      <c r="J2" s="1710"/>
      <c r="K2" s="1710"/>
      <c r="L2" s="1710"/>
      <c r="M2" s="1710"/>
      <c r="N2" s="1710"/>
      <c r="O2" s="1710"/>
      <c r="P2" s="1710"/>
      <c r="Q2" s="1710"/>
    </row>
    <row r="3" spans="1:19" s="381" customFormat="1" ht="17.399999999999999">
      <c r="A3" s="1711" t="s">
        <v>1052</v>
      </c>
      <c r="B3" s="1710"/>
      <c r="C3" s="1710"/>
      <c r="D3" s="1710"/>
      <c r="E3" s="1710"/>
      <c r="F3" s="1710"/>
      <c r="G3" s="1710"/>
      <c r="H3" s="1710"/>
      <c r="I3" s="1710"/>
      <c r="J3" s="1710"/>
      <c r="K3" s="1710"/>
      <c r="L3" s="1710"/>
      <c r="M3" s="1710"/>
      <c r="N3" s="1710"/>
      <c r="O3" s="1710"/>
      <c r="P3" s="1710"/>
      <c r="Q3" s="1710"/>
    </row>
    <row r="4" spans="1:19" s="306" customFormat="1" ht="13.8">
      <c r="A4" s="306" t="s">
        <v>752</v>
      </c>
      <c r="B4" s="319"/>
      <c r="Q4" s="1407" t="s">
        <v>753</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939</v>
      </c>
      <c r="D9" s="177" t="s">
        <v>940</v>
      </c>
      <c r="E9" s="177" t="s">
        <v>941</v>
      </c>
      <c r="F9" s="162" t="s">
        <v>942</v>
      </c>
      <c r="G9" s="162"/>
      <c r="H9" s="177" t="s">
        <v>943</v>
      </c>
      <c r="I9" s="177"/>
      <c r="J9" s="194"/>
      <c r="K9" s="182" t="s">
        <v>939</v>
      </c>
      <c r="L9" s="177" t="s">
        <v>940</v>
      </c>
      <c r="M9" s="177" t="s">
        <v>941</v>
      </c>
      <c r="N9" s="162" t="s">
        <v>942</v>
      </c>
      <c r="O9" s="162"/>
      <c r="P9" s="177" t="s">
        <v>943</v>
      </c>
      <c r="Q9" s="177"/>
    </row>
    <row r="10" spans="1:19" s="176" customFormat="1" ht="18" customHeight="1">
      <c r="A10" s="163" t="s">
        <v>379</v>
      </c>
      <c r="B10" s="165"/>
      <c r="C10" s="182" t="s">
        <v>944</v>
      </c>
      <c r="D10" s="177" t="s">
        <v>945</v>
      </c>
      <c r="E10" s="177" t="s">
        <v>946</v>
      </c>
      <c r="F10" s="162" t="s">
        <v>947</v>
      </c>
      <c r="G10" s="162" t="s">
        <v>348</v>
      </c>
      <c r="H10" s="177" t="s">
        <v>948</v>
      </c>
      <c r="I10" s="177" t="s">
        <v>391</v>
      </c>
      <c r="J10" s="193" t="s">
        <v>382</v>
      </c>
      <c r="K10" s="182" t="s">
        <v>944</v>
      </c>
      <c r="L10" s="177" t="s">
        <v>945</v>
      </c>
      <c r="M10" s="177" t="s">
        <v>946</v>
      </c>
      <c r="N10" s="162" t="s">
        <v>947</v>
      </c>
      <c r="O10" s="162" t="s">
        <v>348</v>
      </c>
      <c r="P10" s="177" t="s">
        <v>948</v>
      </c>
      <c r="Q10" s="177" t="s">
        <v>391</v>
      </c>
    </row>
    <row r="11" spans="1:19" s="164" customFormat="1" ht="18" customHeight="1">
      <c r="A11" s="178" t="s">
        <v>387</v>
      </c>
      <c r="B11" s="165"/>
      <c r="C11" s="191" t="s">
        <v>949</v>
      </c>
      <c r="D11" s="166" t="s">
        <v>950</v>
      </c>
      <c r="E11" s="166" t="s">
        <v>951</v>
      </c>
      <c r="F11" s="166" t="s">
        <v>952</v>
      </c>
      <c r="G11" s="166" t="s">
        <v>544</v>
      </c>
      <c r="H11" s="166" t="s">
        <v>953</v>
      </c>
      <c r="I11" s="168" t="s">
        <v>399</v>
      </c>
      <c r="J11" s="195" t="s">
        <v>392</v>
      </c>
      <c r="K11" s="191" t="s">
        <v>949</v>
      </c>
      <c r="L11" s="166" t="s">
        <v>950</v>
      </c>
      <c r="M11" s="166" t="s">
        <v>951</v>
      </c>
      <c r="N11" s="166" t="s">
        <v>952</v>
      </c>
      <c r="O11" s="166" t="s">
        <v>544</v>
      </c>
      <c r="P11" s="166" t="s">
        <v>953</v>
      </c>
      <c r="Q11" s="168" t="s">
        <v>399</v>
      </c>
    </row>
    <row r="12" spans="1:19" s="164" customFormat="1" ht="18" customHeight="1">
      <c r="A12" s="179"/>
      <c r="B12" s="170"/>
      <c r="C12" s="192" t="s">
        <v>954</v>
      </c>
      <c r="D12" s="198" t="s">
        <v>955</v>
      </c>
      <c r="E12" s="198" t="s">
        <v>956</v>
      </c>
      <c r="F12" s="198" t="s">
        <v>957</v>
      </c>
      <c r="G12" s="198"/>
      <c r="H12" s="198" t="s">
        <v>958</v>
      </c>
      <c r="I12" s="199"/>
      <c r="J12" s="196"/>
      <c r="K12" s="192" t="s">
        <v>954</v>
      </c>
      <c r="L12" s="198" t="s">
        <v>955</v>
      </c>
      <c r="M12" s="198" t="s">
        <v>956</v>
      </c>
      <c r="N12" s="198" t="s">
        <v>957</v>
      </c>
      <c r="O12" s="198"/>
      <c r="P12" s="198" t="s">
        <v>958</v>
      </c>
      <c r="Q12" s="198"/>
    </row>
    <row r="13" spans="1:19" s="597" customFormat="1" ht="27" customHeight="1">
      <c r="A13" s="849">
        <v>2016</v>
      </c>
      <c r="B13" s="850"/>
      <c r="C13" s="385">
        <v>12221.832050879153</v>
      </c>
      <c r="D13" s="385">
        <v>988.8887977609437</v>
      </c>
      <c r="E13" s="386">
        <v>10733.120021225248</v>
      </c>
      <c r="F13" s="386">
        <v>163.84019281613826</v>
      </c>
      <c r="G13" s="386">
        <v>371.70641893705169</v>
      </c>
      <c r="H13" s="386">
        <v>0.58169855502127654</v>
      </c>
      <c r="I13" s="386">
        <v>1810.5778294911663</v>
      </c>
      <c r="J13" s="634">
        <v>26290.53700966472</v>
      </c>
      <c r="K13" s="386">
        <v>12058.872059951289</v>
      </c>
      <c r="L13" s="386">
        <v>664.09850194428304</v>
      </c>
      <c r="M13" s="386">
        <v>12560.10146326713</v>
      </c>
      <c r="N13" s="386">
        <v>167.02197114142552</v>
      </c>
      <c r="O13" s="1712">
        <v>509.41346495740629</v>
      </c>
      <c r="P13" s="386">
        <v>0.55820311285106383</v>
      </c>
      <c r="Q13" s="386">
        <v>330.4423208226462</v>
      </c>
      <c r="R13" s="352"/>
      <c r="S13" s="352"/>
    </row>
    <row r="14" spans="1:19" s="996" customFormat="1" ht="18" customHeight="1">
      <c r="A14" s="849">
        <v>2017</v>
      </c>
      <c r="B14" s="850"/>
      <c r="C14" s="385">
        <v>12417.675752660667</v>
      </c>
      <c r="D14" s="385">
        <v>1297.9253813911946</v>
      </c>
      <c r="E14" s="386">
        <v>11046.520094957872</v>
      </c>
      <c r="F14" s="386">
        <v>114.27575935183383</v>
      </c>
      <c r="G14" s="386">
        <v>548.69374240537593</v>
      </c>
      <c r="H14" s="386">
        <v>0.77059188176750548</v>
      </c>
      <c r="I14" s="386">
        <v>1319.6385241983678</v>
      </c>
      <c r="J14" s="634">
        <v>26745.499846847077</v>
      </c>
      <c r="K14" s="385">
        <v>12123.199797986686</v>
      </c>
      <c r="L14" s="385">
        <v>1353.6755879829595</v>
      </c>
      <c r="M14" s="386">
        <v>12607.586559539341</v>
      </c>
      <c r="N14" s="386">
        <v>87.300481138132113</v>
      </c>
      <c r="O14" s="386">
        <v>568.82392471382684</v>
      </c>
      <c r="P14" s="386">
        <v>0.7055176436170213</v>
      </c>
      <c r="Q14" s="386">
        <v>4.2285762529785398</v>
      </c>
      <c r="R14" s="352"/>
      <c r="S14" s="352"/>
    </row>
    <row r="15" spans="1:19" s="996" customFormat="1" ht="18" customHeight="1">
      <c r="A15" s="849">
        <v>2018</v>
      </c>
      <c r="B15" s="850"/>
      <c r="C15" s="385">
        <v>12973.940703754573</v>
      </c>
      <c r="D15" s="385">
        <v>1667.7045393166379</v>
      </c>
      <c r="E15" s="386">
        <v>11036.396057784727</v>
      </c>
      <c r="F15" s="386">
        <v>208.88058757254089</v>
      </c>
      <c r="G15" s="386">
        <v>701.81380433791514</v>
      </c>
      <c r="H15" s="386">
        <v>0.71344325531383002</v>
      </c>
      <c r="I15" s="386">
        <v>1338.7758319056211</v>
      </c>
      <c r="J15" s="634">
        <v>27928.234967927336</v>
      </c>
      <c r="K15" s="385">
        <v>12157.168377798756</v>
      </c>
      <c r="L15" s="385">
        <v>1534.7177563647479</v>
      </c>
      <c r="M15" s="386">
        <v>13328.140749456108</v>
      </c>
      <c r="N15" s="386">
        <v>193.99781485134457</v>
      </c>
      <c r="O15" s="386">
        <v>706.9718932171844</v>
      </c>
      <c r="P15" s="386">
        <v>0.72249986314893633</v>
      </c>
      <c r="Q15" s="386">
        <v>6.4650265544044441</v>
      </c>
      <c r="R15" s="352"/>
      <c r="S15" s="352"/>
    </row>
    <row r="16" spans="1:19" s="996" customFormat="1" ht="18" customHeight="1">
      <c r="A16" s="849">
        <v>2019</v>
      </c>
      <c r="B16" s="850"/>
      <c r="C16" s="385">
        <v>14241.453063865696</v>
      </c>
      <c r="D16" s="385">
        <v>1563.0055445919013</v>
      </c>
      <c r="E16" s="386">
        <v>13641.58948086137</v>
      </c>
      <c r="F16" s="386">
        <v>151.74124397014916</v>
      </c>
      <c r="G16" s="386">
        <v>1203.0466399299019</v>
      </c>
      <c r="H16" s="386">
        <v>0.58498329270850868</v>
      </c>
      <c r="I16" s="386">
        <v>1281.2395931548135</v>
      </c>
      <c r="J16" s="634">
        <v>32082.61054966654</v>
      </c>
      <c r="K16" s="385">
        <v>13054.797748190676</v>
      </c>
      <c r="L16" s="385">
        <v>4581.8390924066844</v>
      </c>
      <c r="M16" s="386">
        <v>13204.444114013775</v>
      </c>
      <c r="N16" s="386">
        <v>134.70329132970215</v>
      </c>
      <c r="O16" s="386">
        <v>1104.7857438679255</v>
      </c>
      <c r="P16" s="386">
        <v>0.58455964689361695</v>
      </c>
      <c r="Q16" s="386">
        <v>1.5301938144680511</v>
      </c>
      <c r="R16" s="352"/>
      <c r="S16" s="352"/>
    </row>
    <row r="17" spans="1:19" s="996" customFormat="1" ht="18" customHeight="1">
      <c r="A17" s="849">
        <v>2020</v>
      </c>
      <c r="B17" s="850"/>
      <c r="C17" s="385">
        <v>14844.281941947993</v>
      </c>
      <c r="D17" s="385">
        <v>1366.9276938842768</v>
      </c>
      <c r="E17" s="386">
        <v>13407.016916723633</v>
      </c>
      <c r="F17" s="386">
        <v>74.256769210476151</v>
      </c>
      <c r="G17" s="386">
        <v>726.20463473587051</v>
      </c>
      <c r="H17" s="386">
        <v>0.74016472638975861</v>
      </c>
      <c r="I17" s="386">
        <v>1191.9618352761242</v>
      </c>
      <c r="J17" s="634">
        <v>31611.359956504763</v>
      </c>
      <c r="K17" s="385">
        <v>14137.259818520381</v>
      </c>
      <c r="L17" s="385">
        <v>4775.8621070732479</v>
      </c>
      <c r="M17" s="386">
        <v>11972.290980688265</v>
      </c>
      <c r="N17" s="386">
        <v>73.819141667355439</v>
      </c>
      <c r="O17" s="386">
        <v>630.05337070842552</v>
      </c>
      <c r="P17" s="386">
        <v>0.73141486614893614</v>
      </c>
      <c r="Q17" s="386">
        <v>21.274603441638401</v>
      </c>
      <c r="R17" s="352"/>
      <c r="S17" s="352"/>
    </row>
    <row r="18" spans="1:19" s="996" customFormat="1" ht="18" customHeight="1">
      <c r="A18" s="849">
        <v>2021</v>
      </c>
      <c r="B18" s="850"/>
      <c r="C18" s="385">
        <v>16211.615923287765</v>
      </c>
      <c r="D18" s="385">
        <v>853.24798040080839</v>
      </c>
      <c r="E18" s="386">
        <v>15947.952903213989</v>
      </c>
      <c r="F18" s="386">
        <v>66.641732232534153</v>
      </c>
      <c r="G18" s="386">
        <v>704.75758785337882</v>
      </c>
      <c r="H18" s="386">
        <v>0.86660790947714084</v>
      </c>
      <c r="I18" s="386">
        <v>769.66835644825107</v>
      </c>
      <c r="J18" s="634">
        <v>34554.840180883439</v>
      </c>
      <c r="K18" s="385">
        <v>15344.764716864347</v>
      </c>
      <c r="L18" s="385">
        <v>2470.1603284664366</v>
      </c>
      <c r="M18" s="386">
        <v>15150.609389963294</v>
      </c>
      <c r="N18" s="386">
        <v>64.965983405614367</v>
      </c>
      <c r="O18" s="386">
        <v>735.86135122560916</v>
      </c>
      <c r="P18" s="386">
        <v>0.85978878457446806</v>
      </c>
      <c r="Q18" s="386">
        <v>787.3874692317612</v>
      </c>
      <c r="R18" s="352"/>
      <c r="S18" s="352"/>
    </row>
    <row r="19" spans="1:19" s="996" customFormat="1" ht="18" customHeight="1">
      <c r="A19" s="849">
        <v>2022</v>
      </c>
      <c r="B19" s="850"/>
      <c r="C19" s="385">
        <v>17281.718805588876</v>
      </c>
      <c r="D19" s="386">
        <v>849.08523247056678</v>
      </c>
      <c r="E19" s="386">
        <v>16915.974374001089</v>
      </c>
      <c r="F19" s="386">
        <v>47.806099602479975</v>
      </c>
      <c r="G19" s="386">
        <v>688.0743981131593</v>
      </c>
      <c r="H19" s="386">
        <v>0.70255470847414392</v>
      </c>
      <c r="I19" s="386">
        <v>281.65992137768097</v>
      </c>
      <c r="J19" s="634">
        <v>36065.081385861733</v>
      </c>
      <c r="K19" s="385">
        <v>15207.697523298179</v>
      </c>
      <c r="L19" s="385">
        <v>5660.2678959463101</v>
      </c>
      <c r="M19" s="386">
        <v>14234.668664501703</v>
      </c>
      <c r="N19" s="386">
        <v>99.055734807329799</v>
      </c>
      <c r="O19" s="386">
        <v>833.31805321046329</v>
      </c>
      <c r="P19" s="386">
        <v>0.63506818351063832</v>
      </c>
      <c r="Q19" s="386">
        <v>29.427918466842527</v>
      </c>
      <c r="R19" s="352"/>
      <c r="S19" s="352"/>
    </row>
    <row r="20" spans="1:19" s="996" customFormat="1" ht="18" customHeight="1">
      <c r="A20" s="849">
        <v>2023</v>
      </c>
      <c r="B20" s="850"/>
      <c r="C20" s="385">
        <v>17253.050250269887</v>
      </c>
      <c r="D20" s="385">
        <v>1427.4208984515124</v>
      </c>
      <c r="E20" s="386">
        <v>18350.155125147703</v>
      </c>
      <c r="F20" s="386">
        <v>88.311896868702149</v>
      </c>
      <c r="G20" s="386">
        <v>767.91357610837599</v>
      </c>
      <c r="H20" s="386">
        <v>0.53275775289361715</v>
      </c>
      <c r="I20" s="386">
        <v>347.02742903016474</v>
      </c>
      <c r="J20" s="634">
        <v>38234.40193362924</v>
      </c>
      <c r="K20" s="385">
        <v>16200.750127781273</v>
      </c>
      <c r="L20" s="385">
        <v>6553.8085016038895</v>
      </c>
      <c r="M20" s="386">
        <v>13996.742001385028</v>
      </c>
      <c r="N20" s="386">
        <v>155.58920305021275</v>
      </c>
      <c r="O20" s="386">
        <v>837.73778287979781</v>
      </c>
      <c r="P20" s="386">
        <v>0.51975514893617025</v>
      </c>
      <c r="Q20" s="386">
        <v>489.25137618782935</v>
      </c>
      <c r="R20" s="352"/>
      <c r="S20" s="352"/>
    </row>
    <row r="21" spans="1:19" s="996" customFormat="1" ht="18" customHeight="1">
      <c r="A21" s="849">
        <v>2024</v>
      </c>
      <c r="B21" s="850"/>
      <c r="C21" s="385">
        <v>21846.086171617131</v>
      </c>
      <c r="D21" s="385">
        <v>2288.0066650142107</v>
      </c>
      <c r="E21" s="386">
        <v>36696.238967598671</v>
      </c>
      <c r="F21" s="386">
        <v>333.950699451731</v>
      </c>
      <c r="G21" s="386">
        <v>1085.5125094299533</v>
      </c>
      <c r="H21" s="386">
        <v>37.238493014154066</v>
      </c>
      <c r="I21" s="386">
        <v>1067.4174840169649</v>
      </c>
      <c r="J21" s="634">
        <v>63354.440990142815</v>
      </c>
      <c r="K21" s="385">
        <v>21382.338917704499</v>
      </c>
      <c r="L21" s="385">
        <v>7719.374220805139</v>
      </c>
      <c r="M21" s="386">
        <v>30944.462766572982</v>
      </c>
      <c r="N21" s="386">
        <v>397.74128785244636</v>
      </c>
      <c r="O21" s="386">
        <v>1171.7607428206718</v>
      </c>
      <c r="P21" s="386">
        <v>4.7271445146151416</v>
      </c>
      <c r="Q21" s="386">
        <v>1733.9808062818092</v>
      </c>
      <c r="R21" s="352"/>
      <c r="S21" s="352"/>
    </row>
    <row r="22" spans="1:19" s="996" customFormat="1" ht="18" customHeight="1">
      <c r="A22" s="991">
        <v>2025</v>
      </c>
      <c r="B22" s="992"/>
      <c r="C22" s="993">
        <f t="shared" ref="C22:Q22" si="0">C28</f>
        <v>24018.617618667497</v>
      </c>
      <c r="D22" s="993">
        <f t="shared" si="0"/>
        <v>1362.4610593543239</v>
      </c>
      <c r="E22" s="994">
        <f t="shared" si="0"/>
        <v>39960.34736798353</v>
      </c>
      <c r="F22" s="994">
        <f t="shared" si="0"/>
        <v>355.33856086987737</v>
      </c>
      <c r="G22" s="994">
        <f t="shared" si="0"/>
        <v>811.26076100459227</v>
      </c>
      <c r="H22" s="994">
        <f t="shared" si="0"/>
        <v>222.44073947256462</v>
      </c>
      <c r="I22" s="994">
        <f t="shared" si="0"/>
        <v>330.47224287090938</v>
      </c>
      <c r="J22" s="995">
        <f t="shared" si="0"/>
        <v>67060.938350223296</v>
      </c>
      <c r="K22" s="993">
        <f t="shared" si="0"/>
        <v>21741.483893098393</v>
      </c>
      <c r="L22" s="993">
        <f t="shared" si="0"/>
        <v>7592.7050347378299</v>
      </c>
      <c r="M22" s="994">
        <f t="shared" si="0"/>
        <v>35072.875441790311</v>
      </c>
      <c r="N22" s="994">
        <f t="shared" si="0"/>
        <v>416.75920324194112</v>
      </c>
      <c r="O22" s="994">
        <f t="shared" si="0"/>
        <v>1645.0567346685586</v>
      </c>
      <c r="P22" s="994">
        <f t="shared" si="0"/>
        <v>3.1604221288201932</v>
      </c>
      <c r="Q22" s="994">
        <f t="shared" si="0"/>
        <v>588.65691690681797</v>
      </c>
      <c r="R22" s="352"/>
      <c r="S22" s="352"/>
    </row>
    <row r="23" spans="1:19" s="996" customFormat="1" ht="21" customHeight="1">
      <c r="A23" s="849">
        <v>2024</v>
      </c>
      <c r="B23" s="850" t="s">
        <v>237</v>
      </c>
      <c r="C23" s="385">
        <v>21502.276905059778</v>
      </c>
      <c r="D23" s="385">
        <v>2324.9426803315168</v>
      </c>
      <c r="E23" s="386">
        <v>36674.984606045487</v>
      </c>
      <c r="F23" s="386">
        <v>434.7587539446663</v>
      </c>
      <c r="G23" s="386">
        <v>1210.8751588368627</v>
      </c>
      <c r="H23" s="386">
        <v>48.147051000368435</v>
      </c>
      <c r="I23" s="386">
        <v>114.45493004332658</v>
      </c>
      <c r="J23" s="634">
        <v>62310.460085261999</v>
      </c>
      <c r="K23" s="385">
        <v>21179.369135503057</v>
      </c>
      <c r="L23" s="385">
        <v>7623.5895702660891</v>
      </c>
      <c r="M23" s="386">
        <v>30984.740197684579</v>
      </c>
      <c r="N23" s="386">
        <v>468.83849058495673</v>
      </c>
      <c r="O23" s="386">
        <v>1311.9594715613243</v>
      </c>
      <c r="P23" s="386">
        <v>1.5140094079428954</v>
      </c>
      <c r="Q23" s="386">
        <v>740.53529857833291</v>
      </c>
      <c r="R23" s="352"/>
      <c r="S23" s="352"/>
    </row>
    <row r="24" spans="1:19" s="996" customFormat="1" ht="15" customHeight="1">
      <c r="A24" s="849"/>
      <c r="B24" s="850" t="s">
        <v>238</v>
      </c>
      <c r="C24" s="385">
        <v>21846.086171617131</v>
      </c>
      <c r="D24" s="385">
        <v>2288.0066650142107</v>
      </c>
      <c r="E24" s="386">
        <v>36696.238967598671</v>
      </c>
      <c r="F24" s="386">
        <v>333.950699451731</v>
      </c>
      <c r="G24" s="386">
        <v>1085.5125094299533</v>
      </c>
      <c r="H24" s="386">
        <v>37.238493014154066</v>
      </c>
      <c r="I24" s="386">
        <v>1067.4174840169649</v>
      </c>
      <c r="J24" s="634">
        <v>63354.440990142815</v>
      </c>
      <c r="K24" s="385">
        <v>21382.338917704499</v>
      </c>
      <c r="L24" s="385">
        <v>7719.374220805139</v>
      </c>
      <c r="M24" s="386">
        <v>30944.462766572982</v>
      </c>
      <c r="N24" s="386">
        <v>397.74128785244636</v>
      </c>
      <c r="O24" s="386">
        <v>1171.7607428206718</v>
      </c>
      <c r="P24" s="386">
        <v>4.7271445146151416</v>
      </c>
      <c r="Q24" s="386">
        <v>1733.9808062818092</v>
      </c>
      <c r="R24" s="352"/>
      <c r="S24" s="352"/>
    </row>
    <row r="25" spans="1:19" s="996" customFormat="1" ht="21" customHeight="1">
      <c r="A25" s="849">
        <v>2025</v>
      </c>
      <c r="B25" s="850" t="s">
        <v>239</v>
      </c>
      <c r="C25" s="385">
        <v>21399.660351088995</v>
      </c>
      <c r="D25" s="385">
        <v>3481.3008665758107</v>
      </c>
      <c r="E25" s="386">
        <v>34067.88691254158</v>
      </c>
      <c r="F25" s="386">
        <v>543.927315905809</v>
      </c>
      <c r="G25" s="386">
        <v>765.74096667212427</v>
      </c>
      <c r="H25" s="386">
        <v>157.01990852041041</v>
      </c>
      <c r="I25" s="386">
        <v>1100.594775959692</v>
      </c>
      <c r="J25" s="634">
        <v>61516.131097264428</v>
      </c>
      <c r="K25" s="385">
        <v>21196.378104142743</v>
      </c>
      <c r="L25" s="385">
        <v>6983.9952998573835</v>
      </c>
      <c r="M25" s="386">
        <v>30434.043828840462</v>
      </c>
      <c r="N25" s="386">
        <v>510.03887247445056</v>
      </c>
      <c r="O25" s="386">
        <v>870.90147374876835</v>
      </c>
      <c r="P25" s="386">
        <v>2.5476883161243853</v>
      </c>
      <c r="Q25" s="386">
        <v>1518.3373537311347</v>
      </c>
      <c r="R25" s="352"/>
      <c r="S25" s="352"/>
    </row>
    <row r="26" spans="1:19" s="996" customFormat="1" ht="15" customHeight="1">
      <c r="A26" s="849"/>
      <c r="B26" s="850" t="s">
        <v>240</v>
      </c>
      <c r="C26" s="385">
        <v>22509.807409565088</v>
      </c>
      <c r="D26" s="385">
        <v>3685.8113495456287</v>
      </c>
      <c r="E26" s="386">
        <v>35299.429031525229</v>
      </c>
      <c r="F26" s="386">
        <v>328.08218923994218</v>
      </c>
      <c r="G26" s="386">
        <v>941.67556761142441</v>
      </c>
      <c r="H26" s="386">
        <v>150.43798894260553</v>
      </c>
      <c r="I26" s="386">
        <v>1555.1211310631832</v>
      </c>
      <c r="J26" s="634">
        <v>64470.344667493104</v>
      </c>
      <c r="K26" s="385">
        <v>21586.178501801627</v>
      </c>
      <c r="L26" s="385">
        <v>6511.8380590795869</v>
      </c>
      <c r="M26" s="386">
        <v>33062.774110946069</v>
      </c>
      <c r="N26" s="386">
        <v>370.85668152364985</v>
      </c>
      <c r="O26" s="386">
        <v>1191.4979744691182</v>
      </c>
      <c r="P26" s="386">
        <v>2.6924844036695283</v>
      </c>
      <c r="Q26" s="386">
        <v>1744.4460776007995</v>
      </c>
      <c r="R26" s="352"/>
      <c r="S26" s="352"/>
    </row>
    <row r="27" spans="1:19" s="996" customFormat="1" ht="15" customHeight="1">
      <c r="A27" s="849"/>
      <c r="B27" s="850" t="s">
        <v>237</v>
      </c>
      <c r="C27" s="385">
        <v>22314.02703052076</v>
      </c>
      <c r="D27" s="385">
        <v>3298.5307183844207</v>
      </c>
      <c r="E27" s="386">
        <v>37823.653255929785</v>
      </c>
      <c r="F27" s="386">
        <v>270.80920780020176</v>
      </c>
      <c r="G27" s="386">
        <v>1097.5984221623416</v>
      </c>
      <c r="H27" s="386">
        <v>108.47881239165977</v>
      </c>
      <c r="I27" s="386">
        <v>1626.5093661165704</v>
      </c>
      <c r="J27" s="634">
        <v>66539.606813305742</v>
      </c>
      <c r="K27" s="385">
        <v>21254.013817953688</v>
      </c>
      <c r="L27" s="385">
        <v>7199.90838223438</v>
      </c>
      <c r="M27" s="386">
        <v>34586.512159177757</v>
      </c>
      <c r="N27" s="386">
        <v>293.79590943290424</v>
      </c>
      <c r="O27" s="386">
        <v>1334.5084789967627</v>
      </c>
      <c r="P27" s="386">
        <v>8.1630104632271898</v>
      </c>
      <c r="Q27" s="386">
        <v>1862.7440996755115</v>
      </c>
      <c r="R27" s="352"/>
      <c r="S27" s="352"/>
    </row>
    <row r="28" spans="1:19" s="996" customFormat="1" ht="15" customHeight="1">
      <c r="A28" s="849"/>
      <c r="B28" s="850" t="s">
        <v>238</v>
      </c>
      <c r="C28" s="385">
        <f t="shared" ref="C28:Q28" si="1">C36</f>
        <v>24018.617618667497</v>
      </c>
      <c r="D28" s="385">
        <f t="shared" si="1"/>
        <v>1362.4610593543239</v>
      </c>
      <c r="E28" s="386">
        <f t="shared" si="1"/>
        <v>39960.34736798353</v>
      </c>
      <c r="F28" s="386">
        <f t="shared" si="1"/>
        <v>355.33856086987737</v>
      </c>
      <c r="G28" s="386">
        <f t="shared" si="1"/>
        <v>811.26076100459227</v>
      </c>
      <c r="H28" s="386">
        <f t="shared" si="1"/>
        <v>222.44073947256462</v>
      </c>
      <c r="I28" s="386">
        <f t="shared" si="1"/>
        <v>330.47224287090938</v>
      </c>
      <c r="J28" s="634">
        <f t="shared" si="1"/>
        <v>67060.938350223296</v>
      </c>
      <c r="K28" s="385">
        <f t="shared" si="1"/>
        <v>21741.483893098393</v>
      </c>
      <c r="L28" s="385">
        <f t="shared" si="1"/>
        <v>7592.7050347378299</v>
      </c>
      <c r="M28" s="386">
        <f t="shared" si="1"/>
        <v>35072.875441790311</v>
      </c>
      <c r="N28" s="386">
        <f t="shared" si="1"/>
        <v>416.75920324194112</v>
      </c>
      <c r="O28" s="386">
        <f t="shared" si="1"/>
        <v>1645.0567346685586</v>
      </c>
      <c r="P28" s="386">
        <f t="shared" si="1"/>
        <v>3.1604221288201932</v>
      </c>
      <c r="Q28" s="386">
        <f t="shared" si="1"/>
        <v>588.65691690681797</v>
      </c>
      <c r="R28" s="352"/>
      <c r="S28" s="352"/>
    </row>
    <row r="29" spans="1:19" s="996" customFormat="1" ht="21" customHeight="1">
      <c r="A29" s="849">
        <v>2026</v>
      </c>
      <c r="B29" s="850" t="s">
        <v>239</v>
      </c>
      <c r="C29" s="385">
        <f t="shared" ref="C29:Q29" si="2">C39</f>
        <v>23850.953074456957</v>
      </c>
      <c r="D29" s="385">
        <f t="shared" si="2"/>
        <v>2369.3796050418359</v>
      </c>
      <c r="E29" s="386">
        <f t="shared" si="2"/>
        <v>41048.809385200526</v>
      </c>
      <c r="F29" s="386">
        <f t="shared" si="2"/>
        <v>394.64974256933601</v>
      </c>
      <c r="G29" s="386">
        <f t="shared" si="2"/>
        <v>1011.6394362461658</v>
      </c>
      <c r="H29" s="386">
        <f t="shared" si="2"/>
        <v>132.05352517024349</v>
      </c>
      <c r="I29" s="386">
        <f t="shared" si="2"/>
        <v>446.64080922204266</v>
      </c>
      <c r="J29" s="634">
        <f t="shared" si="2"/>
        <v>69254.135577907087</v>
      </c>
      <c r="K29" s="385">
        <f t="shared" si="2"/>
        <v>21334.432546870201</v>
      </c>
      <c r="L29" s="385">
        <f t="shared" si="2"/>
        <v>8512.3085821707118</v>
      </c>
      <c r="M29" s="386">
        <f t="shared" si="2"/>
        <v>37252.037989305856</v>
      </c>
      <c r="N29" s="386">
        <f t="shared" si="2"/>
        <v>250.60842974084943</v>
      </c>
      <c r="O29" s="386">
        <f t="shared" si="2"/>
        <v>1272.422377831962</v>
      </c>
      <c r="P29" s="386">
        <f t="shared" si="2"/>
        <v>2.7974082672956762</v>
      </c>
      <c r="Q29" s="386">
        <f t="shared" si="2"/>
        <v>629.59384452966594</v>
      </c>
      <c r="R29" s="352"/>
      <c r="S29" s="352"/>
    </row>
    <row r="30" spans="1:19" s="996" customFormat="1" ht="15" customHeight="1">
      <c r="A30" s="991"/>
      <c r="B30" s="992" t="s">
        <v>240</v>
      </c>
      <c r="C30" s="993">
        <f t="shared" ref="C30:Q30" si="3">C42</f>
        <v>23847.958832566121</v>
      </c>
      <c r="D30" s="993">
        <f t="shared" si="3"/>
        <v>2343.0421711204681</v>
      </c>
      <c r="E30" s="994">
        <f t="shared" si="3"/>
        <v>40747.940798058022</v>
      </c>
      <c r="F30" s="994">
        <f t="shared" si="3"/>
        <v>389.07641120842669</v>
      </c>
      <c r="G30" s="994">
        <f t="shared" si="3"/>
        <v>1116.2887512397299</v>
      </c>
      <c r="H30" s="994">
        <f t="shared" si="3"/>
        <v>87.088212993225355</v>
      </c>
      <c r="I30" s="994">
        <f t="shared" si="3"/>
        <v>421.47603571989612</v>
      </c>
      <c r="J30" s="995">
        <f t="shared" si="3"/>
        <v>68952.891212905903</v>
      </c>
      <c r="K30" s="993">
        <f t="shared" si="3"/>
        <v>21583.569482882009</v>
      </c>
      <c r="L30" s="993">
        <f t="shared" si="3"/>
        <v>7992.9198361335966</v>
      </c>
      <c r="M30" s="994">
        <f t="shared" si="3"/>
        <v>36981.591405193947</v>
      </c>
      <c r="N30" s="994">
        <f t="shared" si="3"/>
        <v>203.9119235071131</v>
      </c>
      <c r="O30" s="994">
        <f t="shared" si="3"/>
        <v>1321.1765266658424</v>
      </c>
      <c r="P30" s="994">
        <f t="shared" si="3"/>
        <v>2.4877966303452221</v>
      </c>
      <c r="Q30" s="994">
        <f t="shared" si="3"/>
        <v>867.23039424248441</v>
      </c>
      <c r="R30" s="352"/>
      <c r="S30" s="352"/>
    </row>
    <row r="31" spans="1:19" s="148" customFormat="1" ht="21" customHeight="1">
      <c r="A31" s="848">
        <v>2025</v>
      </c>
      <c r="B31" s="440" t="s">
        <v>420</v>
      </c>
      <c r="C31" s="653">
        <v>22262.588941237918</v>
      </c>
      <c r="D31" s="653">
        <v>3506.0024279133895</v>
      </c>
      <c r="E31" s="663">
        <v>36721.175487259316</v>
      </c>
      <c r="F31" s="663">
        <v>276.23141594526624</v>
      </c>
      <c r="G31" s="663">
        <v>925.7627916661329</v>
      </c>
      <c r="H31" s="663">
        <v>13.357546260016322</v>
      </c>
      <c r="I31" s="663">
        <v>1601.639713567602</v>
      </c>
      <c r="J31" s="649">
        <v>65306.778323849649</v>
      </c>
      <c r="K31" s="653">
        <v>21320.662438918676</v>
      </c>
      <c r="L31" s="653">
        <v>6525.5577648670214</v>
      </c>
      <c r="M31" s="663">
        <v>34220.537035397683</v>
      </c>
      <c r="N31" s="663">
        <v>297.73003894150804</v>
      </c>
      <c r="O31" s="663">
        <v>1101.5421722147214</v>
      </c>
      <c r="P31" s="663">
        <v>16.882563762191822</v>
      </c>
      <c r="Q31" s="663">
        <v>1823.9081708769945</v>
      </c>
      <c r="R31" s="352"/>
      <c r="S31" s="352"/>
    </row>
    <row r="32" spans="1:19" s="148" customFormat="1" ht="16.5" customHeight="1">
      <c r="A32" s="848"/>
      <c r="B32" s="440" t="s">
        <v>421</v>
      </c>
      <c r="C32" s="653">
        <v>22256.904614646635</v>
      </c>
      <c r="D32" s="653">
        <v>3397.4429263815778</v>
      </c>
      <c r="E32" s="663">
        <v>36956.108080352686</v>
      </c>
      <c r="F32" s="663">
        <v>347.76794386628711</v>
      </c>
      <c r="G32" s="663">
        <v>1003.5624555418203</v>
      </c>
      <c r="H32" s="663">
        <v>83.957701050925735</v>
      </c>
      <c r="I32" s="663">
        <v>1625.3147681287744</v>
      </c>
      <c r="J32" s="649">
        <v>65671.068489968718</v>
      </c>
      <c r="K32" s="653">
        <v>21110.245240447723</v>
      </c>
      <c r="L32" s="653">
        <v>6569.6836460106124</v>
      </c>
      <c r="M32" s="663">
        <v>34571.82171136215</v>
      </c>
      <c r="N32" s="663">
        <v>324.22490868208092</v>
      </c>
      <c r="O32" s="663">
        <v>1261.9459069559525</v>
      </c>
      <c r="P32" s="663">
        <v>6.4887875106789794</v>
      </c>
      <c r="Q32" s="663">
        <v>1826.752603477232</v>
      </c>
      <c r="R32" s="352"/>
      <c r="S32" s="352"/>
    </row>
    <row r="33" spans="1:19" s="148" customFormat="1" ht="16.5" customHeight="1">
      <c r="A33" s="848"/>
      <c r="B33" s="440" t="s">
        <v>422</v>
      </c>
      <c r="C33" s="653">
        <v>22314.02703052076</v>
      </c>
      <c r="D33" s="653">
        <v>3298.5307183844207</v>
      </c>
      <c r="E33" s="663">
        <v>37823.653255929785</v>
      </c>
      <c r="F33" s="663">
        <v>270.80920780020176</v>
      </c>
      <c r="G33" s="663">
        <v>1097.5984221623416</v>
      </c>
      <c r="H33" s="663">
        <v>108.47881239165977</v>
      </c>
      <c r="I33" s="663">
        <v>1626.5093661165704</v>
      </c>
      <c r="J33" s="649">
        <v>66539.606813305742</v>
      </c>
      <c r="K33" s="653">
        <v>21254.013817953688</v>
      </c>
      <c r="L33" s="653">
        <v>7199.90838223438</v>
      </c>
      <c r="M33" s="663">
        <v>34586.512159177757</v>
      </c>
      <c r="N33" s="663">
        <v>293.79590943290424</v>
      </c>
      <c r="O33" s="663">
        <v>1334.5084789967627</v>
      </c>
      <c r="P33" s="663">
        <v>8.1630104632271898</v>
      </c>
      <c r="Q33" s="663">
        <v>1862.7440996755115</v>
      </c>
      <c r="R33" s="352"/>
      <c r="S33" s="352"/>
    </row>
    <row r="34" spans="1:19" s="148" customFormat="1" ht="16.5" customHeight="1">
      <c r="A34" s="848"/>
      <c r="B34" s="440" t="s">
        <v>411</v>
      </c>
      <c r="C34" s="653">
        <v>23485.894919050628</v>
      </c>
      <c r="D34" s="653">
        <v>1411.5207036935012</v>
      </c>
      <c r="E34" s="663">
        <v>38039.681487595393</v>
      </c>
      <c r="F34" s="663">
        <v>318.04375856100694</v>
      </c>
      <c r="G34" s="663">
        <v>914.56480865938795</v>
      </c>
      <c r="H34" s="663">
        <v>235.89910244411504</v>
      </c>
      <c r="I34" s="663">
        <v>1618.2057511811988</v>
      </c>
      <c r="J34" s="649">
        <v>66023.810531185241</v>
      </c>
      <c r="K34" s="653">
        <v>21346.969640029325</v>
      </c>
      <c r="L34" s="653">
        <v>6539.7454966603436</v>
      </c>
      <c r="M34" s="663">
        <v>34664.597727008251</v>
      </c>
      <c r="N34" s="663">
        <v>299.61010387420129</v>
      </c>
      <c r="O34" s="663">
        <v>1323.7341096054113</v>
      </c>
      <c r="P34" s="663">
        <v>5.0821879868498039</v>
      </c>
      <c r="Q34" s="663">
        <v>1844.0753485826556</v>
      </c>
      <c r="R34" s="352"/>
      <c r="S34" s="352"/>
    </row>
    <row r="35" spans="1:19" s="148" customFormat="1" ht="16.5" customHeight="1">
      <c r="A35" s="848"/>
      <c r="B35" s="440" t="s">
        <v>412</v>
      </c>
      <c r="C35" s="653">
        <v>23834.739802575728</v>
      </c>
      <c r="D35" s="653">
        <v>2074.4884844338499</v>
      </c>
      <c r="E35" s="663">
        <v>39390.354476881177</v>
      </c>
      <c r="F35" s="663">
        <v>318.0743733176397</v>
      </c>
      <c r="G35" s="663">
        <v>904.76219657045203</v>
      </c>
      <c r="H35" s="663">
        <v>176.74561337249753</v>
      </c>
      <c r="I35" s="663">
        <v>1527.6361534902903</v>
      </c>
      <c r="J35" s="649">
        <v>68226.801100641635</v>
      </c>
      <c r="K35" s="653">
        <v>21316.813991759758</v>
      </c>
      <c r="L35" s="653">
        <v>7396.4135073750276</v>
      </c>
      <c r="M35" s="663">
        <v>35848.242743517643</v>
      </c>
      <c r="N35" s="663">
        <v>318.13393804011559</v>
      </c>
      <c r="O35" s="663">
        <v>1620.2691311964693</v>
      </c>
      <c r="P35" s="663">
        <v>2.7841047557001741</v>
      </c>
      <c r="Q35" s="663">
        <v>1724.178327530763</v>
      </c>
      <c r="R35" s="352"/>
      <c r="S35" s="352"/>
    </row>
    <row r="36" spans="1:19" s="148" customFormat="1" ht="16.5" customHeight="1">
      <c r="A36" s="848"/>
      <c r="B36" s="440" t="s">
        <v>413</v>
      </c>
      <c r="C36" s="653">
        <v>24018.617618667497</v>
      </c>
      <c r="D36" s="653">
        <v>1362.4610593543239</v>
      </c>
      <c r="E36" s="663">
        <v>39960.34736798353</v>
      </c>
      <c r="F36" s="663">
        <v>355.33856086987737</v>
      </c>
      <c r="G36" s="663">
        <v>811.26076100459227</v>
      </c>
      <c r="H36" s="663">
        <v>222.44073947256462</v>
      </c>
      <c r="I36" s="663">
        <v>330.47224287090938</v>
      </c>
      <c r="J36" s="649">
        <v>67060.938350223296</v>
      </c>
      <c r="K36" s="653">
        <v>21741.483893098393</v>
      </c>
      <c r="L36" s="653">
        <v>7592.7050347378299</v>
      </c>
      <c r="M36" s="663">
        <v>35072.875441790311</v>
      </c>
      <c r="N36" s="663">
        <v>416.75920324194112</v>
      </c>
      <c r="O36" s="663">
        <v>1645.0567346685586</v>
      </c>
      <c r="P36" s="663">
        <v>3.1604221288201932</v>
      </c>
      <c r="Q36" s="663">
        <v>588.65691690681797</v>
      </c>
      <c r="R36" s="352"/>
      <c r="S36" s="352"/>
    </row>
    <row r="37" spans="1:19" s="148" customFormat="1" ht="21" customHeight="1">
      <c r="A37" s="848">
        <v>2026</v>
      </c>
      <c r="B37" s="440" t="s">
        <v>414</v>
      </c>
      <c r="C37" s="653">
        <v>23705.657141105621</v>
      </c>
      <c r="D37" s="653">
        <v>2061.0154675882677</v>
      </c>
      <c r="E37" s="663">
        <v>40072.600737817062</v>
      </c>
      <c r="F37" s="663">
        <v>345.76676197797332</v>
      </c>
      <c r="G37" s="663">
        <v>1049.5683177850178</v>
      </c>
      <c r="H37" s="663">
        <v>71.331933862323069</v>
      </c>
      <c r="I37" s="663">
        <v>326.20975495792743</v>
      </c>
      <c r="J37" s="649">
        <v>67632.150115094191</v>
      </c>
      <c r="K37" s="653">
        <v>21416.961650793499</v>
      </c>
      <c r="L37" s="653">
        <v>7583.0324442121737</v>
      </c>
      <c r="M37" s="663">
        <v>35737.237260443369</v>
      </c>
      <c r="N37" s="663">
        <v>343.18933182364373</v>
      </c>
      <c r="O37" s="663">
        <v>1927.3996174089282</v>
      </c>
      <c r="P37" s="663">
        <v>2.3293595991919198</v>
      </c>
      <c r="Q37" s="663">
        <v>622.05582984059981</v>
      </c>
      <c r="R37" s="352"/>
      <c r="S37" s="352"/>
    </row>
    <row r="38" spans="1:19" s="148" customFormat="1" ht="16.5" customHeight="1">
      <c r="A38" s="848"/>
      <c r="B38" s="440" t="s">
        <v>415</v>
      </c>
      <c r="C38" s="653">
        <v>23895.443126554484</v>
      </c>
      <c r="D38" s="653">
        <v>2389.6500455922906</v>
      </c>
      <c r="E38" s="663">
        <v>40906.810619595373</v>
      </c>
      <c r="F38" s="663">
        <v>276.78155857027031</v>
      </c>
      <c r="G38" s="663">
        <v>1134.9277101273235</v>
      </c>
      <c r="H38" s="663">
        <v>153.630628236169</v>
      </c>
      <c r="I38" s="663">
        <v>350.13825499734804</v>
      </c>
      <c r="J38" s="649">
        <v>69107.341943673266</v>
      </c>
      <c r="K38" s="653">
        <v>21606.693046101376</v>
      </c>
      <c r="L38" s="653">
        <v>8477.8683301696328</v>
      </c>
      <c r="M38" s="663">
        <v>36163.998071726826</v>
      </c>
      <c r="N38" s="663">
        <v>279.70208512201287</v>
      </c>
      <c r="O38" s="663">
        <v>1896.2140059455801</v>
      </c>
      <c r="P38" s="663">
        <v>2.2932756039410007</v>
      </c>
      <c r="Q38" s="663">
        <v>680.53229742091696</v>
      </c>
      <c r="R38" s="352"/>
      <c r="S38" s="352"/>
    </row>
    <row r="39" spans="1:19" s="148" customFormat="1" ht="16.5" customHeight="1">
      <c r="A39" s="848"/>
      <c r="B39" s="440" t="s">
        <v>416</v>
      </c>
      <c r="C39" s="653">
        <v>23850.953074456957</v>
      </c>
      <c r="D39" s="653">
        <v>2369.3796050418359</v>
      </c>
      <c r="E39" s="663">
        <v>41048.809385200526</v>
      </c>
      <c r="F39" s="663">
        <v>394.64974256933601</v>
      </c>
      <c r="G39" s="663">
        <v>1011.6394362461658</v>
      </c>
      <c r="H39" s="663">
        <v>132.05352517024349</v>
      </c>
      <c r="I39" s="663">
        <v>446.64080922204266</v>
      </c>
      <c r="J39" s="649">
        <v>69254.135577907087</v>
      </c>
      <c r="K39" s="653">
        <v>21334.432546870201</v>
      </c>
      <c r="L39" s="653">
        <v>8512.3085821707118</v>
      </c>
      <c r="M39" s="663">
        <v>37252.037989305856</v>
      </c>
      <c r="N39" s="663">
        <v>250.60842974084943</v>
      </c>
      <c r="O39" s="663">
        <v>1272.422377831962</v>
      </c>
      <c r="P39" s="663">
        <v>2.7974082672956762</v>
      </c>
      <c r="Q39" s="663">
        <v>629.59384452966594</v>
      </c>
      <c r="R39" s="352"/>
      <c r="S39" s="352"/>
    </row>
    <row r="40" spans="1:19" s="148" customFormat="1" ht="16.5" customHeight="1">
      <c r="A40" s="848"/>
      <c r="B40" s="440" t="s">
        <v>417</v>
      </c>
      <c r="C40" s="653">
        <v>23670.328578162349</v>
      </c>
      <c r="D40" s="653">
        <v>2183.8781352433934</v>
      </c>
      <c r="E40" s="663">
        <v>42814.300380337729</v>
      </c>
      <c r="F40" s="663">
        <v>247.74421519391564</v>
      </c>
      <c r="G40" s="663">
        <v>991.43259009108124</v>
      </c>
      <c r="H40" s="663">
        <v>171.11116502954704</v>
      </c>
      <c r="I40" s="663">
        <v>427.8293791068279</v>
      </c>
      <c r="J40" s="649">
        <v>70506.54444316485</v>
      </c>
      <c r="K40" s="653">
        <v>21552.98765692451</v>
      </c>
      <c r="L40" s="653">
        <v>8066.7774359034847</v>
      </c>
      <c r="M40" s="663">
        <v>38582.971878683493</v>
      </c>
      <c r="N40" s="663">
        <v>241.74826784394114</v>
      </c>
      <c r="O40" s="663">
        <v>1426.4194558250169</v>
      </c>
      <c r="P40" s="663">
        <v>2.5437245551881391</v>
      </c>
      <c r="Q40" s="663">
        <v>633.11641694051787</v>
      </c>
      <c r="R40" s="352"/>
      <c r="S40" s="352"/>
    </row>
    <row r="41" spans="1:19" s="148" customFormat="1" ht="16.5" customHeight="1">
      <c r="A41" s="848"/>
      <c r="B41" s="440" t="s">
        <v>418</v>
      </c>
      <c r="C41" s="653">
        <v>23739.464641290222</v>
      </c>
      <c r="D41" s="653">
        <v>2070.7274276979047</v>
      </c>
      <c r="E41" s="663">
        <v>42049.203737385971</v>
      </c>
      <c r="F41" s="663">
        <v>453.14865907305909</v>
      </c>
      <c r="G41" s="663">
        <v>1180.6595899528768</v>
      </c>
      <c r="H41" s="663">
        <v>77.975945846392491</v>
      </c>
      <c r="I41" s="663">
        <v>421.22191755067666</v>
      </c>
      <c r="J41" s="649">
        <v>69992.381918797109</v>
      </c>
      <c r="K41" s="653">
        <v>21384.133212702021</v>
      </c>
      <c r="L41" s="653">
        <v>8262.3471658811577</v>
      </c>
      <c r="M41" s="663">
        <v>37938.374366495133</v>
      </c>
      <c r="N41" s="663">
        <v>246.49746440202034</v>
      </c>
      <c r="O41" s="663">
        <v>1534.5951497834412</v>
      </c>
      <c r="P41" s="663">
        <v>2.5954629628765931</v>
      </c>
      <c r="Q41" s="663">
        <v>623.87729749300809</v>
      </c>
      <c r="R41" s="352"/>
      <c r="S41" s="352"/>
    </row>
    <row r="42" spans="1:19" s="148" customFormat="1" ht="16.5" customHeight="1">
      <c r="A42" s="848"/>
      <c r="B42" s="440" t="s">
        <v>419</v>
      </c>
      <c r="C42" s="653">
        <v>23847.958832566121</v>
      </c>
      <c r="D42" s="653">
        <v>2343.0421711204681</v>
      </c>
      <c r="E42" s="663">
        <v>40747.940798058022</v>
      </c>
      <c r="F42" s="663">
        <v>389.07641120842669</v>
      </c>
      <c r="G42" s="663">
        <v>1116.2887512397299</v>
      </c>
      <c r="H42" s="663">
        <v>87.088212993225355</v>
      </c>
      <c r="I42" s="663">
        <v>421.47603571989612</v>
      </c>
      <c r="J42" s="649">
        <v>68952.891212905903</v>
      </c>
      <c r="K42" s="653">
        <v>21583.569482882009</v>
      </c>
      <c r="L42" s="653">
        <v>7992.9198361335966</v>
      </c>
      <c r="M42" s="663">
        <v>36981.591405193947</v>
      </c>
      <c r="N42" s="663">
        <v>203.9119235071131</v>
      </c>
      <c r="O42" s="663">
        <v>1321.1765266658424</v>
      </c>
      <c r="P42" s="663">
        <v>2.4877966303452221</v>
      </c>
      <c r="Q42" s="663">
        <v>867.23039424248441</v>
      </c>
      <c r="R42" s="352"/>
      <c r="S42" s="352"/>
    </row>
    <row r="43" spans="1:19" s="148" customFormat="1" ht="16.5" customHeight="1">
      <c r="A43" s="848"/>
      <c r="B43" s="440" t="s">
        <v>420</v>
      </c>
      <c r="C43" s="653">
        <v>23531.360998355914</v>
      </c>
      <c r="D43" s="653">
        <v>2152.0498955493676</v>
      </c>
      <c r="E43" s="663">
        <v>42186.086529975568</v>
      </c>
      <c r="F43" s="663">
        <v>176.9119330286801</v>
      </c>
      <c r="G43" s="663">
        <v>1050.2200386612603</v>
      </c>
      <c r="H43" s="663">
        <v>133.51418027528939</v>
      </c>
      <c r="I43" s="663">
        <v>409.59135245446851</v>
      </c>
      <c r="J43" s="649">
        <v>69639.734928300561</v>
      </c>
      <c r="K43" s="653">
        <v>21539.561311611073</v>
      </c>
      <c r="L43" s="653">
        <v>7760.4160483683127</v>
      </c>
      <c r="M43" s="663">
        <v>37979.689627657659</v>
      </c>
      <c r="N43" s="663">
        <v>260.2455095398476</v>
      </c>
      <c r="O43" s="663">
        <v>1392.4034915790953</v>
      </c>
      <c r="P43" s="663">
        <v>2.586614117724487</v>
      </c>
      <c r="Q43" s="663">
        <v>704.83478242565434</v>
      </c>
      <c r="R43" s="352"/>
      <c r="S43" s="352"/>
    </row>
    <row r="44" spans="1:19" ht="20.25" customHeight="1">
      <c r="A44" s="253"/>
      <c r="B44" s="1713"/>
      <c r="C44" s="1713"/>
      <c r="D44" s="1713"/>
      <c r="E44" s="1713"/>
      <c r="F44" s="1713"/>
      <c r="G44" s="1713"/>
      <c r="H44" s="1713"/>
      <c r="I44" s="1713"/>
      <c r="J44" s="1713"/>
      <c r="K44" s="1713"/>
      <c r="L44" s="1713"/>
      <c r="M44" s="1713"/>
      <c r="N44" s="1713"/>
      <c r="O44" s="1713"/>
      <c r="P44" s="1713"/>
      <c r="Q44" s="252"/>
    </row>
    <row r="45" spans="1:19" ht="13.8">
      <c r="A45" s="306"/>
      <c r="Q45" s="365"/>
    </row>
    <row r="46" spans="1:19" ht="13.8">
      <c r="A46" s="306"/>
      <c r="Q46" s="365"/>
    </row>
    <row r="47" spans="1:19" s="180" customFormat="1" ht="15">
      <c r="A47" s="276" t="s">
        <v>1053</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dimension ref="A1:Y43"/>
  <sheetViews>
    <sheetView topLeftCell="A4" zoomScale="70" zoomScaleNormal="70" workbookViewId="0">
      <selection activeCell="B2" sqref="B2"/>
    </sheetView>
  </sheetViews>
  <sheetFormatPr defaultColWidth="9.21875" defaultRowHeight="13.2"/>
  <cols>
    <col min="1" max="1" width="31.77734375" style="1658" customWidth="1"/>
    <col min="2" max="11" width="8.77734375" style="1658" customWidth="1"/>
    <col min="12" max="12" width="8.77734375" style="1662" customWidth="1"/>
    <col min="13" max="15" width="8.77734375" style="1658" customWidth="1"/>
    <col min="16" max="16" width="9.44140625" style="1658" customWidth="1"/>
    <col min="17" max="17" width="9.21875" style="1658" customWidth="1"/>
    <col min="18" max="18" width="31.77734375" style="1658" customWidth="1"/>
    <col min="19" max="19" width="5.77734375" style="1658" customWidth="1"/>
    <col min="20" max="23" width="9.21875" style="1658" hidden="1" customWidth="1"/>
    <col min="24" max="24" width="11.21875" style="1658" hidden="1" customWidth="1"/>
    <col min="25" max="25" width="9.21875" style="1658" hidden="1" customWidth="1"/>
    <col min="26" max="26" width="9.21875" style="1658" customWidth="1"/>
    <col min="27" max="16384" width="9.21875" style="1658"/>
  </cols>
  <sheetData>
    <row r="1" spans="1:25" s="381" customFormat="1" ht="21.3" customHeight="1">
      <c r="A1" s="277" t="s">
        <v>1751</v>
      </c>
      <c r="B1" s="382"/>
      <c r="C1" s="382"/>
      <c r="D1" s="382"/>
      <c r="E1" s="382"/>
      <c r="F1" s="382"/>
      <c r="G1" s="382"/>
      <c r="H1" s="382"/>
      <c r="I1" s="382"/>
      <c r="J1" s="382"/>
      <c r="K1" s="382"/>
      <c r="L1" s="1659"/>
      <c r="M1" s="382"/>
      <c r="N1" s="382"/>
      <c r="O1" s="382"/>
      <c r="P1" s="382"/>
      <c r="Q1" s="382"/>
      <c r="R1" s="382"/>
    </row>
    <row r="2" spans="1:25" s="381" customFormat="1" ht="21.3" customHeight="1">
      <c r="A2" s="1660" t="s">
        <v>1718</v>
      </c>
      <c r="B2" s="382"/>
      <c r="C2" s="382"/>
      <c r="D2" s="382"/>
      <c r="E2" s="382"/>
      <c r="F2" s="382"/>
      <c r="G2" s="382"/>
      <c r="H2" s="382"/>
      <c r="I2" s="382"/>
      <c r="J2" s="382"/>
      <c r="K2" s="382"/>
      <c r="L2" s="1659"/>
      <c r="M2" s="382"/>
      <c r="N2" s="382"/>
      <c r="O2" s="382"/>
      <c r="P2" s="382"/>
      <c r="Q2" s="382"/>
      <c r="R2" s="382"/>
    </row>
    <row r="3" spans="1:25" s="381" customFormat="1" ht="21.3" customHeight="1">
      <c r="A3" s="277" t="s">
        <v>1717</v>
      </c>
      <c r="B3" s="382"/>
      <c r="C3" s="382"/>
      <c r="D3" s="382"/>
      <c r="E3" s="382"/>
      <c r="F3" s="382"/>
      <c r="G3" s="382"/>
      <c r="H3" s="382"/>
      <c r="I3" s="382"/>
      <c r="J3" s="382"/>
      <c r="K3" s="382"/>
      <c r="L3" s="1659"/>
      <c r="M3" s="382"/>
      <c r="N3" s="382"/>
      <c r="O3" s="382"/>
      <c r="P3" s="382"/>
      <c r="Q3" s="382"/>
      <c r="R3" s="382"/>
    </row>
    <row r="4" spans="1:25" s="381" customFormat="1" ht="21.3" customHeight="1">
      <c r="A4" s="277" t="s">
        <v>372</v>
      </c>
      <c r="B4" s="382"/>
      <c r="C4" s="382"/>
      <c r="D4" s="382"/>
      <c r="E4" s="382"/>
      <c r="F4" s="382"/>
      <c r="G4" s="382"/>
      <c r="H4" s="382"/>
      <c r="I4" s="382"/>
      <c r="J4" s="382"/>
      <c r="K4" s="382"/>
      <c r="L4" s="1659"/>
      <c r="M4" s="382"/>
      <c r="N4" s="382"/>
      <c r="O4" s="382"/>
      <c r="P4" s="382"/>
      <c r="Q4" s="382"/>
      <c r="R4" s="382"/>
    </row>
    <row r="5" spans="1:25" s="381" customFormat="1" ht="21.3" customHeight="1">
      <c r="A5" s="277" t="s">
        <v>371</v>
      </c>
      <c r="B5" s="382"/>
      <c r="C5" s="382"/>
      <c r="D5" s="382"/>
      <c r="E5" s="382"/>
      <c r="F5" s="382"/>
      <c r="G5" s="382"/>
      <c r="H5" s="382"/>
      <c r="I5" s="382"/>
      <c r="J5" s="382"/>
      <c r="K5" s="382"/>
      <c r="L5" s="1659"/>
      <c r="M5" s="382"/>
      <c r="N5" s="382"/>
      <c r="O5" s="382"/>
      <c r="P5" s="382"/>
      <c r="Q5" s="382"/>
      <c r="R5" s="382"/>
    </row>
    <row r="6" spans="1:25" s="381" customFormat="1" ht="21.3" hidden="1" customHeight="1">
      <c r="A6" s="277"/>
      <c r="B6" s="382"/>
      <c r="C6" s="382"/>
      <c r="D6" s="382"/>
      <c r="E6" s="382"/>
      <c r="F6" s="382"/>
      <c r="G6" s="382"/>
      <c r="H6" s="382"/>
      <c r="I6" s="382"/>
      <c r="J6" s="382"/>
      <c r="K6" s="382"/>
      <c r="L6" s="1659"/>
      <c r="M6" s="382"/>
      <c r="N6" s="382"/>
      <c r="O6" s="382"/>
      <c r="P6" s="382"/>
      <c r="Q6" s="382"/>
      <c r="R6" s="382"/>
    </row>
    <row r="7" spans="1:25" s="381" customFormat="1" ht="21.3" hidden="1" customHeight="1">
      <c r="A7" s="277"/>
      <c r="B7" s="382"/>
      <c r="C7" s="382"/>
      <c r="D7" s="382"/>
      <c r="E7" s="382"/>
      <c r="F7" s="382"/>
      <c r="G7" s="382"/>
      <c r="H7" s="382"/>
      <c r="I7" s="382"/>
      <c r="J7" s="382"/>
      <c r="K7" s="382"/>
      <c r="L7" s="1659"/>
      <c r="M7" s="382"/>
      <c r="N7" s="382"/>
      <c r="O7" s="382"/>
      <c r="P7" s="382"/>
      <c r="Q7" s="382"/>
      <c r="R7" s="382"/>
    </row>
    <row r="8" spans="1:25" s="381" customFormat="1" ht="4.8" customHeight="1">
      <c r="A8" s="277"/>
      <c r="B8" s="382"/>
      <c r="C8" s="382"/>
      <c r="D8" s="382"/>
      <c r="E8" s="382"/>
      <c r="F8" s="382"/>
      <c r="G8" s="382"/>
      <c r="H8" s="382"/>
      <c r="I8" s="382"/>
      <c r="J8" s="382"/>
      <c r="K8" s="382"/>
      <c r="L8" s="1659"/>
      <c r="M8" s="382"/>
      <c r="N8" s="382"/>
      <c r="O8" s="382"/>
      <c r="P8" s="382"/>
      <c r="Q8" s="382"/>
      <c r="R8" s="382"/>
    </row>
    <row r="9" spans="1:25" s="1658" customFormat="1" ht="15">
      <c r="A9" s="1661" t="s">
        <v>752</v>
      </c>
      <c r="L9" s="1662"/>
      <c r="R9" s="1663" t="s">
        <v>753</v>
      </c>
    </row>
    <row r="10" spans="1:25" s="1658" customFormat="1" ht="14.25" customHeight="1">
      <c r="A10" s="1664" t="s">
        <v>1054</v>
      </c>
      <c r="B10" s="1665" t="s">
        <v>1055</v>
      </c>
      <c r="C10" s="1666"/>
      <c r="D10" s="1666"/>
      <c r="E10" s="1666"/>
      <c r="F10" s="1667"/>
      <c r="G10" s="1668" t="s">
        <v>1056</v>
      </c>
      <c r="H10" s="1669"/>
      <c r="I10" s="1669"/>
      <c r="J10" s="1669"/>
      <c r="K10" s="1670"/>
      <c r="L10" s="1671" t="s">
        <v>1057</v>
      </c>
      <c r="M10" s="1669"/>
      <c r="N10" s="1669"/>
      <c r="O10" s="1669"/>
      <c r="P10" s="1670"/>
      <c r="Q10" s="1672" t="s">
        <v>1058</v>
      </c>
      <c r="R10" s="1664" t="s">
        <v>1059</v>
      </c>
    </row>
    <row r="11" spans="1:25" s="1658" customFormat="1" ht="14.25" customHeight="1">
      <c r="A11" s="1673"/>
      <c r="B11" s="1674" t="s">
        <v>1060</v>
      </c>
      <c r="C11" s="1675"/>
      <c r="D11" s="1675"/>
      <c r="E11" s="1675"/>
      <c r="F11" s="1675"/>
      <c r="G11" s="1674" t="s">
        <v>1061</v>
      </c>
      <c r="H11" s="1675"/>
      <c r="I11" s="1675"/>
      <c r="J11" s="1675"/>
      <c r="K11" s="1676"/>
      <c r="L11" s="1677" t="s">
        <v>1062</v>
      </c>
      <c r="M11" s="1678"/>
      <c r="N11" s="1678"/>
      <c r="O11" s="1678"/>
      <c r="P11" s="1679"/>
      <c r="Q11" s="1680"/>
      <c r="R11" s="1673"/>
    </row>
    <row r="12" spans="1:25" s="1658" customFormat="1" ht="14.25" customHeight="1">
      <c r="A12" s="1673"/>
      <c r="B12" s="1668" t="s">
        <v>1063</v>
      </c>
      <c r="C12" s="1669"/>
      <c r="D12" s="1668" t="s">
        <v>1064</v>
      </c>
      <c r="E12" s="1670"/>
      <c r="F12" s="1681" t="s">
        <v>382</v>
      </c>
      <c r="G12" s="1668" t="s">
        <v>1063</v>
      </c>
      <c r="H12" s="1669"/>
      <c r="I12" s="1668" t="s">
        <v>1064</v>
      </c>
      <c r="J12" s="1670"/>
      <c r="K12" s="1681" t="s">
        <v>382</v>
      </c>
      <c r="L12" s="1671" t="s">
        <v>1063</v>
      </c>
      <c r="M12" s="1669"/>
      <c r="N12" s="1668" t="s">
        <v>1064</v>
      </c>
      <c r="O12" s="1670"/>
      <c r="P12" s="1681" t="s">
        <v>382</v>
      </c>
      <c r="Q12" s="1680"/>
      <c r="R12" s="1673"/>
    </row>
    <row r="13" spans="1:25" s="1658" customFormat="1" ht="14.25" customHeight="1">
      <c r="A13" s="1673"/>
      <c r="B13" s="1682" t="s">
        <v>1065</v>
      </c>
      <c r="C13" s="1683"/>
      <c r="D13" s="1682" t="s">
        <v>1066</v>
      </c>
      <c r="E13" s="1684"/>
      <c r="F13" s="1685"/>
      <c r="G13" s="1682" t="s">
        <v>1065</v>
      </c>
      <c r="H13" s="1683"/>
      <c r="I13" s="1682" t="s">
        <v>1066</v>
      </c>
      <c r="J13" s="1684"/>
      <c r="K13" s="1685"/>
      <c r="L13" s="1686" t="s">
        <v>1065</v>
      </c>
      <c r="M13" s="1683"/>
      <c r="N13" s="1682" t="s">
        <v>1066</v>
      </c>
      <c r="O13" s="1684"/>
      <c r="P13" s="1685"/>
      <c r="Q13" s="1687" t="s">
        <v>737</v>
      </c>
      <c r="R13" s="1673"/>
    </row>
    <row r="14" spans="1:25" s="1658" customFormat="1" ht="14.25" customHeight="1">
      <c r="A14" s="1673"/>
      <c r="B14" s="1688" t="s">
        <v>472</v>
      </c>
      <c r="C14" s="1688" t="s">
        <v>1067</v>
      </c>
      <c r="D14" s="1688" t="s">
        <v>472</v>
      </c>
      <c r="E14" s="1688" t="s">
        <v>1067</v>
      </c>
      <c r="F14" s="1689" t="s">
        <v>392</v>
      </c>
      <c r="G14" s="1688" t="s">
        <v>472</v>
      </c>
      <c r="H14" s="1688" t="s">
        <v>1067</v>
      </c>
      <c r="I14" s="1688" t="s">
        <v>472</v>
      </c>
      <c r="J14" s="1688" t="s">
        <v>1067</v>
      </c>
      <c r="K14" s="1689" t="s">
        <v>392</v>
      </c>
      <c r="L14" s="1690" t="s">
        <v>472</v>
      </c>
      <c r="M14" s="1688" t="s">
        <v>1067</v>
      </c>
      <c r="N14" s="1688" t="s">
        <v>472</v>
      </c>
      <c r="O14" s="1688" t="s">
        <v>1067</v>
      </c>
      <c r="P14" s="1689" t="s">
        <v>392</v>
      </c>
      <c r="Q14" s="1680"/>
      <c r="R14" s="1673"/>
    </row>
    <row r="15" spans="1:25" s="1658" customFormat="1" ht="14.25" customHeight="1">
      <c r="A15" s="1691"/>
      <c r="B15" s="1692" t="s">
        <v>147</v>
      </c>
      <c r="C15" s="1692" t="s">
        <v>1068</v>
      </c>
      <c r="D15" s="1692" t="s">
        <v>147</v>
      </c>
      <c r="E15" s="1693" t="s">
        <v>1068</v>
      </c>
      <c r="F15" s="1694"/>
      <c r="G15" s="1692" t="s">
        <v>147</v>
      </c>
      <c r="H15" s="1692" t="s">
        <v>1068</v>
      </c>
      <c r="I15" s="1692" t="s">
        <v>147</v>
      </c>
      <c r="J15" s="1693" t="s">
        <v>1068</v>
      </c>
      <c r="K15" s="1694"/>
      <c r="L15" s="1695" t="s">
        <v>147</v>
      </c>
      <c r="M15" s="1692" t="s">
        <v>1068</v>
      </c>
      <c r="N15" s="1692" t="s">
        <v>147</v>
      </c>
      <c r="O15" s="1693" t="s">
        <v>1068</v>
      </c>
      <c r="P15" s="1694"/>
      <c r="Q15" s="1696"/>
      <c r="R15" s="1691"/>
      <c r="T15" s="1662">
        <f>$T$16-SUM($T$17:$T$33)</f>
        <v>0</v>
      </c>
      <c r="U15" s="1662">
        <f>$U$16-SUM($U$17:$U$33)</f>
        <v>0</v>
      </c>
      <c r="V15" s="1662">
        <f>$V$16-SUM($V$17:$V$33)</f>
        <v>0</v>
      </c>
      <c r="W15" s="1662">
        <f>$W$16-SUM($W$17:$W$33)</f>
        <v>0</v>
      </c>
      <c r="X15" s="1662">
        <f>$X$16-SUM($X$17:$X$33)</f>
        <v>0</v>
      </c>
      <c r="Y15" s="1662"/>
    </row>
    <row r="16" spans="1:25" s="1658" customFormat="1" ht="28.5" customHeight="1">
      <c r="A16" s="1697" t="s">
        <v>392</v>
      </c>
      <c r="B16" s="650">
        <v>171.80851063829786</v>
      </c>
      <c r="C16" s="650">
        <v>253.69720648404257</v>
      </c>
      <c r="D16" s="650">
        <v>0</v>
      </c>
      <c r="E16" s="650">
        <v>190.59014879297868</v>
      </c>
      <c r="F16" s="650">
        <v>616.085865915319</v>
      </c>
      <c r="G16" s="650">
        <v>11940.500176168171</v>
      </c>
      <c r="H16" s="650">
        <v>7455.1921599646375</v>
      </c>
      <c r="I16" s="650">
        <v>50.13168657062117</v>
      </c>
      <c r="J16" s="650">
        <v>8935.2881257236404</v>
      </c>
      <c r="K16" s="650">
        <v>28381.11214842707</v>
      </c>
      <c r="L16" s="650">
        <v>12166.399862066881</v>
      </c>
      <c r="M16" s="650">
        <v>11331.876209891108</v>
      </c>
      <c r="N16" s="650">
        <v>35.977352776506521</v>
      </c>
      <c r="O16" s="650">
        <v>17647.082083790476</v>
      </c>
      <c r="P16" s="650">
        <v>41181.37550852498</v>
      </c>
      <c r="Q16" s="650">
        <v>70178.563522867364</v>
      </c>
      <c r="R16" s="1698" t="s">
        <v>382</v>
      </c>
      <c r="S16" s="1662"/>
      <c r="T16" s="1662">
        <f>ROUND(B16,1)</f>
        <v>171.8</v>
      </c>
      <c r="U16" s="1662">
        <f t="shared" ref="U16:X16" si="0">ROUND(C16,1)</f>
        <v>253.7</v>
      </c>
      <c r="V16" s="1662">
        <f t="shared" si="0"/>
        <v>0</v>
      </c>
      <c r="W16" s="1662">
        <f t="shared" si="0"/>
        <v>190.6</v>
      </c>
      <c r="X16" s="1662">
        <f t="shared" si="0"/>
        <v>616.1</v>
      </c>
      <c r="Y16" s="1662">
        <f>ROUND(X16,1)-ROUND(W16,1)-ROUND(V16,1)-ROUND(U16,1)-ROUND(T16,1)</f>
        <v>0</v>
      </c>
    </row>
    <row r="17" spans="1:25" s="1658" customFormat="1" ht="32.85" customHeight="1">
      <c r="A17" s="1699" t="s">
        <v>1069</v>
      </c>
      <c r="B17" s="650">
        <v>0</v>
      </c>
      <c r="C17" s="650">
        <v>0</v>
      </c>
      <c r="D17" s="650">
        <v>0</v>
      </c>
      <c r="E17" s="650">
        <v>0</v>
      </c>
      <c r="F17" s="650">
        <v>0</v>
      </c>
      <c r="G17" s="650">
        <v>456.11702127659572</v>
      </c>
      <c r="H17" s="650">
        <v>99.202127659574458</v>
      </c>
      <c r="I17" s="650">
        <v>0</v>
      </c>
      <c r="J17" s="650">
        <v>696.27659574468089</v>
      </c>
      <c r="K17" s="650">
        <v>1251.5957446808511</v>
      </c>
      <c r="L17" s="650">
        <v>1021.7434359889876</v>
      </c>
      <c r="M17" s="650">
        <v>235.37262578468813</v>
      </c>
      <c r="N17" s="650">
        <v>0</v>
      </c>
      <c r="O17" s="650">
        <v>752.25671361695493</v>
      </c>
      <c r="P17" s="650">
        <v>2009.3827753906307</v>
      </c>
      <c r="Q17" s="650">
        <v>3260.9785200714819</v>
      </c>
      <c r="R17" s="1700" t="s">
        <v>1070</v>
      </c>
      <c r="S17" s="1662"/>
      <c r="T17" s="1662">
        <f t="shared" ref="T17:T33" si="1">ROUND(B17,1)</f>
        <v>0</v>
      </c>
      <c r="U17" s="1662">
        <f t="shared" ref="U17:U33" si="2">ROUND(C17,1)</f>
        <v>0</v>
      </c>
      <c r="V17" s="1662">
        <f t="shared" ref="V17:V33" si="3">ROUND(D17,1)</f>
        <v>0</v>
      </c>
      <c r="W17" s="1662">
        <f t="shared" ref="W17:W33" si="4">ROUND(E17,1)</f>
        <v>0</v>
      </c>
      <c r="X17" s="1662">
        <f t="shared" ref="X17:X33" si="5">ROUND(F17,1)</f>
        <v>0</v>
      </c>
      <c r="Y17" s="1662">
        <f t="shared" ref="Y17:Y33" si="6">ROUND(X17,1)-ROUND(W17,1)-ROUND(V17,1)-ROUND(U17,1)-ROUND(T17,1)</f>
        <v>0</v>
      </c>
    </row>
    <row r="18" spans="1:25" s="1658" customFormat="1" ht="17.25" customHeight="1">
      <c r="A18" s="1701" t="s">
        <v>1071</v>
      </c>
      <c r="B18" s="650">
        <v>0</v>
      </c>
      <c r="C18" s="650">
        <v>0</v>
      </c>
      <c r="D18" s="650">
        <v>0</v>
      </c>
      <c r="E18" s="650">
        <v>0</v>
      </c>
      <c r="F18" s="650">
        <v>0</v>
      </c>
      <c r="G18" s="1184">
        <v>59.062553191489364</v>
      </c>
      <c r="H18" s="650">
        <v>1904.2363001702129</v>
      </c>
      <c r="I18" s="650">
        <v>0</v>
      </c>
      <c r="J18" s="650">
        <v>271.8404358327553</v>
      </c>
      <c r="K18" s="650">
        <v>2235.1192891944575</v>
      </c>
      <c r="L18" s="650">
        <v>1378.5902753931916</v>
      </c>
      <c r="M18" s="650">
        <v>7393.8869448336363</v>
      </c>
      <c r="N18" s="650">
        <v>0</v>
      </c>
      <c r="O18" s="650">
        <v>8339.3474235597641</v>
      </c>
      <c r="P18" s="650">
        <v>17111.824643786593</v>
      </c>
      <c r="Q18" s="650">
        <v>19346.943932981048</v>
      </c>
      <c r="R18" s="1702" t="s">
        <v>1072</v>
      </c>
      <c r="S18" s="1662"/>
      <c r="T18" s="1662">
        <f t="shared" si="1"/>
        <v>0</v>
      </c>
      <c r="U18" s="1662">
        <f t="shared" si="2"/>
        <v>0</v>
      </c>
      <c r="V18" s="1662">
        <f t="shared" si="3"/>
        <v>0</v>
      </c>
      <c r="W18" s="1662">
        <f t="shared" si="4"/>
        <v>0</v>
      </c>
      <c r="X18" s="1662">
        <f t="shared" si="5"/>
        <v>0</v>
      </c>
      <c r="Y18" s="1662">
        <f t="shared" si="6"/>
        <v>0</v>
      </c>
    </row>
    <row r="19" spans="1:25" s="1658" customFormat="1" ht="17.55" customHeight="1">
      <c r="A19" s="1701" t="s">
        <v>1073</v>
      </c>
      <c r="B19" s="650">
        <v>171.80851063829786</v>
      </c>
      <c r="C19" s="650">
        <v>139.86741925000001</v>
      </c>
      <c r="D19" s="650">
        <v>0</v>
      </c>
      <c r="E19" s="650">
        <v>144.06759560148936</v>
      </c>
      <c r="F19" s="650">
        <v>455.75352548978719</v>
      </c>
      <c r="G19" s="650">
        <v>5283.6218945495239</v>
      </c>
      <c r="H19" s="650">
        <v>3044.2452408698568</v>
      </c>
      <c r="I19" s="650">
        <v>15.881763593586983</v>
      </c>
      <c r="J19" s="650">
        <v>5468.5936561838043</v>
      </c>
      <c r="K19" s="650">
        <v>13812.342555196772</v>
      </c>
      <c r="L19" s="650">
        <v>3992.7962366853685</v>
      </c>
      <c r="M19" s="650">
        <v>1288.7983728123384</v>
      </c>
      <c r="N19" s="650">
        <v>8.8548617681151569</v>
      </c>
      <c r="O19" s="650">
        <v>301.04364943608709</v>
      </c>
      <c r="P19" s="650">
        <v>5591.4931207019099</v>
      </c>
      <c r="Q19" s="650">
        <v>19859.559201388467</v>
      </c>
      <c r="R19" s="1702" t="s">
        <v>1074</v>
      </c>
      <c r="S19" s="1662"/>
      <c r="T19" s="1662">
        <f t="shared" si="1"/>
        <v>171.8</v>
      </c>
      <c r="U19" s="1662">
        <f t="shared" si="2"/>
        <v>139.9</v>
      </c>
      <c r="V19" s="1662">
        <f t="shared" si="3"/>
        <v>0</v>
      </c>
      <c r="W19" s="1662">
        <f t="shared" si="4"/>
        <v>144.1</v>
      </c>
      <c r="X19" s="1662">
        <f t="shared" si="5"/>
        <v>455.8</v>
      </c>
      <c r="Y19" s="1662">
        <f t="shared" si="6"/>
        <v>0</v>
      </c>
    </row>
    <row r="20" spans="1:25" s="1658" customFormat="1" ht="17.55" customHeight="1">
      <c r="A20" s="1701" t="s">
        <v>1075</v>
      </c>
      <c r="B20" s="650">
        <v>0</v>
      </c>
      <c r="C20" s="650">
        <v>0</v>
      </c>
      <c r="D20" s="650">
        <v>0</v>
      </c>
      <c r="E20" s="650">
        <v>9.0425531914893611</v>
      </c>
      <c r="F20" s="650">
        <v>9.0425531914893611</v>
      </c>
      <c r="G20" s="650">
        <v>4057.2505888987334</v>
      </c>
      <c r="H20" s="650">
        <v>992.79644315749056</v>
      </c>
      <c r="I20" s="650">
        <v>33.365633728723424</v>
      </c>
      <c r="J20" s="650">
        <v>314.86321665747658</v>
      </c>
      <c r="K20" s="650">
        <v>5398.3758824424231</v>
      </c>
      <c r="L20" s="650">
        <v>1322.8794849654266</v>
      </c>
      <c r="M20" s="650">
        <v>288.24001466980025</v>
      </c>
      <c r="N20" s="650">
        <v>15.159574468085108</v>
      </c>
      <c r="O20" s="650">
        <v>7.8156825137343313</v>
      </c>
      <c r="P20" s="650">
        <v>1634.0947566170464</v>
      </c>
      <c r="Q20" s="650">
        <v>7041.4631922509589</v>
      </c>
      <c r="R20" s="1702" t="s">
        <v>1076</v>
      </c>
      <c r="S20" s="1662"/>
      <c r="T20" s="1662">
        <f t="shared" si="1"/>
        <v>0</v>
      </c>
      <c r="U20" s="1662">
        <f t="shared" si="2"/>
        <v>0</v>
      </c>
      <c r="V20" s="1662">
        <f t="shared" si="3"/>
        <v>0</v>
      </c>
      <c r="W20" s="1662">
        <f t="shared" si="4"/>
        <v>9</v>
      </c>
      <c r="X20" s="1662">
        <f t="shared" si="5"/>
        <v>9</v>
      </c>
      <c r="Y20" s="1662">
        <f t="shared" si="6"/>
        <v>0</v>
      </c>
    </row>
    <row r="21" spans="1:25" s="1658" customFormat="1" ht="17.55" customHeight="1">
      <c r="A21" s="1701" t="s">
        <v>1077</v>
      </c>
      <c r="B21" s="650">
        <v>0</v>
      </c>
      <c r="C21" s="650">
        <v>0</v>
      </c>
      <c r="D21" s="650">
        <v>0</v>
      </c>
      <c r="E21" s="650">
        <v>0</v>
      </c>
      <c r="F21" s="650">
        <v>0</v>
      </c>
      <c r="G21" s="650">
        <v>0</v>
      </c>
      <c r="H21" s="650">
        <v>0</v>
      </c>
      <c r="I21" s="650">
        <v>0</v>
      </c>
      <c r="J21" s="650">
        <v>0</v>
      </c>
      <c r="K21" s="650">
        <v>0</v>
      </c>
      <c r="L21" s="650">
        <v>0</v>
      </c>
      <c r="M21" s="650">
        <v>0</v>
      </c>
      <c r="N21" s="650">
        <v>0</v>
      </c>
      <c r="O21" s="650">
        <v>0</v>
      </c>
      <c r="P21" s="650">
        <v>0</v>
      </c>
      <c r="Q21" s="650">
        <v>0</v>
      </c>
      <c r="R21" s="1702" t="s">
        <v>1078</v>
      </c>
      <c r="S21" s="1662"/>
      <c r="T21" s="1662">
        <f t="shared" si="1"/>
        <v>0</v>
      </c>
      <c r="U21" s="1662">
        <f t="shared" si="2"/>
        <v>0</v>
      </c>
      <c r="V21" s="1662">
        <f t="shared" si="3"/>
        <v>0</v>
      </c>
      <c r="W21" s="1662">
        <f t="shared" si="4"/>
        <v>0</v>
      </c>
      <c r="X21" s="1662">
        <f t="shared" si="5"/>
        <v>0</v>
      </c>
      <c r="Y21" s="1662">
        <f t="shared" si="6"/>
        <v>0</v>
      </c>
    </row>
    <row r="22" spans="1:25" s="1658" customFormat="1" ht="17.25" customHeight="1">
      <c r="A22" s="1701" t="s">
        <v>1079</v>
      </c>
      <c r="B22" s="650">
        <v>0</v>
      </c>
      <c r="C22" s="650">
        <v>113.82978723404254</v>
      </c>
      <c r="D22" s="650">
        <v>0</v>
      </c>
      <c r="E22" s="650">
        <v>2.6595744680851063</v>
      </c>
      <c r="F22" s="650">
        <v>116.48936170212765</v>
      </c>
      <c r="G22" s="650">
        <v>1016.1380964973411</v>
      </c>
      <c r="H22" s="650">
        <v>662.39177580585147</v>
      </c>
      <c r="I22" s="650">
        <v>0.241968454787234</v>
      </c>
      <c r="J22" s="650">
        <v>46.005738226063826</v>
      </c>
      <c r="K22" s="650">
        <v>1724.7275789840435</v>
      </c>
      <c r="L22" s="650">
        <v>581.38297872340422</v>
      </c>
      <c r="M22" s="767">
        <v>74.734042553191486</v>
      </c>
      <c r="N22" s="767">
        <v>0</v>
      </c>
      <c r="O22" s="767">
        <v>41.223404255319146</v>
      </c>
      <c r="P22" s="650">
        <v>697.34042553191478</v>
      </c>
      <c r="Q22" s="650">
        <v>2538.5073662180857</v>
      </c>
      <c r="R22" s="1702" t="s">
        <v>1080</v>
      </c>
      <c r="S22" s="1662"/>
      <c r="T22" s="1662">
        <f t="shared" si="1"/>
        <v>0</v>
      </c>
      <c r="U22" s="1662">
        <f t="shared" si="2"/>
        <v>113.8</v>
      </c>
      <c r="V22" s="1662">
        <f t="shared" si="3"/>
        <v>0</v>
      </c>
      <c r="W22" s="1662">
        <f t="shared" si="4"/>
        <v>2.7</v>
      </c>
      <c r="X22" s="1662">
        <f t="shared" si="5"/>
        <v>116.5</v>
      </c>
      <c r="Y22" s="1662">
        <f t="shared" si="6"/>
        <v>0</v>
      </c>
    </row>
    <row r="23" spans="1:25" s="1658" customFormat="1" ht="17.55" customHeight="1">
      <c r="A23" s="1701" t="s">
        <v>1081</v>
      </c>
      <c r="B23" s="650">
        <v>0</v>
      </c>
      <c r="C23" s="650">
        <v>0</v>
      </c>
      <c r="D23" s="650">
        <v>0</v>
      </c>
      <c r="E23" s="650">
        <v>2.3936170212765959</v>
      </c>
      <c r="F23" s="650">
        <v>2.3936170212765959</v>
      </c>
      <c r="G23" s="650">
        <v>187.03481371808508</v>
      </c>
      <c r="H23" s="650">
        <v>0</v>
      </c>
      <c r="I23" s="650">
        <v>0</v>
      </c>
      <c r="J23" s="650">
        <v>4.6278725557994091</v>
      </c>
      <c r="K23" s="650">
        <v>191.64268627388446</v>
      </c>
      <c r="L23" s="650">
        <v>91.489361702127653</v>
      </c>
      <c r="M23" s="650">
        <v>0</v>
      </c>
      <c r="N23" s="650">
        <v>0</v>
      </c>
      <c r="O23" s="650">
        <v>1.1289308242005909</v>
      </c>
      <c r="P23" s="650">
        <v>92.618292526328247</v>
      </c>
      <c r="Q23" s="650">
        <v>286.64459582148936</v>
      </c>
      <c r="R23" s="1702" t="s">
        <v>1082</v>
      </c>
      <c r="S23" s="1662"/>
      <c r="T23" s="1662">
        <f t="shared" si="1"/>
        <v>0</v>
      </c>
      <c r="U23" s="1662">
        <f t="shared" si="2"/>
        <v>0</v>
      </c>
      <c r="V23" s="1662">
        <f t="shared" si="3"/>
        <v>0</v>
      </c>
      <c r="W23" s="1662">
        <f t="shared" si="4"/>
        <v>2.4</v>
      </c>
      <c r="X23" s="1662">
        <f t="shared" si="5"/>
        <v>2.4</v>
      </c>
      <c r="Y23" s="1662">
        <f t="shared" si="6"/>
        <v>0</v>
      </c>
    </row>
    <row r="24" spans="1:25" s="1658" customFormat="1" ht="17.55" customHeight="1">
      <c r="A24" s="1701" t="s">
        <v>1083</v>
      </c>
      <c r="B24" s="650">
        <v>0</v>
      </c>
      <c r="C24" s="650">
        <v>0</v>
      </c>
      <c r="D24" s="650">
        <v>0</v>
      </c>
      <c r="E24" s="650">
        <v>0</v>
      </c>
      <c r="F24" s="650">
        <v>0</v>
      </c>
      <c r="G24" s="650">
        <v>0</v>
      </c>
      <c r="H24" s="650">
        <v>0</v>
      </c>
      <c r="I24" s="650">
        <v>0</v>
      </c>
      <c r="J24" s="650">
        <v>0</v>
      </c>
      <c r="K24" s="650">
        <v>0</v>
      </c>
      <c r="L24" s="650">
        <v>0</v>
      </c>
      <c r="M24" s="650">
        <v>0</v>
      </c>
      <c r="N24" s="650">
        <v>0</v>
      </c>
      <c r="O24" s="650">
        <v>0</v>
      </c>
      <c r="P24" s="650">
        <v>0</v>
      </c>
      <c r="Q24" s="650">
        <v>0</v>
      </c>
      <c r="R24" s="1702" t="s">
        <v>1084</v>
      </c>
      <c r="S24" s="1662"/>
      <c r="T24" s="1662">
        <f t="shared" si="1"/>
        <v>0</v>
      </c>
      <c r="U24" s="1662">
        <f t="shared" si="2"/>
        <v>0</v>
      </c>
      <c r="V24" s="1662">
        <f t="shared" si="3"/>
        <v>0</v>
      </c>
      <c r="W24" s="1662">
        <f t="shared" si="4"/>
        <v>0</v>
      </c>
      <c r="X24" s="1662">
        <f t="shared" si="5"/>
        <v>0</v>
      </c>
      <c r="Y24" s="1662">
        <f t="shared" si="6"/>
        <v>0</v>
      </c>
    </row>
    <row r="25" spans="1:25" s="1658" customFormat="1" ht="17.55" customHeight="1">
      <c r="A25" s="1703" t="s">
        <v>1085</v>
      </c>
      <c r="B25" s="650">
        <v>0</v>
      </c>
      <c r="C25" s="650">
        <v>0.02</v>
      </c>
      <c r="D25" s="650">
        <v>0</v>
      </c>
      <c r="E25" s="650">
        <v>16.223404255319149</v>
      </c>
      <c r="F25" s="650">
        <v>16.223404255319149</v>
      </c>
      <c r="G25" s="650">
        <v>0</v>
      </c>
      <c r="H25" s="650">
        <v>0</v>
      </c>
      <c r="I25" s="650">
        <v>0</v>
      </c>
      <c r="J25" s="650">
        <v>0</v>
      </c>
      <c r="K25" s="650">
        <v>0</v>
      </c>
      <c r="L25" s="650">
        <v>19.42091564</v>
      </c>
      <c r="M25" s="650">
        <v>0</v>
      </c>
      <c r="N25" s="650">
        <v>0</v>
      </c>
      <c r="O25" s="650">
        <v>0</v>
      </c>
      <c r="P25" s="650">
        <v>19.42091564</v>
      </c>
      <c r="Q25" s="650">
        <v>35.64431989531915</v>
      </c>
      <c r="R25" s="1702" t="s">
        <v>1086</v>
      </c>
      <c r="S25" s="1662"/>
      <c r="T25" s="1662">
        <f t="shared" si="1"/>
        <v>0</v>
      </c>
      <c r="U25" s="1662">
        <f t="shared" si="2"/>
        <v>0</v>
      </c>
      <c r="V25" s="1662">
        <f t="shared" si="3"/>
        <v>0</v>
      </c>
      <c r="W25" s="1662">
        <f t="shared" si="4"/>
        <v>16.2</v>
      </c>
      <c r="X25" s="1662">
        <f t="shared" si="5"/>
        <v>16.2</v>
      </c>
      <c r="Y25" s="1662">
        <f t="shared" si="6"/>
        <v>0</v>
      </c>
    </row>
    <row r="26" spans="1:25" s="1658" customFormat="1" ht="17.55" customHeight="1">
      <c r="A26" s="1703" t="s">
        <v>784</v>
      </c>
      <c r="B26" s="650">
        <v>0</v>
      </c>
      <c r="C26" s="650">
        <v>0</v>
      </c>
      <c r="D26" s="650">
        <v>0</v>
      </c>
      <c r="E26" s="650">
        <v>0</v>
      </c>
      <c r="F26" s="650">
        <v>0</v>
      </c>
      <c r="G26" s="650">
        <v>0</v>
      </c>
      <c r="H26" s="650">
        <v>96.519298962191527</v>
      </c>
      <c r="I26" s="650">
        <v>2.1323508380286299E-3</v>
      </c>
      <c r="J26" s="650">
        <v>1056.1677379039536</v>
      </c>
      <c r="K26" s="650">
        <v>1152.6891692169831</v>
      </c>
      <c r="L26" s="650">
        <v>330.60752728723401</v>
      </c>
      <c r="M26" s="767">
        <v>78.692222678287806</v>
      </c>
      <c r="N26" s="767">
        <v>5.2016916197137014E-4</v>
      </c>
      <c r="O26" s="767">
        <v>456.21574132760691</v>
      </c>
      <c r="P26" s="650">
        <v>865.51601146229063</v>
      </c>
      <c r="Q26" s="650">
        <v>2018.2051806792738</v>
      </c>
      <c r="R26" s="1704" t="s">
        <v>1087</v>
      </c>
      <c r="S26" s="1662"/>
      <c r="T26" s="1662">
        <f t="shared" si="1"/>
        <v>0</v>
      </c>
      <c r="U26" s="1662">
        <f t="shared" si="2"/>
        <v>0</v>
      </c>
      <c r="V26" s="1662">
        <f t="shared" si="3"/>
        <v>0</v>
      </c>
      <c r="W26" s="1662">
        <f t="shared" si="4"/>
        <v>0</v>
      </c>
      <c r="X26" s="1662">
        <f t="shared" si="5"/>
        <v>0</v>
      </c>
      <c r="Y26" s="1662">
        <f t="shared" si="6"/>
        <v>0</v>
      </c>
    </row>
    <row r="27" spans="1:25" s="1658" customFormat="1" ht="17.55" customHeight="1">
      <c r="A27" s="1703" t="s">
        <v>1088</v>
      </c>
      <c r="B27" s="650">
        <v>0</v>
      </c>
      <c r="C27" s="650">
        <v>0</v>
      </c>
      <c r="D27" s="650">
        <v>0</v>
      </c>
      <c r="E27" s="650">
        <v>0</v>
      </c>
      <c r="F27" s="650">
        <v>0</v>
      </c>
      <c r="G27" s="650">
        <v>0</v>
      </c>
      <c r="H27" s="650">
        <v>0</v>
      </c>
      <c r="I27" s="650">
        <v>0</v>
      </c>
      <c r="J27" s="650">
        <v>0</v>
      </c>
      <c r="K27" s="650">
        <v>0</v>
      </c>
      <c r="L27" s="1184">
        <v>0</v>
      </c>
      <c r="M27" s="650">
        <v>0</v>
      </c>
      <c r="N27" s="650">
        <v>0</v>
      </c>
      <c r="O27" s="650">
        <v>421.3</v>
      </c>
      <c r="P27" s="650">
        <v>421.3</v>
      </c>
      <c r="Q27" s="650">
        <v>421.3</v>
      </c>
      <c r="R27" s="1704" t="s">
        <v>1089</v>
      </c>
      <c r="S27" s="1662"/>
      <c r="T27" s="1662">
        <f t="shared" si="1"/>
        <v>0</v>
      </c>
      <c r="U27" s="1662">
        <f t="shared" si="2"/>
        <v>0</v>
      </c>
      <c r="V27" s="1662">
        <f t="shared" si="3"/>
        <v>0</v>
      </c>
      <c r="W27" s="1662">
        <f t="shared" si="4"/>
        <v>0</v>
      </c>
      <c r="X27" s="1662">
        <f t="shared" si="5"/>
        <v>0</v>
      </c>
      <c r="Y27" s="1662">
        <f t="shared" si="6"/>
        <v>0</v>
      </c>
    </row>
    <row r="28" spans="1:25" s="1658" customFormat="1" ht="17.55" customHeight="1">
      <c r="A28" s="1703" t="s">
        <v>1090</v>
      </c>
      <c r="B28" s="650">
        <v>0</v>
      </c>
      <c r="C28" s="650">
        <v>0</v>
      </c>
      <c r="D28" s="650">
        <v>0</v>
      </c>
      <c r="E28" s="650">
        <v>0</v>
      </c>
      <c r="F28" s="650">
        <v>0</v>
      </c>
      <c r="G28" s="650">
        <v>0</v>
      </c>
      <c r="H28" s="650">
        <v>0</v>
      </c>
      <c r="I28" s="650">
        <v>0</v>
      </c>
      <c r="J28" s="650">
        <v>0</v>
      </c>
      <c r="K28" s="650">
        <v>0</v>
      </c>
      <c r="L28" s="1184">
        <v>0</v>
      </c>
      <c r="M28" s="650">
        <v>6.6</v>
      </c>
      <c r="N28" s="650">
        <v>0</v>
      </c>
      <c r="O28" s="650">
        <v>0</v>
      </c>
      <c r="P28" s="650">
        <v>6.6</v>
      </c>
      <c r="Q28" s="650">
        <v>6.6</v>
      </c>
      <c r="R28" s="1704" t="s">
        <v>1091</v>
      </c>
      <c r="S28" s="1662"/>
      <c r="T28" s="1662">
        <f t="shared" si="1"/>
        <v>0</v>
      </c>
      <c r="U28" s="1662">
        <f t="shared" si="2"/>
        <v>0</v>
      </c>
      <c r="V28" s="1662">
        <f t="shared" si="3"/>
        <v>0</v>
      </c>
      <c r="W28" s="1662">
        <f t="shared" si="4"/>
        <v>0</v>
      </c>
      <c r="X28" s="1662">
        <f t="shared" si="5"/>
        <v>0</v>
      </c>
      <c r="Y28" s="1662">
        <f t="shared" si="6"/>
        <v>0</v>
      </c>
    </row>
    <row r="29" spans="1:25" s="1658" customFormat="1" ht="16.5" customHeight="1">
      <c r="A29" s="1703" t="s">
        <v>1092</v>
      </c>
      <c r="B29" s="650">
        <v>0</v>
      </c>
      <c r="C29" s="650">
        <v>0</v>
      </c>
      <c r="D29" s="650">
        <v>0</v>
      </c>
      <c r="E29" s="650">
        <v>0</v>
      </c>
      <c r="F29" s="650">
        <v>0</v>
      </c>
      <c r="G29" s="650">
        <v>0</v>
      </c>
      <c r="H29" s="650">
        <v>0</v>
      </c>
      <c r="I29" s="650">
        <v>0</v>
      </c>
      <c r="J29" s="650">
        <v>0</v>
      </c>
      <c r="K29" s="650">
        <v>0</v>
      </c>
      <c r="L29" s="650">
        <v>1.3596042765957446</v>
      </c>
      <c r="M29" s="650">
        <v>0</v>
      </c>
      <c r="N29" s="650">
        <v>0</v>
      </c>
      <c r="O29" s="650">
        <v>0</v>
      </c>
      <c r="P29" s="650">
        <v>1.3596042765957446</v>
      </c>
      <c r="Q29" s="650">
        <v>1.3596042765957446</v>
      </c>
      <c r="R29" s="1704" t="s">
        <v>1093</v>
      </c>
      <c r="S29" s="1662"/>
      <c r="T29" s="1662">
        <f t="shared" si="1"/>
        <v>0</v>
      </c>
      <c r="U29" s="1662">
        <f t="shared" si="2"/>
        <v>0</v>
      </c>
      <c r="V29" s="1662">
        <f t="shared" si="3"/>
        <v>0</v>
      </c>
      <c r="W29" s="1662">
        <f t="shared" si="4"/>
        <v>0</v>
      </c>
      <c r="X29" s="1662">
        <f t="shared" si="5"/>
        <v>0</v>
      </c>
      <c r="Y29" s="1662">
        <f t="shared" si="6"/>
        <v>0</v>
      </c>
    </row>
    <row r="30" spans="1:25" s="1658" customFormat="1" ht="32.85" customHeight="1">
      <c r="A30" s="1705" t="s">
        <v>1094</v>
      </c>
      <c r="B30" s="650">
        <v>0</v>
      </c>
      <c r="C30" s="650">
        <v>0</v>
      </c>
      <c r="D30" s="650">
        <v>0</v>
      </c>
      <c r="E30" s="650">
        <v>16.223404255319149</v>
      </c>
      <c r="F30" s="650">
        <v>16.223404255319149</v>
      </c>
      <c r="G30" s="650">
        <v>-8.1569148787676039E-6</v>
      </c>
      <c r="H30" s="650">
        <v>568.99352520439254</v>
      </c>
      <c r="I30" s="650">
        <v>0</v>
      </c>
      <c r="J30" s="650">
        <v>1.6077924675618883E-3</v>
      </c>
      <c r="K30" s="650">
        <v>568.99512483994522</v>
      </c>
      <c r="L30" s="650">
        <v>1575.6560364760637</v>
      </c>
      <c r="M30" s="650">
        <v>382.5011865883078</v>
      </c>
      <c r="N30" s="650">
        <v>0</v>
      </c>
      <c r="O30" s="650">
        <v>1560.9580631795066</v>
      </c>
      <c r="P30" s="650">
        <v>3519.155286243878</v>
      </c>
      <c r="Q30" s="650">
        <v>4104.363815339143</v>
      </c>
      <c r="R30" s="1706" t="s">
        <v>1095</v>
      </c>
      <c r="S30" s="1662"/>
      <c r="T30" s="1662">
        <f t="shared" si="1"/>
        <v>0</v>
      </c>
      <c r="U30" s="1662">
        <f t="shared" si="2"/>
        <v>0</v>
      </c>
      <c r="V30" s="1662">
        <f t="shared" si="3"/>
        <v>0</v>
      </c>
      <c r="W30" s="1662">
        <f t="shared" si="4"/>
        <v>16.2</v>
      </c>
      <c r="X30" s="1662">
        <f t="shared" si="5"/>
        <v>16.2</v>
      </c>
      <c r="Y30" s="1662">
        <f t="shared" si="6"/>
        <v>0</v>
      </c>
    </row>
    <row r="31" spans="1:25" s="1658" customFormat="1" ht="32.85" customHeight="1">
      <c r="A31" s="1705" t="s">
        <v>1096</v>
      </c>
      <c r="B31" s="1707"/>
      <c r="C31" s="1707"/>
      <c r="D31" s="1707"/>
      <c r="E31" s="1707"/>
      <c r="F31" s="1707"/>
      <c r="G31" s="1707"/>
      <c r="H31" s="1707"/>
      <c r="I31" s="1707"/>
      <c r="J31" s="1707"/>
      <c r="K31" s="1707"/>
      <c r="L31" s="650">
        <v>292.24593446323797</v>
      </c>
      <c r="M31" s="650">
        <v>72.457199701515947</v>
      </c>
      <c r="N31" s="650">
        <v>0</v>
      </c>
      <c r="O31" s="650">
        <v>0</v>
      </c>
      <c r="P31" s="650">
        <v>364.68313416475394</v>
      </c>
      <c r="Q31" s="650">
        <v>364.68313416475394</v>
      </c>
      <c r="R31" s="1706" t="s">
        <v>1097</v>
      </c>
      <c r="S31" s="1662"/>
      <c r="T31" s="1662">
        <f t="shared" si="1"/>
        <v>0</v>
      </c>
      <c r="U31" s="1662">
        <f t="shared" si="2"/>
        <v>0</v>
      </c>
      <c r="V31" s="1662">
        <f t="shared" si="3"/>
        <v>0</v>
      </c>
      <c r="W31" s="1662">
        <f t="shared" si="4"/>
        <v>0</v>
      </c>
      <c r="X31" s="1662">
        <f t="shared" si="5"/>
        <v>0</v>
      </c>
      <c r="Y31" s="1662">
        <f t="shared" si="6"/>
        <v>0</v>
      </c>
    </row>
    <row r="32" spans="1:25" s="1658" customFormat="1" ht="15">
      <c r="A32" s="1705" t="s">
        <v>1098</v>
      </c>
      <c r="B32" s="1708"/>
      <c r="C32" s="1708"/>
      <c r="D32" s="1708"/>
      <c r="E32" s="1708"/>
      <c r="F32" s="1708"/>
      <c r="G32" s="1708"/>
      <c r="H32" s="1708"/>
      <c r="I32" s="1708"/>
      <c r="J32" s="1708"/>
      <c r="K32" s="1708"/>
      <c r="L32" s="650">
        <v>173.22251640587817</v>
      </c>
      <c r="M32" s="767">
        <v>613.74315017554659</v>
      </c>
      <c r="N32" s="767">
        <v>0</v>
      </c>
      <c r="O32" s="767">
        <v>3340.992255106597</v>
      </c>
      <c r="P32" s="650">
        <v>4127.8579216880216</v>
      </c>
      <c r="Q32" s="650">
        <v>4127.8579216880216</v>
      </c>
      <c r="R32" s="1706" t="s">
        <v>1099</v>
      </c>
      <c r="S32" s="1662"/>
      <c r="T32" s="1662">
        <f t="shared" si="1"/>
        <v>0</v>
      </c>
      <c r="U32" s="1662">
        <f t="shared" si="2"/>
        <v>0</v>
      </c>
      <c r="V32" s="1662">
        <f t="shared" si="3"/>
        <v>0</v>
      </c>
      <c r="W32" s="1662">
        <f t="shared" si="4"/>
        <v>0</v>
      </c>
      <c r="X32" s="1662">
        <f t="shared" si="5"/>
        <v>0</v>
      </c>
      <c r="Y32" s="1662">
        <f t="shared" si="6"/>
        <v>0</v>
      </c>
    </row>
    <row r="33" spans="1:25" s="1658" customFormat="1" ht="15">
      <c r="A33" s="1701" t="s">
        <v>399</v>
      </c>
      <c r="B33" s="650">
        <v>0</v>
      </c>
      <c r="C33" s="650">
        <v>0</v>
      </c>
      <c r="D33" s="650">
        <v>0</v>
      </c>
      <c r="E33" s="650">
        <v>0</v>
      </c>
      <c r="F33" s="650">
        <v>0</v>
      </c>
      <c r="G33" s="650">
        <v>881.29521619331706</v>
      </c>
      <c r="H33" s="650">
        <v>86.857448135067315</v>
      </c>
      <c r="I33" s="650">
        <v>0.64018844268549646</v>
      </c>
      <c r="J33" s="650">
        <v>1076.9112648266387</v>
      </c>
      <c r="K33" s="650">
        <v>2045.6541175977086</v>
      </c>
      <c r="L33" s="650">
        <v>1384.995554059366</v>
      </c>
      <c r="M33" s="650">
        <v>896.87045009379483</v>
      </c>
      <c r="N33" s="650">
        <v>11.942396371144286</v>
      </c>
      <c r="O33" s="650">
        <v>2424.9202199707042</v>
      </c>
      <c r="P33" s="650">
        <v>4718.7486204950092</v>
      </c>
      <c r="Q33" s="650">
        <v>6764.4027380927182</v>
      </c>
      <c r="R33" s="1702" t="s">
        <v>391</v>
      </c>
      <c r="S33" s="1662"/>
      <c r="T33" s="1662">
        <f t="shared" si="1"/>
        <v>0</v>
      </c>
      <c r="U33" s="1662">
        <f t="shared" si="2"/>
        <v>0</v>
      </c>
      <c r="V33" s="1662">
        <f t="shared" si="3"/>
        <v>0</v>
      </c>
      <c r="W33" s="1662">
        <f t="shared" si="4"/>
        <v>0</v>
      </c>
      <c r="X33" s="1662">
        <f t="shared" si="5"/>
        <v>0</v>
      </c>
      <c r="Y33" s="1662">
        <f t="shared" si="6"/>
        <v>0</v>
      </c>
    </row>
    <row r="34" spans="1:25" s="1658" customFormat="1">
      <c r="L34" s="1662"/>
      <c r="S34" s="1662"/>
      <c r="T34" s="1662"/>
      <c r="U34" s="1662"/>
      <c r="V34" s="1662"/>
      <c r="W34" s="1662"/>
      <c r="X34" s="1709"/>
      <c r="Y34" s="1662"/>
    </row>
    <row r="35" spans="1:25" s="1658" customFormat="1">
      <c r="G35" s="1662"/>
      <c r="H35" s="1662"/>
      <c r="I35" s="1662"/>
      <c r="J35" s="1662"/>
      <c r="K35" s="1662"/>
      <c r="L35" s="1662"/>
      <c r="M35" s="1662"/>
      <c r="N35" s="1662"/>
      <c r="O35" s="1662"/>
      <c r="P35" s="1662"/>
      <c r="Q35" s="1662"/>
      <c r="T35" s="1662"/>
      <c r="U35" s="1662"/>
      <c r="V35" s="1662"/>
      <c r="W35" s="1662"/>
      <c r="X35" s="1709"/>
    </row>
    <row r="42" spans="1:25" s="1658" customFormat="1" ht="13.8">
      <c r="A42" s="1653" t="s">
        <v>1100</v>
      </c>
      <c r="B42" s="1656"/>
      <c r="C42" s="1656"/>
      <c r="D42" s="1656"/>
      <c r="E42" s="1656"/>
      <c r="F42" s="1656"/>
      <c r="G42" s="1656"/>
      <c r="H42" s="1656"/>
      <c r="I42" s="1656"/>
      <c r="J42" s="1656"/>
      <c r="K42" s="1656"/>
      <c r="L42" s="1657"/>
      <c r="M42" s="1656"/>
      <c r="N42" s="1656"/>
      <c r="O42" s="1656"/>
      <c r="P42" s="1656"/>
      <c r="Q42" s="1656"/>
      <c r="R42" s="1656"/>
    </row>
    <row r="43" spans="1:25" s="1658" customFormat="1" ht="13.8">
      <c r="F43" s="1653"/>
      <c r="J43" s="1656"/>
      <c r="K43" s="1656"/>
      <c r="L43" s="1662"/>
    </row>
  </sheetData>
  <mergeCells count="13">
    <mergeCell ref="A10:A15"/>
    <mergeCell ref="Q10:Q12"/>
    <mergeCell ref="R10:R15"/>
    <mergeCell ref="B11:F11"/>
    <mergeCell ref="G11:K11"/>
    <mergeCell ref="L11:P11"/>
    <mergeCell ref="F12:F13"/>
    <mergeCell ref="K12:K13"/>
    <mergeCell ref="P12:P13"/>
    <mergeCell ref="Q13:Q15"/>
    <mergeCell ref="F14:F15"/>
    <mergeCell ref="K14:K15"/>
    <mergeCell ref="P14:P15"/>
  </mergeCells>
  <phoneticPr fontId="32" type="noConversion"/>
  <printOptions horizontalCentered="1" verticalCentered="1"/>
  <pageMargins left="0" right="0" top="0" bottom="0" header="0.5" footer="0.5"/>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50"/>
  <sheetViews>
    <sheetView zoomScale="80" zoomScaleNormal="80" workbookViewId="0">
      <pane ySplit="12" topLeftCell="A35" activePane="bottomLeft" state="frozen"/>
      <selection activeCell="A48" sqref="A1:XFD1048576"/>
      <selection pane="bottomLeft" activeCell="F44" sqref="F44"/>
    </sheetView>
  </sheetViews>
  <sheetFormatPr defaultColWidth="8.77734375" defaultRowHeight="13.2"/>
  <cols>
    <col min="1" max="2" width="9.77734375" style="1413" customWidth="1"/>
    <col min="3" max="3" width="8.77734375" style="1413" customWidth="1"/>
    <col min="4" max="4" width="14.21875" style="1413" customWidth="1"/>
    <col min="5" max="5" width="13.77734375" style="1413" customWidth="1"/>
    <col min="6" max="6" width="12.77734375" style="1413" customWidth="1"/>
    <col min="7" max="7" width="11.77734375" style="1413" customWidth="1"/>
    <col min="8" max="8" width="13.77734375" style="1413" customWidth="1"/>
    <col min="9" max="9" width="11.21875" style="1413" customWidth="1"/>
    <col min="10" max="11" width="13.77734375" style="1413" customWidth="1"/>
    <col min="12" max="13" width="12.77734375" style="1413" customWidth="1"/>
    <col min="14" max="15" width="11.77734375" style="1413" customWidth="1"/>
    <col min="16" max="16" width="9.21875" style="1412" customWidth="1"/>
    <col min="17" max="16384" width="8.77734375" style="1413"/>
  </cols>
  <sheetData>
    <row r="1" spans="1:25" s="23" customFormat="1" ht="17.399999999999999">
      <c r="A1" s="16" t="s">
        <v>1786</v>
      </c>
      <c r="B1" s="4"/>
      <c r="C1" s="4"/>
      <c r="D1" s="4"/>
      <c r="E1" s="4"/>
      <c r="F1" s="4"/>
      <c r="G1" s="4"/>
      <c r="H1" s="4"/>
      <c r="I1" s="4"/>
      <c r="J1" s="4"/>
      <c r="K1" s="4"/>
      <c r="L1" s="4"/>
      <c r="M1" s="4"/>
      <c r="N1" s="4"/>
      <c r="O1" s="4"/>
      <c r="P1" s="1404"/>
    </row>
    <row r="2" spans="1:25" s="23" customFormat="1" ht="17.399999999999999">
      <c r="A2" s="1405" t="s">
        <v>365</v>
      </c>
      <c r="B2" s="4"/>
      <c r="C2" s="4"/>
      <c r="D2" s="4"/>
      <c r="E2" s="4"/>
      <c r="F2" s="4"/>
      <c r="G2" s="4"/>
      <c r="H2" s="4"/>
      <c r="I2" s="4"/>
      <c r="J2" s="4"/>
      <c r="K2" s="4"/>
      <c r="L2" s="4"/>
      <c r="M2" s="4"/>
      <c r="N2" s="4"/>
      <c r="O2" s="4"/>
      <c r="P2" s="1404"/>
    </row>
    <row r="3" spans="1:25" s="23" customFormat="1" ht="19.2">
      <c r="A3" s="1406" t="s">
        <v>366</v>
      </c>
      <c r="B3" s="4"/>
      <c r="C3" s="4"/>
      <c r="D3" s="4"/>
      <c r="E3" s="4"/>
      <c r="F3" s="4"/>
      <c r="G3" s="4"/>
      <c r="H3" s="4"/>
      <c r="I3" s="4"/>
      <c r="J3" s="4"/>
      <c r="K3" s="4"/>
      <c r="L3" s="4"/>
      <c r="M3" s="4"/>
      <c r="N3" s="4"/>
      <c r="O3" s="4"/>
      <c r="P3" s="1404"/>
    </row>
    <row r="4" spans="1:25" s="23" customFormat="1" ht="17.399999999999999">
      <c r="A4" s="1405" t="s">
        <v>367</v>
      </c>
      <c r="B4" s="4"/>
      <c r="C4" s="4"/>
      <c r="D4" s="4"/>
      <c r="E4" s="4"/>
      <c r="F4" s="4"/>
      <c r="G4" s="4"/>
      <c r="H4" s="4"/>
      <c r="I4" s="4"/>
      <c r="J4" s="4"/>
      <c r="K4" s="4"/>
      <c r="L4" s="4"/>
      <c r="M4" s="4"/>
      <c r="N4" s="4"/>
      <c r="O4" s="4"/>
      <c r="P4" s="1404"/>
    </row>
    <row r="5" spans="1:25" s="23" customFormat="1" ht="19.2">
      <c r="A5" s="1406" t="s">
        <v>368</v>
      </c>
      <c r="B5" s="4"/>
      <c r="C5" s="4"/>
      <c r="D5" s="4"/>
      <c r="E5" s="4"/>
      <c r="F5" s="4"/>
      <c r="G5" s="4"/>
      <c r="H5" s="4"/>
      <c r="I5" s="4"/>
      <c r="J5" s="4"/>
      <c r="K5" s="4"/>
      <c r="L5" s="4"/>
      <c r="M5" s="4"/>
      <c r="N5" s="4"/>
      <c r="O5" s="4"/>
      <c r="P5" s="1404"/>
    </row>
    <row r="6" spans="1:25" s="8" customFormat="1" ht="15">
      <c r="A6" s="172" t="s">
        <v>369</v>
      </c>
      <c r="B6" s="172"/>
      <c r="C6" s="172"/>
      <c r="D6" s="172"/>
      <c r="E6" s="172"/>
      <c r="F6" s="172"/>
      <c r="G6" s="172"/>
      <c r="H6" s="172"/>
      <c r="I6" s="172"/>
      <c r="J6" s="172"/>
      <c r="K6" s="172"/>
      <c r="L6" s="172"/>
      <c r="M6" s="172"/>
      <c r="N6" s="172"/>
      <c r="O6" s="36" t="s">
        <v>370</v>
      </c>
      <c r="P6" s="234"/>
    </row>
    <row r="7" spans="1:25" s="8" customFormat="1" ht="18" customHeight="1">
      <c r="A7" s="206"/>
      <c r="C7" s="298" t="s">
        <v>371</v>
      </c>
      <c r="D7" s="172"/>
      <c r="E7" s="172"/>
      <c r="F7" s="172"/>
      <c r="G7" s="299" t="s">
        <v>372</v>
      </c>
      <c r="H7" s="210"/>
      <c r="I7" s="298" t="s">
        <v>373</v>
      </c>
      <c r="J7" s="172"/>
      <c r="K7" s="172"/>
      <c r="L7" s="172"/>
      <c r="M7" s="172"/>
      <c r="N7" s="172"/>
      <c r="O7" s="299" t="s">
        <v>374</v>
      </c>
      <c r="P7" s="234"/>
    </row>
    <row r="8" spans="1:25" s="34" customFormat="1" ht="18" customHeight="1">
      <c r="A8" s="56"/>
      <c r="C8" s="273" t="s">
        <v>375</v>
      </c>
      <c r="D8" s="54"/>
      <c r="E8" s="209" t="s">
        <v>376</v>
      </c>
      <c r="F8" s="272"/>
      <c r="G8" s="311" t="s">
        <v>377</v>
      </c>
      <c r="H8" s="211"/>
      <c r="I8" s="201"/>
      <c r="J8" s="572" t="s">
        <v>378</v>
      </c>
      <c r="K8" s="203"/>
      <c r="L8" s="200"/>
      <c r="M8" s="203"/>
      <c r="N8" s="208"/>
      <c r="O8" s="573" t="s">
        <v>377</v>
      </c>
      <c r="P8" s="240"/>
    </row>
    <row r="9" spans="1:25" s="34" customFormat="1" ht="18" customHeight="1">
      <c r="A9" s="24" t="s">
        <v>379</v>
      </c>
      <c r="B9" s="74"/>
      <c r="C9" s="87" t="s">
        <v>380</v>
      </c>
      <c r="D9" s="88"/>
      <c r="E9" s="308" t="s">
        <v>381</v>
      </c>
      <c r="F9" s="59" t="s">
        <v>381</v>
      </c>
      <c r="G9" s="202"/>
      <c r="H9" s="313" t="s">
        <v>382</v>
      </c>
      <c r="I9" s="204"/>
      <c r="J9" s="309" t="s">
        <v>7</v>
      </c>
      <c r="K9" s="59" t="s">
        <v>383</v>
      </c>
      <c r="L9" s="59" t="s">
        <v>384</v>
      </c>
      <c r="M9" s="59" t="s">
        <v>385</v>
      </c>
      <c r="N9" s="274"/>
      <c r="O9" s="61" t="s">
        <v>386</v>
      </c>
      <c r="P9" s="240"/>
    </row>
    <row r="10" spans="1:25" s="34" customFormat="1" ht="18" customHeight="1">
      <c r="A10" s="82" t="s">
        <v>387</v>
      </c>
      <c r="B10" s="125"/>
      <c r="C10" s="307" t="s">
        <v>1653</v>
      </c>
      <c r="D10" s="59" t="s">
        <v>388</v>
      </c>
      <c r="E10" s="61" t="s">
        <v>389</v>
      </c>
      <c r="F10" s="61" t="s">
        <v>390</v>
      </c>
      <c r="G10" s="205" t="s">
        <v>391</v>
      </c>
      <c r="H10" s="173" t="s">
        <v>392</v>
      </c>
      <c r="I10" s="312" t="s">
        <v>375</v>
      </c>
      <c r="J10" s="310" t="s">
        <v>393</v>
      </c>
      <c r="K10" s="61" t="s">
        <v>394</v>
      </c>
      <c r="L10" s="59" t="s">
        <v>390</v>
      </c>
      <c r="M10" s="61" t="s">
        <v>395</v>
      </c>
      <c r="N10" s="205" t="s">
        <v>391</v>
      </c>
      <c r="O10" s="61" t="s">
        <v>396</v>
      </c>
      <c r="P10" s="240"/>
    </row>
    <row r="11" spans="1:25" s="39" customFormat="1" ht="18" customHeight="1">
      <c r="A11" s="97"/>
      <c r="B11" s="60"/>
      <c r="C11" s="126" t="s">
        <v>1652</v>
      </c>
      <c r="D11" s="84" t="s">
        <v>380</v>
      </c>
      <c r="E11" s="110" t="s">
        <v>398</v>
      </c>
      <c r="F11" s="110" t="s">
        <v>398</v>
      </c>
      <c r="G11" s="83" t="s">
        <v>399</v>
      </c>
      <c r="H11" s="173"/>
      <c r="I11" s="84" t="s">
        <v>380</v>
      </c>
      <c r="J11" s="83" t="s">
        <v>400</v>
      </c>
      <c r="K11" s="83" t="s">
        <v>401</v>
      </c>
      <c r="L11" s="83" t="s">
        <v>402</v>
      </c>
      <c r="M11" s="110" t="s">
        <v>401</v>
      </c>
      <c r="N11" s="110" t="s">
        <v>399</v>
      </c>
      <c r="O11" s="110" t="s">
        <v>403</v>
      </c>
      <c r="P11" s="241"/>
    </row>
    <row r="12" spans="1:25" s="34" customFormat="1" ht="18" customHeight="1">
      <c r="A12" s="65"/>
      <c r="B12" s="66"/>
      <c r="C12" s="207"/>
      <c r="D12" s="89" t="s">
        <v>404</v>
      </c>
      <c r="E12" s="90" t="s">
        <v>405</v>
      </c>
      <c r="F12" s="90" t="s">
        <v>406</v>
      </c>
      <c r="G12" s="90"/>
      <c r="H12" s="212"/>
      <c r="I12" s="89"/>
      <c r="J12" s="90" t="s">
        <v>407</v>
      </c>
      <c r="K12" s="90" t="s">
        <v>405</v>
      </c>
      <c r="L12" s="90" t="s">
        <v>408</v>
      </c>
      <c r="M12" s="90" t="s">
        <v>409</v>
      </c>
      <c r="N12" s="90"/>
      <c r="O12" s="90" t="s">
        <v>410</v>
      </c>
      <c r="P12" s="242"/>
    </row>
    <row r="13" spans="1:25" s="306" customFormat="1" ht="20.25" customHeight="1">
      <c r="A13" s="405">
        <v>2016</v>
      </c>
      <c r="B13" s="1992"/>
      <c r="C13" s="1993">
        <v>2.5</v>
      </c>
      <c r="D13" s="1791">
        <v>815.9</v>
      </c>
      <c r="E13" s="784">
        <v>365.3</v>
      </c>
      <c r="F13" s="1994">
        <v>990.6</v>
      </c>
      <c r="G13" s="801">
        <v>484.8</v>
      </c>
      <c r="H13" s="1995">
        <v>2659.1000000000004</v>
      </c>
      <c r="I13" s="1818">
        <v>0</v>
      </c>
      <c r="J13" s="1996">
        <v>670.6</v>
      </c>
      <c r="K13" s="784">
        <v>1086.8</v>
      </c>
      <c r="L13" s="1997">
        <v>5.0999999999999996</v>
      </c>
      <c r="M13" s="1998">
        <v>0</v>
      </c>
      <c r="N13" s="1997">
        <v>389.6</v>
      </c>
      <c r="O13" s="1999">
        <v>507</v>
      </c>
      <c r="P13" s="778"/>
    </row>
    <row r="14" spans="1:25" s="1031" customFormat="1" ht="14.25" customHeight="1">
      <c r="A14" s="1408">
        <v>2017</v>
      </c>
      <c r="B14" s="1113"/>
      <c r="C14" s="674">
        <v>2.5</v>
      </c>
      <c r="D14" s="674">
        <v>880.6</v>
      </c>
      <c r="E14" s="836">
        <v>252.6</v>
      </c>
      <c r="F14" s="837">
        <v>1024</v>
      </c>
      <c r="G14" s="838">
        <v>549.5</v>
      </c>
      <c r="H14" s="1104">
        <v>2709.2</v>
      </c>
      <c r="I14" s="1105">
        <v>0</v>
      </c>
      <c r="J14" s="835">
        <v>662.7</v>
      </c>
      <c r="K14" s="836">
        <v>1218.8</v>
      </c>
      <c r="L14" s="839">
        <v>10.7</v>
      </c>
      <c r="M14" s="743">
        <v>0</v>
      </c>
      <c r="N14" s="840">
        <v>321.10000000000002</v>
      </c>
      <c r="O14" s="841">
        <v>495.9</v>
      </c>
      <c r="P14" s="778"/>
      <c r="Q14" s="321"/>
      <c r="R14" s="321"/>
      <c r="S14" s="321"/>
      <c r="T14" s="321"/>
      <c r="U14" s="321"/>
      <c r="V14" s="321"/>
      <c r="W14" s="321"/>
      <c r="X14" s="321"/>
      <c r="Y14" s="321"/>
    </row>
    <row r="15" spans="1:25" s="321" customFormat="1" ht="14.25" customHeight="1">
      <c r="A15" s="747">
        <v>2018</v>
      </c>
      <c r="B15" s="1103"/>
      <c r="C15" s="674">
        <v>2.5</v>
      </c>
      <c r="D15" s="674">
        <v>699.8</v>
      </c>
      <c r="E15" s="836">
        <v>130.9</v>
      </c>
      <c r="F15" s="837">
        <v>1005.6</v>
      </c>
      <c r="G15" s="838">
        <v>617.70000000000005</v>
      </c>
      <c r="H15" s="1104">
        <v>2456.5</v>
      </c>
      <c r="I15" s="1105">
        <v>0</v>
      </c>
      <c r="J15" s="835">
        <v>681.7</v>
      </c>
      <c r="K15" s="836">
        <v>1028.7</v>
      </c>
      <c r="L15" s="839">
        <v>5.9</v>
      </c>
      <c r="M15" s="743">
        <v>0</v>
      </c>
      <c r="N15" s="840">
        <v>199.1</v>
      </c>
      <c r="O15" s="841">
        <v>541.1</v>
      </c>
      <c r="P15" s="778"/>
    </row>
    <row r="16" spans="1:25" s="321" customFormat="1" ht="14.25" customHeight="1">
      <c r="A16" s="747">
        <v>2019</v>
      </c>
      <c r="B16" s="1103"/>
      <c r="C16" s="674">
        <v>2.5</v>
      </c>
      <c r="D16" s="674">
        <v>1276.0999999999999</v>
      </c>
      <c r="E16" s="836">
        <v>415</v>
      </c>
      <c r="F16" s="837">
        <v>1085.9000000000001</v>
      </c>
      <c r="G16" s="838">
        <v>418.3</v>
      </c>
      <c r="H16" s="1104">
        <v>3197.8</v>
      </c>
      <c r="I16" s="1105">
        <v>0</v>
      </c>
      <c r="J16" s="835">
        <v>687.1</v>
      </c>
      <c r="K16" s="836">
        <v>1603.1</v>
      </c>
      <c r="L16" s="839">
        <v>4.2</v>
      </c>
      <c r="M16" s="743">
        <v>0</v>
      </c>
      <c r="N16" s="840">
        <v>317.39999999999998</v>
      </c>
      <c r="O16" s="841">
        <v>586</v>
      </c>
      <c r="P16" s="778"/>
    </row>
    <row r="17" spans="1:16" s="321" customFormat="1" ht="14.25" customHeight="1">
      <c r="A17" s="747">
        <v>2020</v>
      </c>
      <c r="B17" s="1103"/>
      <c r="C17" s="674">
        <v>2.5</v>
      </c>
      <c r="D17" s="674">
        <v>732</v>
      </c>
      <c r="E17" s="836">
        <v>162.1</v>
      </c>
      <c r="F17" s="837">
        <v>1778.8</v>
      </c>
      <c r="G17" s="838">
        <v>348.4</v>
      </c>
      <c r="H17" s="1104">
        <v>3023.8</v>
      </c>
      <c r="I17" s="1105">
        <v>0</v>
      </c>
      <c r="J17" s="835">
        <v>745.1</v>
      </c>
      <c r="K17" s="836">
        <v>1408.5</v>
      </c>
      <c r="L17" s="839">
        <v>4.9000000000000004</v>
      </c>
      <c r="M17" s="743">
        <v>0</v>
      </c>
      <c r="N17" s="840">
        <v>269.7</v>
      </c>
      <c r="O17" s="841">
        <v>595.6</v>
      </c>
      <c r="P17" s="778"/>
    </row>
    <row r="18" spans="1:16" s="321" customFormat="1" ht="14.25" customHeight="1">
      <c r="A18" s="747">
        <v>2021</v>
      </c>
      <c r="B18" s="1103"/>
      <c r="C18" s="674">
        <v>2.5</v>
      </c>
      <c r="D18" s="674">
        <v>1468.6</v>
      </c>
      <c r="E18" s="836">
        <v>421.7</v>
      </c>
      <c r="F18" s="837">
        <v>1797.8</v>
      </c>
      <c r="G18" s="838">
        <v>439</v>
      </c>
      <c r="H18" s="1104">
        <v>4129.6000000000004</v>
      </c>
      <c r="I18" s="1105">
        <v>0</v>
      </c>
      <c r="J18" s="835">
        <v>704</v>
      </c>
      <c r="K18" s="836">
        <v>2335.1</v>
      </c>
      <c r="L18" s="839">
        <v>203.5</v>
      </c>
      <c r="M18" s="743">
        <v>0</v>
      </c>
      <c r="N18" s="840">
        <v>282.3</v>
      </c>
      <c r="O18" s="841">
        <v>604.70000000000005</v>
      </c>
      <c r="P18" s="778"/>
    </row>
    <row r="19" spans="1:16" s="321" customFormat="1" ht="14.25" customHeight="1">
      <c r="A19" s="747">
        <v>2022</v>
      </c>
      <c r="B19" s="1103"/>
      <c r="C19" s="674">
        <v>2.5</v>
      </c>
      <c r="D19" s="674">
        <v>1401.6</v>
      </c>
      <c r="E19" s="836">
        <v>276</v>
      </c>
      <c r="F19" s="837">
        <v>2773.8</v>
      </c>
      <c r="G19" s="838">
        <v>384</v>
      </c>
      <c r="H19" s="1104">
        <v>4837.8999999999996</v>
      </c>
      <c r="I19" s="1105">
        <v>0</v>
      </c>
      <c r="J19" s="835">
        <v>684.4</v>
      </c>
      <c r="K19" s="836">
        <v>3224.4</v>
      </c>
      <c r="L19" s="839">
        <v>6.4</v>
      </c>
      <c r="M19" s="743">
        <v>0</v>
      </c>
      <c r="N19" s="840">
        <v>300</v>
      </c>
      <c r="O19" s="841">
        <v>622.70000000000005</v>
      </c>
      <c r="P19" s="778"/>
    </row>
    <row r="20" spans="1:16" s="321" customFormat="1" ht="14.25" customHeight="1">
      <c r="A20" s="747">
        <v>2023</v>
      </c>
      <c r="B20" s="1103"/>
      <c r="C20" s="674">
        <v>2.5</v>
      </c>
      <c r="D20" s="674">
        <v>1512.7</v>
      </c>
      <c r="E20" s="836">
        <v>490</v>
      </c>
      <c r="F20" s="837">
        <v>3477.4</v>
      </c>
      <c r="G20" s="838">
        <v>552.9</v>
      </c>
      <c r="H20" s="1104">
        <v>6035.5</v>
      </c>
      <c r="I20" s="1105">
        <v>0</v>
      </c>
      <c r="J20" s="835">
        <v>667.8</v>
      </c>
      <c r="K20" s="836">
        <v>4468.5</v>
      </c>
      <c r="L20" s="839">
        <v>2.8</v>
      </c>
      <c r="M20" s="743">
        <v>0</v>
      </c>
      <c r="N20" s="840">
        <v>217.3</v>
      </c>
      <c r="O20" s="841">
        <v>679.1</v>
      </c>
      <c r="P20" s="778"/>
    </row>
    <row r="21" spans="1:16" s="321" customFormat="1" ht="14.25" customHeight="1">
      <c r="A21" s="747">
        <v>2024</v>
      </c>
      <c r="B21" s="1103"/>
      <c r="C21" s="674">
        <v>2.5</v>
      </c>
      <c r="D21" s="674">
        <v>1425</v>
      </c>
      <c r="E21" s="836">
        <v>96.1</v>
      </c>
      <c r="F21" s="837">
        <v>4294.7</v>
      </c>
      <c r="G21" s="838">
        <v>621.70000000000005</v>
      </c>
      <c r="H21" s="1104">
        <v>6439.9999999999991</v>
      </c>
      <c r="I21" s="1105">
        <v>0</v>
      </c>
      <c r="J21" s="835">
        <v>670.8</v>
      </c>
      <c r="K21" s="836">
        <v>4774.8999999999996</v>
      </c>
      <c r="L21" s="839">
        <v>6.6</v>
      </c>
      <c r="M21" s="743">
        <v>0</v>
      </c>
      <c r="N21" s="840">
        <v>254.8</v>
      </c>
      <c r="O21" s="841">
        <v>732.9</v>
      </c>
      <c r="P21" s="778"/>
    </row>
    <row r="22" spans="1:16" s="321" customFormat="1" ht="14.25" customHeight="1">
      <c r="A22" s="906">
        <v>2025</v>
      </c>
      <c r="B22" s="968"/>
      <c r="C22" s="969">
        <v>244.1</v>
      </c>
      <c r="D22" s="969">
        <v>1430.8</v>
      </c>
      <c r="E22" s="970">
        <v>26.8</v>
      </c>
      <c r="F22" s="971">
        <v>4136.3</v>
      </c>
      <c r="G22" s="972">
        <v>498.4</v>
      </c>
      <c r="H22" s="973">
        <f t="shared" ref="H22" si="0">SUM(C22:G22)</f>
        <v>6336.4</v>
      </c>
      <c r="I22" s="974">
        <v>0</v>
      </c>
      <c r="J22" s="975">
        <v>677.9</v>
      </c>
      <c r="K22" s="970">
        <v>4394.3999999999996</v>
      </c>
      <c r="L22" s="976">
        <v>0.8</v>
      </c>
      <c r="M22" s="977">
        <v>0</v>
      </c>
      <c r="N22" s="978">
        <v>255.3</v>
      </c>
      <c r="O22" s="979">
        <v>1008</v>
      </c>
      <c r="P22" s="778"/>
    </row>
    <row r="23" spans="1:16" s="321" customFormat="1" ht="21" customHeight="1">
      <c r="A23" s="747">
        <v>2024</v>
      </c>
      <c r="B23" s="1103" t="s">
        <v>237</v>
      </c>
      <c r="C23" s="674">
        <v>2.5</v>
      </c>
      <c r="D23" s="674">
        <v>1909.7</v>
      </c>
      <c r="E23" s="836">
        <v>91.5</v>
      </c>
      <c r="F23" s="837">
        <v>4473.8999999999996</v>
      </c>
      <c r="G23" s="838">
        <v>626.1</v>
      </c>
      <c r="H23" s="1104">
        <v>7103.7</v>
      </c>
      <c r="I23" s="1105">
        <v>0</v>
      </c>
      <c r="J23" s="835">
        <v>672.7</v>
      </c>
      <c r="K23" s="836">
        <v>5441.1</v>
      </c>
      <c r="L23" s="839">
        <v>7.3</v>
      </c>
      <c r="M23" s="743">
        <v>0</v>
      </c>
      <c r="N23" s="840">
        <v>252.5</v>
      </c>
      <c r="O23" s="841">
        <v>730.1</v>
      </c>
      <c r="P23" s="778"/>
    </row>
    <row r="24" spans="1:16" s="321" customFormat="1" ht="15" customHeight="1">
      <c r="A24" s="747"/>
      <c r="B24" s="1103" t="s">
        <v>238</v>
      </c>
      <c r="C24" s="674">
        <v>2.5</v>
      </c>
      <c r="D24" s="674">
        <v>1425</v>
      </c>
      <c r="E24" s="836">
        <v>96.1</v>
      </c>
      <c r="F24" s="837">
        <v>4294.7</v>
      </c>
      <c r="G24" s="838">
        <v>621.70000000000005</v>
      </c>
      <c r="H24" s="1104">
        <v>6439.9999999999991</v>
      </c>
      <c r="I24" s="1105">
        <v>0</v>
      </c>
      <c r="J24" s="835">
        <v>670.8</v>
      </c>
      <c r="K24" s="836">
        <v>4774.8999999999996</v>
      </c>
      <c r="L24" s="839">
        <v>6.6</v>
      </c>
      <c r="M24" s="743">
        <v>0</v>
      </c>
      <c r="N24" s="840">
        <v>254.8</v>
      </c>
      <c r="O24" s="841">
        <v>732.9</v>
      </c>
      <c r="P24" s="778"/>
    </row>
    <row r="25" spans="1:16" s="321" customFormat="1" ht="21" customHeight="1">
      <c r="A25" s="747">
        <v>2025</v>
      </c>
      <c r="B25" s="1103" t="s">
        <v>239</v>
      </c>
      <c r="C25" s="674">
        <v>2.5</v>
      </c>
      <c r="D25" s="674">
        <v>1048.8</v>
      </c>
      <c r="E25" s="836">
        <v>32</v>
      </c>
      <c r="F25" s="837">
        <v>5519.1</v>
      </c>
      <c r="G25" s="838">
        <v>556.1</v>
      </c>
      <c r="H25" s="1104">
        <f t="shared" ref="H25" si="1">SUM(C25:G25)</f>
        <v>7158.5000000000009</v>
      </c>
      <c r="I25" s="1105">
        <v>0</v>
      </c>
      <c r="J25" s="835">
        <v>704.5</v>
      </c>
      <c r="K25" s="836">
        <v>5352.3</v>
      </c>
      <c r="L25" s="839">
        <v>96.2</v>
      </c>
      <c r="M25" s="743">
        <v>0</v>
      </c>
      <c r="N25" s="840">
        <v>260.10000000000002</v>
      </c>
      <c r="O25" s="841">
        <v>745.4</v>
      </c>
      <c r="P25" s="778"/>
    </row>
    <row r="26" spans="1:16" s="321" customFormat="1" ht="15" customHeight="1">
      <c r="A26" s="747"/>
      <c r="B26" s="1103" t="s">
        <v>240</v>
      </c>
      <c r="C26" s="674">
        <v>2.5</v>
      </c>
      <c r="D26" s="674">
        <v>1432.5</v>
      </c>
      <c r="E26" s="836">
        <v>21.2</v>
      </c>
      <c r="F26" s="837">
        <v>4985.1000000000004</v>
      </c>
      <c r="G26" s="838">
        <v>379.2</v>
      </c>
      <c r="H26" s="1104">
        <v>6820.5</v>
      </c>
      <c r="I26" s="1105">
        <v>0</v>
      </c>
      <c r="J26" s="835">
        <v>705.9</v>
      </c>
      <c r="K26" s="836">
        <v>5018.1000000000004</v>
      </c>
      <c r="L26" s="839">
        <v>104.4</v>
      </c>
      <c r="M26" s="743">
        <v>0</v>
      </c>
      <c r="N26" s="840">
        <v>237.3</v>
      </c>
      <c r="O26" s="841">
        <v>754.8</v>
      </c>
      <c r="P26" s="778"/>
    </row>
    <row r="27" spans="1:16" s="321" customFormat="1" ht="15" customHeight="1">
      <c r="A27" s="747"/>
      <c r="B27" s="1103" t="s">
        <v>237</v>
      </c>
      <c r="C27" s="674">
        <v>2.5</v>
      </c>
      <c r="D27" s="674">
        <v>1220.9000000000001</v>
      </c>
      <c r="E27" s="836">
        <v>21.6</v>
      </c>
      <c r="F27" s="837">
        <v>4429.3</v>
      </c>
      <c r="G27" s="838">
        <v>461.4</v>
      </c>
      <c r="H27" s="1104">
        <v>6135.7</v>
      </c>
      <c r="I27" s="1105">
        <v>0</v>
      </c>
      <c r="J27" s="835">
        <v>679.5</v>
      </c>
      <c r="K27" s="836">
        <v>4445.2</v>
      </c>
      <c r="L27" s="839">
        <v>1.2</v>
      </c>
      <c r="M27" s="743">
        <v>0</v>
      </c>
      <c r="N27" s="840">
        <v>246.6</v>
      </c>
      <c r="O27" s="841">
        <v>763.2</v>
      </c>
      <c r="P27" s="778"/>
    </row>
    <row r="28" spans="1:16" s="321" customFormat="1" ht="15" customHeight="1">
      <c r="A28" s="747"/>
      <c r="B28" s="1103" t="s">
        <v>238</v>
      </c>
      <c r="C28" s="674">
        <f t="shared" ref="C28:H28" si="2">C36</f>
        <v>244.1</v>
      </c>
      <c r="D28" s="674">
        <f t="shared" si="2"/>
        <v>1430.8</v>
      </c>
      <c r="E28" s="836">
        <f t="shared" si="2"/>
        <v>26.8</v>
      </c>
      <c r="F28" s="837">
        <f t="shared" si="2"/>
        <v>4136.3</v>
      </c>
      <c r="G28" s="838">
        <f t="shared" si="2"/>
        <v>496.5</v>
      </c>
      <c r="H28" s="1104">
        <f t="shared" si="2"/>
        <v>6334.5</v>
      </c>
      <c r="I28" s="1105">
        <v>0</v>
      </c>
      <c r="J28" s="835">
        <f t="shared" ref="J28:O28" si="3">J36</f>
        <v>677.9</v>
      </c>
      <c r="K28" s="836">
        <f t="shared" si="3"/>
        <v>4394.3999999999996</v>
      </c>
      <c r="L28" s="839">
        <f t="shared" si="3"/>
        <v>0.8</v>
      </c>
      <c r="M28" s="743">
        <f t="shared" si="3"/>
        <v>0</v>
      </c>
      <c r="N28" s="840">
        <f t="shared" si="3"/>
        <v>258.3</v>
      </c>
      <c r="O28" s="841">
        <f t="shared" si="3"/>
        <v>1003.1</v>
      </c>
      <c r="P28" s="778"/>
    </row>
    <row r="29" spans="1:16" s="321" customFormat="1" ht="21" customHeight="1">
      <c r="A29" s="747">
        <v>2026</v>
      </c>
      <c r="B29" s="1103" t="s">
        <v>239</v>
      </c>
      <c r="C29" s="674">
        <f t="shared" ref="C29:H29" si="4">C39</f>
        <v>261.2</v>
      </c>
      <c r="D29" s="674">
        <f t="shared" si="4"/>
        <v>1945.4</v>
      </c>
      <c r="E29" s="836">
        <f t="shared" si="4"/>
        <v>31</v>
      </c>
      <c r="F29" s="837">
        <f t="shared" si="4"/>
        <v>4536.5</v>
      </c>
      <c r="G29" s="838">
        <f t="shared" si="4"/>
        <v>679.6</v>
      </c>
      <c r="H29" s="1104">
        <f t="shared" si="4"/>
        <v>7453.7000000000007</v>
      </c>
      <c r="I29" s="1105">
        <v>0</v>
      </c>
      <c r="J29" s="835">
        <f t="shared" ref="J29:O29" si="5">J39</f>
        <v>791.3</v>
      </c>
      <c r="K29" s="836">
        <f t="shared" si="5"/>
        <v>5370.8</v>
      </c>
      <c r="L29" s="839">
        <f t="shared" si="5"/>
        <v>0.3</v>
      </c>
      <c r="M29" s="743">
        <f t="shared" si="5"/>
        <v>0</v>
      </c>
      <c r="N29" s="840">
        <f t="shared" si="5"/>
        <v>258.3</v>
      </c>
      <c r="O29" s="841">
        <f t="shared" si="5"/>
        <v>1033</v>
      </c>
      <c r="P29" s="778"/>
    </row>
    <row r="30" spans="1:16" s="321" customFormat="1" ht="15" customHeight="1">
      <c r="A30" s="906"/>
      <c r="B30" s="968" t="s">
        <v>240</v>
      </c>
      <c r="C30" s="969">
        <f t="shared" ref="C30:H30" si="6">C42</f>
        <v>228.2</v>
      </c>
      <c r="D30" s="969">
        <f t="shared" si="6"/>
        <v>684</v>
      </c>
      <c r="E30" s="970">
        <f t="shared" si="6"/>
        <v>25.6</v>
      </c>
      <c r="F30" s="971">
        <f t="shared" si="6"/>
        <v>5169.3999999999996</v>
      </c>
      <c r="G30" s="972">
        <f t="shared" si="6"/>
        <v>576.29999999999995</v>
      </c>
      <c r="H30" s="973">
        <f t="shared" si="6"/>
        <v>6683.5</v>
      </c>
      <c r="I30" s="974">
        <v>0</v>
      </c>
      <c r="J30" s="975">
        <f t="shared" ref="J30:O30" si="7">J42</f>
        <v>756.5</v>
      </c>
      <c r="K30" s="970">
        <f t="shared" si="7"/>
        <v>4656.2</v>
      </c>
      <c r="L30" s="976">
        <f t="shared" si="7"/>
        <v>1.2</v>
      </c>
      <c r="M30" s="977">
        <f t="shared" si="7"/>
        <v>0</v>
      </c>
      <c r="N30" s="978">
        <f t="shared" si="7"/>
        <v>261.3</v>
      </c>
      <c r="O30" s="979">
        <f t="shared" si="7"/>
        <v>1008.3</v>
      </c>
      <c r="P30" s="778"/>
    </row>
    <row r="31" spans="1:16" s="321" customFormat="1" ht="21" customHeight="1">
      <c r="A31" s="747">
        <v>2025</v>
      </c>
      <c r="B31" s="748" t="s">
        <v>420</v>
      </c>
      <c r="C31" s="674">
        <v>2.5</v>
      </c>
      <c r="D31" s="674">
        <v>1605.2</v>
      </c>
      <c r="E31" s="836">
        <v>31.7</v>
      </c>
      <c r="F31" s="837">
        <v>4469.5</v>
      </c>
      <c r="G31" s="838">
        <v>385.9</v>
      </c>
      <c r="H31" s="1104">
        <f t="shared" ref="H31:H39" si="8">SUM(C31:G31)</f>
        <v>6494.7999999999993</v>
      </c>
      <c r="I31" s="1105">
        <v>0</v>
      </c>
      <c r="J31" s="835">
        <v>691.9</v>
      </c>
      <c r="K31" s="836">
        <v>4790</v>
      </c>
      <c r="L31" s="839">
        <v>8.1999999999999993</v>
      </c>
      <c r="M31" s="743">
        <v>0</v>
      </c>
      <c r="N31" s="840">
        <v>247.2</v>
      </c>
      <c r="O31" s="841">
        <v>757.5</v>
      </c>
      <c r="P31" s="778"/>
    </row>
    <row r="32" spans="1:16" s="321" customFormat="1" ht="15" customHeight="1">
      <c r="A32" s="747"/>
      <c r="B32" s="899" t="s">
        <v>421</v>
      </c>
      <c r="C32" s="674">
        <v>2.5</v>
      </c>
      <c r="D32" s="674">
        <v>1334.5</v>
      </c>
      <c r="E32" s="836">
        <v>40.200000000000003</v>
      </c>
      <c r="F32" s="837">
        <v>4475.2</v>
      </c>
      <c r="G32" s="1142">
        <v>387.2</v>
      </c>
      <c r="H32" s="1104">
        <f t="shared" si="8"/>
        <v>6239.5999999999995</v>
      </c>
      <c r="I32" s="1198">
        <v>0</v>
      </c>
      <c r="J32" s="835">
        <v>680.5</v>
      </c>
      <c r="K32" s="836">
        <v>4548.7</v>
      </c>
      <c r="L32" s="839">
        <v>1.9</v>
      </c>
      <c r="M32" s="743">
        <v>0</v>
      </c>
      <c r="N32" s="840">
        <v>247.7</v>
      </c>
      <c r="O32" s="841">
        <v>760.8</v>
      </c>
      <c r="P32" s="778"/>
    </row>
    <row r="33" spans="1:16" s="321" customFormat="1" ht="15" customHeight="1">
      <c r="A33" s="747"/>
      <c r="B33" s="899" t="s">
        <v>422</v>
      </c>
      <c r="C33" s="674">
        <v>2.5</v>
      </c>
      <c r="D33" s="674">
        <v>1220.9000000000001</v>
      </c>
      <c r="E33" s="836">
        <v>21.6</v>
      </c>
      <c r="F33" s="837">
        <v>4429.3</v>
      </c>
      <c r="G33" s="1142">
        <v>461.4</v>
      </c>
      <c r="H33" s="1104">
        <f t="shared" si="8"/>
        <v>6135.7</v>
      </c>
      <c r="I33" s="1198">
        <v>0</v>
      </c>
      <c r="J33" s="835">
        <v>679.5</v>
      </c>
      <c r="K33" s="836">
        <v>4445.2</v>
      </c>
      <c r="L33" s="839">
        <v>1.2</v>
      </c>
      <c r="M33" s="743">
        <v>0</v>
      </c>
      <c r="N33" s="840">
        <v>246.6</v>
      </c>
      <c r="O33" s="841">
        <v>763.2</v>
      </c>
      <c r="P33" s="778"/>
    </row>
    <row r="34" spans="1:16" s="321" customFormat="1" ht="15" customHeight="1">
      <c r="A34" s="747"/>
      <c r="B34" s="899" t="s">
        <v>411</v>
      </c>
      <c r="C34" s="674">
        <v>2.5</v>
      </c>
      <c r="D34" s="674">
        <v>1588.6</v>
      </c>
      <c r="E34" s="836">
        <v>22.8</v>
      </c>
      <c r="F34" s="837">
        <v>3964.3</v>
      </c>
      <c r="G34" s="1142">
        <v>482.5</v>
      </c>
      <c r="H34" s="1104">
        <f t="shared" si="8"/>
        <v>6060.7</v>
      </c>
      <c r="I34" s="1198">
        <v>0</v>
      </c>
      <c r="J34" s="835">
        <v>673.7</v>
      </c>
      <c r="K34" s="836">
        <v>4372.5</v>
      </c>
      <c r="L34" s="839">
        <v>1.1000000000000001</v>
      </c>
      <c r="M34" s="743">
        <v>0</v>
      </c>
      <c r="N34" s="840">
        <v>246.8</v>
      </c>
      <c r="O34" s="841">
        <v>766.6</v>
      </c>
      <c r="P34" s="778"/>
    </row>
    <row r="35" spans="1:16" s="321" customFormat="1" ht="15" customHeight="1">
      <c r="A35" s="747"/>
      <c r="B35" s="899" t="s">
        <v>412</v>
      </c>
      <c r="C35" s="674">
        <v>2.5</v>
      </c>
      <c r="D35" s="674">
        <v>1364.2</v>
      </c>
      <c r="E35" s="836">
        <v>22.5</v>
      </c>
      <c r="F35" s="837">
        <v>4237.8</v>
      </c>
      <c r="G35" s="1142">
        <v>516.5</v>
      </c>
      <c r="H35" s="1104">
        <f t="shared" si="8"/>
        <v>6143.5</v>
      </c>
      <c r="I35" s="1198">
        <v>0</v>
      </c>
      <c r="J35" s="835">
        <v>682.5</v>
      </c>
      <c r="K35" s="836">
        <v>4439.7</v>
      </c>
      <c r="L35" s="839">
        <v>1.4</v>
      </c>
      <c r="M35" s="743">
        <v>0</v>
      </c>
      <c r="N35" s="840">
        <v>249.4</v>
      </c>
      <c r="O35" s="841">
        <v>770.5</v>
      </c>
      <c r="P35" s="778"/>
    </row>
    <row r="36" spans="1:16" s="321" customFormat="1" ht="15" customHeight="1">
      <c r="A36" s="747"/>
      <c r="B36" s="899" t="s">
        <v>413</v>
      </c>
      <c r="C36" s="674">
        <v>244.1</v>
      </c>
      <c r="D36" s="674">
        <v>1430.8</v>
      </c>
      <c r="E36" s="836">
        <v>26.8</v>
      </c>
      <c r="F36" s="837">
        <v>4136.3</v>
      </c>
      <c r="G36" s="1142">
        <v>496.5</v>
      </c>
      <c r="H36" s="1104">
        <f t="shared" si="8"/>
        <v>6334.5</v>
      </c>
      <c r="I36" s="1198">
        <v>0</v>
      </c>
      <c r="J36" s="835">
        <v>677.9</v>
      </c>
      <c r="K36" s="836">
        <v>4394.3999999999996</v>
      </c>
      <c r="L36" s="839">
        <v>0.8</v>
      </c>
      <c r="M36" s="743">
        <v>0</v>
      </c>
      <c r="N36" s="840">
        <v>258.3</v>
      </c>
      <c r="O36" s="841">
        <v>1003.1</v>
      </c>
      <c r="P36" s="778"/>
    </row>
    <row r="37" spans="1:16" s="321" customFormat="1" ht="21" customHeight="1">
      <c r="A37" s="747">
        <v>2026</v>
      </c>
      <c r="B37" s="899" t="s">
        <v>414</v>
      </c>
      <c r="C37" s="674">
        <v>282.3</v>
      </c>
      <c r="D37" s="674">
        <v>1076.3</v>
      </c>
      <c r="E37" s="836">
        <v>27.6</v>
      </c>
      <c r="F37" s="837">
        <v>4720.3</v>
      </c>
      <c r="G37" s="1142">
        <v>476.8</v>
      </c>
      <c r="H37" s="1104">
        <f t="shared" si="8"/>
        <v>6583.3</v>
      </c>
      <c r="I37" s="1198">
        <v>0</v>
      </c>
      <c r="J37" s="835">
        <v>680.1</v>
      </c>
      <c r="K37" s="836">
        <v>4594.7</v>
      </c>
      <c r="L37" s="839">
        <v>2.2999999999999998</v>
      </c>
      <c r="M37" s="743">
        <v>0</v>
      </c>
      <c r="N37" s="840">
        <v>261.2</v>
      </c>
      <c r="O37" s="841">
        <v>1045</v>
      </c>
      <c r="P37" s="778"/>
    </row>
    <row r="38" spans="1:16" s="321" customFormat="1" ht="15" customHeight="1">
      <c r="A38" s="747"/>
      <c r="B38" s="899" t="s">
        <v>415</v>
      </c>
      <c r="C38" s="674">
        <v>296</v>
      </c>
      <c r="D38" s="674">
        <v>1774.5</v>
      </c>
      <c r="E38" s="836">
        <v>36.700000000000003</v>
      </c>
      <c r="F38" s="837">
        <v>4095.9</v>
      </c>
      <c r="G38" s="1142">
        <v>478</v>
      </c>
      <c r="H38" s="1104">
        <f t="shared" si="8"/>
        <v>6681.1</v>
      </c>
      <c r="I38" s="1198">
        <v>0</v>
      </c>
      <c r="J38" s="835">
        <v>681.2</v>
      </c>
      <c r="K38" s="836">
        <v>4601.7</v>
      </c>
      <c r="L38" s="839">
        <v>105.6</v>
      </c>
      <c r="M38" s="743">
        <v>0</v>
      </c>
      <c r="N38" s="840">
        <v>230.6</v>
      </c>
      <c r="O38" s="841">
        <v>1062</v>
      </c>
      <c r="P38" s="778"/>
    </row>
    <row r="39" spans="1:16" s="321" customFormat="1" ht="15" customHeight="1">
      <c r="A39" s="747"/>
      <c r="B39" s="899" t="s">
        <v>416</v>
      </c>
      <c r="C39" s="674">
        <v>261.2</v>
      </c>
      <c r="D39" s="674">
        <v>1945.4</v>
      </c>
      <c r="E39" s="836">
        <v>31</v>
      </c>
      <c r="F39" s="837">
        <v>4536.5</v>
      </c>
      <c r="G39" s="1142">
        <v>679.6</v>
      </c>
      <c r="H39" s="1104">
        <f t="shared" si="8"/>
        <v>7453.7000000000007</v>
      </c>
      <c r="I39" s="1198">
        <v>0</v>
      </c>
      <c r="J39" s="835">
        <v>791.3</v>
      </c>
      <c r="K39" s="836">
        <v>5370.8</v>
      </c>
      <c r="L39" s="839">
        <v>0.3</v>
      </c>
      <c r="M39" s="743">
        <v>0</v>
      </c>
      <c r="N39" s="840">
        <v>258.3</v>
      </c>
      <c r="O39" s="841">
        <v>1033</v>
      </c>
      <c r="P39" s="778"/>
    </row>
    <row r="40" spans="1:16" s="321" customFormat="1" ht="15" customHeight="1">
      <c r="A40" s="747"/>
      <c r="B40" s="899" t="s">
        <v>417</v>
      </c>
      <c r="C40" s="674">
        <v>261.3</v>
      </c>
      <c r="D40" s="674">
        <v>1306</v>
      </c>
      <c r="E40" s="836">
        <v>25.3</v>
      </c>
      <c r="F40" s="837">
        <v>4892.3999999999996</v>
      </c>
      <c r="G40" s="1142">
        <v>684.9</v>
      </c>
      <c r="H40" s="1104">
        <f>SUM(C40:G40)</f>
        <v>7169.9</v>
      </c>
      <c r="I40" s="1198">
        <v>0</v>
      </c>
      <c r="J40" s="835">
        <v>792.5</v>
      </c>
      <c r="K40" s="836">
        <v>4994.1000000000004</v>
      </c>
      <c r="L40" s="839">
        <v>13.9</v>
      </c>
      <c r="M40" s="743">
        <v>0</v>
      </c>
      <c r="N40" s="840">
        <v>333.1</v>
      </c>
      <c r="O40" s="841">
        <v>1036.3</v>
      </c>
      <c r="P40" s="778"/>
    </row>
    <row r="41" spans="1:16" s="321" customFormat="1" ht="15" customHeight="1">
      <c r="A41" s="747"/>
      <c r="B41" s="899" t="s">
        <v>418</v>
      </c>
      <c r="C41" s="674">
        <v>257.60000000000002</v>
      </c>
      <c r="D41" s="674">
        <v>567.6</v>
      </c>
      <c r="E41" s="836">
        <v>26.7</v>
      </c>
      <c r="F41" s="837">
        <v>5334.6</v>
      </c>
      <c r="G41" s="1142">
        <v>710.3</v>
      </c>
      <c r="H41" s="1104">
        <f>SUM(C41:G41)</f>
        <v>6896.8</v>
      </c>
      <c r="I41" s="1198">
        <v>0</v>
      </c>
      <c r="J41" s="835">
        <v>791</v>
      </c>
      <c r="K41" s="836">
        <v>4818</v>
      </c>
      <c r="L41" s="839">
        <v>2.9</v>
      </c>
      <c r="M41" s="743">
        <v>0</v>
      </c>
      <c r="N41" s="840">
        <v>249.3</v>
      </c>
      <c r="O41" s="841">
        <v>1035.5999999999999</v>
      </c>
      <c r="P41" s="778"/>
    </row>
    <row r="42" spans="1:16" s="321" customFormat="1" ht="15" customHeight="1">
      <c r="A42" s="747"/>
      <c r="B42" s="899" t="s">
        <v>419</v>
      </c>
      <c r="C42" s="674">
        <v>228.2</v>
      </c>
      <c r="D42" s="674">
        <v>684</v>
      </c>
      <c r="E42" s="836">
        <v>25.6</v>
      </c>
      <c r="F42" s="837">
        <v>5169.3999999999996</v>
      </c>
      <c r="G42" s="1142">
        <v>576.29999999999995</v>
      </c>
      <c r="H42" s="1104">
        <f>SUM(C42:G42)</f>
        <v>6683.5</v>
      </c>
      <c r="I42" s="1198">
        <v>0</v>
      </c>
      <c r="J42" s="835">
        <v>756.5</v>
      </c>
      <c r="K42" s="836">
        <v>4656.2</v>
      </c>
      <c r="L42" s="839">
        <v>1.2</v>
      </c>
      <c r="M42" s="743">
        <v>0</v>
      </c>
      <c r="N42" s="840">
        <v>261.3</v>
      </c>
      <c r="O42" s="841">
        <v>1008.3</v>
      </c>
      <c r="P42" s="778"/>
    </row>
    <row r="43" spans="1:16" s="321" customFormat="1" ht="15" customHeight="1">
      <c r="A43" s="747"/>
      <c r="B43" s="899" t="s">
        <v>420</v>
      </c>
      <c r="C43" s="674">
        <v>228.2</v>
      </c>
      <c r="D43" s="674">
        <v>944.5</v>
      </c>
      <c r="E43" s="836">
        <v>25.6</v>
      </c>
      <c r="F43" s="837">
        <v>5364.8</v>
      </c>
      <c r="G43" s="1142">
        <v>595.9</v>
      </c>
      <c r="H43" s="1104">
        <f>SUM(C43:G43)</f>
        <v>7159</v>
      </c>
      <c r="I43" s="1198">
        <v>0</v>
      </c>
      <c r="J43" s="835">
        <v>741.3</v>
      </c>
      <c r="K43" s="836">
        <v>4502.7</v>
      </c>
      <c r="L43" s="839">
        <v>1.4</v>
      </c>
      <c r="M43" s="743">
        <v>0</v>
      </c>
      <c r="N43" s="840">
        <v>900.6</v>
      </c>
      <c r="O43" s="841">
        <v>1013</v>
      </c>
      <c r="P43" s="778"/>
    </row>
    <row r="44" spans="1:16" ht="19.5" customHeight="1">
      <c r="A44" s="1410" t="s">
        <v>1655</v>
      </c>
      <c r="B44" s="1410"/>
      <c r="C44" s="1410"/>
      <c r="D44" s="1410"/>
      <c r="E44" s="1410"/>
      <c r="F44" s="1411"/>
      <c r="G44" s="1410"/>
      <c r="H44" s="1410" t="s">
        <v>117</v>
      </c>
      <c r="I44" s="1410"/>
      <c r="J44" s="1410"/>
      <c r="K44" s="1410"/>
      <c r="L44" s="1410"/>
      <c r="M44" s="1410"/>
      <c r="N44" s="1410"/>
      <c r="O44" s="235" t="s">
        <v>1654</v>
      </c>
    </row>
    <row r="45" spans="1:16" ht="12.75" customHeight="1">
      <c r="N45" s="146"/>
      <c r="O45" s="1414"/>
    </row>
    <row r="46" spans="1:16" ht="13.8">
      <c r="A46" s="318" t="s">
        <v>423</v>
      </c>
      <c r="B46" s="1414"/>
      <c r="C46" s="1414"/>
      <c r="D46" s="1414"/>
      <c r="E46" s="1414"/>
      <c r="F46" s="1414"/>
      <c r="G46" s="1414"/>
      <c r="H46" s="1414"/>
      <c r="I46" s="1414"/>
      <c r="J46" s="1414"/>
      <c r="K46" s="1414"/>
      <c r="L46" s="1414"/>
      <c r="M46" s="1414"/>
      <c r="N46" s="146"/>
      <c r="O46" s="1414"/>
    </row>
    <row r="50" spans="3:16">
      <c r="C50" s="1415"/>
      <c r="D50" s="1415"/>
      <c r="E50" s="1415"/>
      <c r="F50" s="1415"/>
      <c r="G50" s="1415"/>
      <c r="H50" s="1415"/>
      <c r="I50" s="2000"/>
      <c r="J50" s="1415"/>
      <c r="K50" s="1415"/>
      <c r="L50" s="1415"/>
      <c r="M50" s="1415"/>
      <c r="N50" s="1415"/>
      <c r="O50" s="1415"/>
      <c r="P50" s="1413"/>
    </row>
  </sheetData>
  <phoneticPr fontId="0" type="noConversion"/>
  <printOptions horizontalCentered="1" verticalCentered="1"/>
  <pageMargins left="0" right="0" top="0" bottom="0" header="0.51181102362204722" footer="0.51181102362204722"/>
  <pageSetup paperSize="9" scale="77"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0">
    <pageSetUpPr fitToPage="1"/>
  </sheetPr>
  <dimension ref="A1:S51"/>
  <sheetViews>
    <sheetView zoomScale="80" zoomScaleNormal="80" zoomScaleSheetLayoutView="62" workbookViewId="0">
      <pane ySplit="13" topLeftCell="A37" activePane="bottomLeft" state="frozen"/>
      <selection activeCell="B2" sqref="B2"/>
      <selection pane="bottomLeft" activeCell="B2" sqref="B2"/>
    </sheetView>
  </sheetViews>
  <sheetFormatPr defaultColWidth="9.21875" defaultRowHeight="13.2"/>
  <cols>
    <col min="1" max="2" width="9.77734375" style="445" customWidth="1"/>
    <col min="3" max="3" width="18.21875" style="445" bestFit="1" customWidth="1"/>
    <col min="4" max="4" width="24.44140625" style="445" bestFit="1" customWidth="1"/>
    <col min="5" max="5" width="17.77734375" style="445" bestFit="1" customWidth="1"/>
    <col min="6" max="6" width="19.21875" style="445" customWidth="1"/>
    <col min="7" max="7" width="18.21875" style="445" bestFit="1" customWidth="1"/>
    <col min="8" max="8" width="18.21875" style="445" customWidth="1"/>
    <col min="9" max="9" width="16.77734375" style="445" customWidth="1"/>
    <col min="10" max="10" width="19.77734375" style="445" bestFit="1" customWidth="1"/>
    <col min="11" max="16384" width="9.21875" style="445"/>
  </cols>
  <sheetData>
    <row r="1" spans="1:10" ht="18" customHeight="1">
      <c r="A1" s="807" t="s">
        <v>1101</v>
      </c>
      <c r="B1" s="807"/>
      <c r="C1" s="807"/>
      <c r="D1" s="807"/>
      <c r="E1" s="807"/>
      <c r="F1" s="807"/>
      <c r="G1" s="807"/>
      <c r="H1" s="807"/>
      <c r="I1" s="807"/>
      <c r="J1" s="807"/>
    </row>
    <row r="2" spans="1:10" ht="18" customHeight="1">
      <c r="A2" s="807" t="s">
        <v>1102</v>
      </c>
      <c r="B2" s="807"/>
      <c r="C2" s="807"/>
      <c r="D2" s="807"/>
      <c r="E2" s="807"/>
      <c r="F2" s="807"/>
      <c r="G2" s="807"/>
      <c r="H2" s="807"/>
      <c r="I2" s="807"/>
      <c r="J2" s="807"/>
    </row>
    <row r="3" spans="1:10" ht="16.05" customHeight="1">
      <c r="A3" s="808" t="s">
        <v>66</v>
      </c>
      <c r="B3" s="464"/>
      <c r="C3" s="464"/>
      <c r="D3" s="464"/>
      <c r="E3" s="464"/>
      <c r="F3" s="464"/>
      <c r="G3" s="464"/>
      <c r="H3" s="464"/>
      <c r="I3" s="464"/>
      <c r="J3" s="464"/>
    </row>
    <row r="4" spans="1:10" ht="17.399999999999999">
      <c r="A4" s="1259" t="s">
        <v>1103</v>
      </c>
      <c r="B4" s="1259"/>
      <c r="C4" s="1259"/>
      <c r="D4" s="1259"/>
      <c r="E4" s="1259"/>
      <c r="F4" s="1259"/>
      <c r="G4" s="1259"/>
      <c r="H4" s="1259"/>
      <c r="I4" s="1259"/>
      <c r="J4" s="1259"/>
    </row>
    <row r="5" spans="1:10" ht="16.05" customHeight="1">
      <c r="A5" s="1260" t="s">
        <v>1104</v>
      </c>
      <c r="B5" s="1260"/>
      <c r="C5" s="1260"/>
      <c r="D5" s="1260"/>
      <c r="E5" s="1260"/>
      <c r="F5" s="1260"/>
      <c r="G5" s="1260"/>
      <c r="H5" s="1260"/>
      <c r="I5" s="1260"/>
      <c r="J5" s="1260"/>
    </row>
    <row r="6" spans="1:10" ht="16.05" hidden="1" customHeight="1">
      <c r="A6" s="858"/>
      <c r="B6" s="858"/>
      <c r="C6" s="858"/>
      <c r="D6" s="858"/>
      <c r="E6" s="858"/>
      <c r="F6" s="858"/>
      <c r="G6" s="858"/>
      <c r="H6" s="858"/>
      <c r="I6" s="858"/>
      <c r="J6" s="858"/>
    </row>
    <row r="7" spans="1:10" ht="16.05" hidden="1" customHeight="1">
      <c r="A7" s="858"/>
      <c r="B7" s="858"/>
      <c r="C7" s="858"/>
      <c r="D7" s="858"/>
      <c r="E7" s="858"/>
      <c r="F7" s="858"/>
      <c r="G7" s="858"/>
      <c r="H7" s="858"/>
      <c r="I7" s="858"/>
      <c r="J7" s="858"/>
    </row>
    <row r="8" spans="1:10" ht="8.25" customHeight="1">
      <c r="A8" s="808"/>
      <c r="B8" s="464"/>
      <c r="C8" s="464"/>
      <c r="D8" s="464"/>
      <c r="E8" s="464"/>
      <c r="F8" s="464"/>
      <c r="G8" s="464"/>
      <c r="H8" s="464"/>
      <c r="I8" s="464"/>
      <c r="J8" s="464"/>
    </row>
    <row r="9" spans="1:10" s="448" customFormat="1" ht="14.85" customHeight="1">
      <c r="A9" s="1261" t="s">
        <v>961</v>
      </c>
      <c r="B9" s="1261"/>
      <c r="C9" s="447"/>
      <c r="D9" s="447"/>
      <c r="E9" s="447"/>
      <c r="F9" s="809"/>
      <c r="G9" s="447"/>
      <c r="H9" s="447"/>
      <c r="I9" s="447"/>
      <c r="J9" s="810" t="s">
        <v>962</v>
      </c>
    </row>
    <row r="10" spans="1:10" s="468" customFormat="1" ht="13.8">
      <c r="A10" s="465"/>
      <c r="B10" s="466"/>
      <c r="C10" s="1262" t="s">
        <v>386</v>
      </c>
      <c r="D10" s="1263"/>
      <c r="E10" s="1262" t="s">
        <v>1105</v>
      </c>
      <c r="F10" s="1263"/>
      <c r="G10" s="1262" t="s">
        <v>1106</v>
      </c>
      <c r="H10" s="1263"/>
      <c r="I10" s="1262" t="s">
        <v>1107</v>
      </c>
      <c r="J10" s="1263"/>
    </row>
    <row r="11" spans="1:10" s="468" customFormat="1" ht="14.25" customHeight="1">
      <c r="A11" s="811" t="s">
        <v>379</v>
      </c>
      <c r="B11" s="812"/>
      <c r="C11" s="1251" t="s">
        <v>1108</v>
      </c>
      <c r="D11" s="1252"/>
      <c r="E11" s="1253" t="s">
        <v>1109</v>
      </c>
      <c r="F11" s="1254"/>
      <c r="G11" s="1255" t="s">
        <v>1110</v>
      </c>
      <c r="H11" s="1256"/>
      <c r="I11" s="1257" t="s">
        <v>1111</v>
      </c>
      <c r="J11" s="1258"/>
    </row>
    <row r="12" spans="1:10" s="468" customFormat="1" ht="41.4">
      <c r="A12" s="813" t="s">
        <v>387</v>
      </c>
      <c r="B12" s="814"/>
      <c r="C12" s="830" t="s">
        <v>1112</v>
      </c>
      <c r="D12" s="861" t="s">
        <v>1113</v>
      </c>
      <c r="E12" s="830" t="s">
        <v>1114</v>
      </c>
      <c r="F12" s="830" t="s">
        <v>1115</v>
      </c>
      <c r="G12" s="830" t="s">
        <v>1116</v>
      </c>
      <c r="H12" s="830" t="s">
        <v>1117</v>
      </c>
      <c r="I12" s="830" t="s">
        <v>1118</v>
      </c>
      <c r="J12" s="830" t="s">
        <v>1119</v>
      </c>
    </row>
    <row r="13" spans="1:10" s="482" customFormat="1" ht="48.75" customHeight="1">
      <c r="A13" s="476"/>
      <c r="B13" s="815"/>
      <c r="C13" s="1171" t="s">
        <v>1120</v>
      </c>
      <c r="D13" s="1172" t="s">
        <v>1121</v>
      </c>
      <c r="E13" s="1172" t="s">
        <v>1122</v>
      </c>
      <c r="F13" s="1172" t="s">
        <v>1123</v>
      </c>
      <c r="G13" s="1172" t="s">
        <v>1124</v>
      </c>
      <c r="H13" s="1172" t="s">
        <v>1125</v>
      </c>
      <c r="I13" s="1173" t="s">
        <v>1126</v>
      </c>
      <c r="J13" s="1173" t="s">
        <v>1127</v>
      </c>
    </row>
    <row r="14" spans="1:10" s="468" customFormat="1" ht="20.25" customHeight="1">
      <c r="A14" s="816">
        <v>2015</v>
      </c>
      <c r="B14" s="495"/>
      <c r="C14" s="817">
        <v>18.969857827339677</v>
      </c>
      <c r="D14" s="817">
        <v>17.387613930222184</v>
      </c>
      <c r="E14" s="817">
        <v>5.2723574972273886</v>
      </c>
      <c r="F14" s="817">
        <v>59.166730085286723</v>
      </c>
      <c r="G14" s="817">
        <v>0.80139841571120063</v>
      </c>
      <c r="H14" s="817">
        <v>4.6010373766319796</v>
      </c>
      <c r="I14" s="818">
        <v>22.968676791184834</v>
      </c>
      <c r="J14" s="817">
        <v>68.102861666160678</v>
      </c>
    </row>
    <row r="15" spans="1:10" s="468" customFormat="1" ht="16.05" customHeight="1">
      <c r="A15" s="816">
        <v>2016</v>
      </c>
      <c r="B15" s="495"/>
      <c r="C15" s="817">
        <v>19.271763034294125</v>
      </c>
      <c r="D15" s="817">
        <v>17.856778858990189</v>
      </c>
      <c r="E15" s="817">
        <v>5.9293416076312253</v>
      </c>
      <c r="F15" s="817">
        <v>56.561342133462325</v>
      </c>
      <c r="G15" s="817">
        <v>0.96755291592906834</v>
      </c>
      <c r="H15" s="817">
        <v>6.8464502980658857</v>
      </c>
      <c r="I15" s="818">
        <v>21.875964390208484</v>
      </c>
      <c r="J15" s="817">
        <v>66.576230494260798</v>
      </c>
    </row>
    <row r="16" spans="1:10" s="468" customFormat="1" ht="16.05" customHeight="1">
      <c r="A16" s="816">
        <v>2017</v>
      </c>
      <c r="B16" s="495"/>
      <c r="C16" s="817">
        <v>19.467028355985747</v>
      </c>
      <c r="D16" s="817">
        <v>18.169120787234917</v>
      </c>
      <c r="E16" s="817">
        <v>5.6163834058364221</v>
      </c>
      <c r="F16" s="817">
        <v>52.83550911154726</v>
      </c>
      <c r="G16" s="817">
        <v>1.0892581633441316</v>
      </c>
      <c r="H16" s="817">
        <v>7.0807077237660527</v>
      </c>
      <c r="I16" s="818">
        <v>23.988770662848083</v>
      </c>
      <c r="J16" s="817">
        <v>71.031812812504185</v>
      </c>
    </row>
    <row r="17" spans="1:19" s="468" customFormat="1" ht="16.5" customHeight="1">
      <c r="A17" s="816">
        <v>2018</v>
      </c>
      <c r="B17" s="823"/>
      <c r="C17" s="817">
        <v>18.915073073036428</v>
      </c>
      <c r="D17" s="817">
        <v>17.598240043315467</v>
      </c>
      <c r="E17" s="817">
        <v>5.5003195418057613</v>
      </c>
      <c r="F17" s="817">
        <v>61.162225836007586</v>
      </c>
      <c r="G17" s="817">
        <v>0.97588209001592852</v>
      </c>
      <c r="H17" s="817">
        <v>6.7140487103032758</v>
      </c>
      <c r="I17" s="818">
        <v>24.068476746837828</v>
      </c>
      <c r="J17" s="817">
        <v>72.102470225648986</v>
      </c>
      <c r="K17" s="821"/>
      <c r="L17" s="822"/>
      <c r="M17" s="822"/>
      <c r="N17" s="822"/>
      <c r="O17" s="822"/>
      <c r="P17" s="822"/>
      <c r="Q17" s="822"/>
      <c r="R17" s="822"/>
      <c r="S17" s="822"/>
    </row>
    <row r="18" spans="1:19" s="468" customFormat="1" ht="16.5" customHeight="1">
      <c r="A18" s="816">
        <v>2019</v>
      </c>
      <c r="B18" s="823"/>
      <c r="C18" s="817">
        <v>19.386342384019525</v>
      </c>
      <c r="D18" s="817">
        <v>18.056049608881882</v>
      </c>
      <c r="E18" s="817">
        <v>4.7796278320084049</v>
      </c>
      <c r="F18" s="817">
        <v>62.033098412681554</v>
      </c>
      <c r="G18" s="817">
        <v>1.1056498188177797</v>
      </c>
      <c r="H18" s="817">
        <v>8.734118190132989</v>
      </c>
      <c r="I18" s="817">
        <v>25.51102422152444</v>
      </c>
      <c r="J18" s="817">
        <v>69.009467772337302</v>
      </c>
      <c r="K18" s="821"/>
      <c r="L18" s="822"/>
      <c r="M18" s="822"/>
      <c r="N18" s="822"/>
      <c r="O18" s="822"/>
      <c r="P18" s="822"/>
      <c r="Q18" s="822"/>
      <c r="R18" s="822"/>
      <c r="S18" s="822"/>
    </row>
    <row r="19" spans="1:19" s="468" customFormat="1" ht="16.5" customHeight="1">
      <c r="A19" s="816">
        <v>2020</v>
      </c>
      <c r="B19" s="823"/>
      <c r="C19" s="817">
        <v>18.600947219444649</v>
      </c>
      <c r="D19" s="817">
        <v>17.296402892787857</v>
      </c>
      <c r="E19" s="817">
        <v>4.2657575047379286</v>
      </c>
      <c r="F19" s="817">
        <v>68.026538818280557</v>
      </c>
      <c r="G19" s="817">
        <v>0.71891570353114365</v>
      </c>
      <c r="H19" s="817">
        <v>2.837000349748652</v>
      </c>
      <c r="I19" s="818">
        <v>24.561658093213076</v>
      </c>
      <c r="J19" s="817">
        <v>68.958897996515901</v>
      </c>
      <c r="K19" s="821"/>
      <c r="L19" s="822"/>
      <c r="M19" s="822"/>
      <c r="N19" s="822"/>
      <c r="O19" s="822"/>
      <c r="P19" s="822"/>
      <c r="Q19" s="822"/>
      <c r="R19" s="822"/>
      <c r="S19" s="822"/>
    </row>
    <row r="20" spans="1:19" s="468" customFormat="1" ht="16.5" customHeight="1">
      <c r="A20" s="816">
        <v>2021</v>
      </c>
      <c r="B20" s="823"/>
      <c r="C20" s="817">
        <v>18.657327930347265</v>
      </c>
      <c r="D20" s="817">
        <v>17.197064877580726</v>
      </c>
      <c r="E20" s="817">
        <v>3.1678523586705665</v>
      </c>
      <c r="F20" s="817">
        <v>70.085570362563615</v>
      </c>
      <c r="G20" s="817">
        <v>1.1490923387327492</v>
      </c>
      <c r="H20" s="817">
        <v>7.9768092303328153</v>
      </c>
      <c r="I20" s="818">
        <v>26.192404957063808</v>
      </c>
      <c r="J20" s="817">
        <v>68.184256454742993</v>
      </c>
      <c r="K20" s="821"/>
      <c r="L20" s="822"/>
      <c r="M20" s="822"/>
      <c r="N20" s="822"/>
      <c r="O20" s="822"/>
      <c r="P20" s="822"/>
      <c r="Q20" s="822"/>
      <c r="R20" s="822"/>
      <c r="S20" s="822"/>
    </row>
    <row r="21" spans="1:19" s="468" customFormat="1" ht="16.5" customHeight="1">
      <c r="A21" s="816">
        <v>2022</v>
      </c>
      <c r="B21" s="823"/>
      <c r="C21" s="817">
        <f t="shared" ref="C21:J21" si="0">C32</f>
        <v>19.523639490447152</v>
      </c>
      <c r="D21" s="817">
        <f t="shared" si="0"/>
        <v>18.070895831357955</v>
      </c>
      <c r="E21" s="817">
        <f t="shared" si="0"/>
        <v>3.0036964791129908</v>
      </c>
      <c r="F21" s="817">
        <f t="shared" si="0"/>
        <v>68.493738119904904</v>
      </c>
      <c r="G21" s="817">
        <f t="shared" si="0"/>
        <v>1.2407482706308763</v>
      </c>
      <c r="H21" s="817">
        <f t="shared" si="0"/>
        <v>8.5853827719361284</v>
      </c>
      <c r="I21" s="818">
        <f t="shared" si="0"/>
        <v>25.331317438677413</v>
      </c>
      <c r="J21" s="817">
        <f t="shared" si="0"/>
        <v>66.428160187795442</v>
      </c>
      <c r="K21" s="821"/>
      <c r="L21" s="822"/>
      <c r="M21" s="822"/>
      <c r="N21" s="822"/>
      <c r="O21" s="822"/>
      <c r="P21" s="822"/>
      <c r="Q21" s="822"/>
      <c r="R21" s="822"/>
      <c r="S21" s="822"/>
    </row>
    <row r="22" spans="1:19" s="468" customFormat="1" ht="16.5" customHeight="1">
      <c r="A22" s="816">
        <v>2023</v>
      </c>
      <c r="B22" s="823"/>
      <c r="C22" s="817">
        <f t="shared" ref="C22:J22" si="1">C36</f>
        <v>19.677594192851963</v>
      </c>
      <c r="D22" s="817">
        <f t="shared" si="1"/>
        <v>18.117877839885978</v>
      </c>
      <c r="E22" s="817">
        <f t="shared" si="1"/>
        <v>2.9051825997236747</v>
      </c>
      <c r="F22" s="817">
        <f t="shared" si="1"/>
        <v>59.824019303886736</v>
      </c>
      <c r="G22" s="817">
        <f t="shared" si="1"/>
        <v>1.2580474229025358</v>
      </c>
      <c r="H22" s="817">
        <f t="shared" si="1"/>
        <v>9.2500592194997626</v>
      </c>
      <c r="I22" s="818">
        <f t="shared" si="1"/>
        <v>25.709162584325206</v>
      </c>
      <c r="J22" s="817">
        <f t="shared" si="1"/>
        <v>62.521147689983337</v>
      </c>
      <c r="K22" s="821"/>
      <c r="L22" s="822"/>
      <c r="M22" s="822"/>
      <c r="N22" s="822"/>
      <c r="O22" s="822"/>
      <c r="P22" s="822"/>
      <c r="Q22" s="822"/>
      <c r="R22" s="822"/>
      <c r="S22" s="822"/>
    </row>
    <row r="23" spans="1:19" s="468" customFormat="1" ht="16.5" customHeight="1">
      <c r="A23" s="816">
        <v>2024</v>
      </c>
      <c r="B23" s="823"/>
      <c r="C23" s="817">
        <f t="shared" ref="C23:J23" si="2">C40</f>
        <v>21.2</v>
      </c>
      <c r="D23" s="817">
        <f t="shared" si="2"/>
        <v>19.8</v>
      </c>
      <c r="E23" s="817">
        <f t="shared" si="2"/>
        <v>2.8</v>
      </c>
      <c r="F23" s="817">
        <f t="shared" si="2"/>
        <v>53.3</v>
      </c>
      <c r="G23" s="817">
        <f t="shared" si="2"/>
        <v>1.3</v>
      </c>
      <c r="H23" s="817">
        <f t="shared" si="2"/>
        <v>11.2</v>
      </c>
      <c r="I23" s="818">
        <f t="shared" si="2"/>
        <v>26.8</v>
      </c>
      <c r="J23" s="817">
        <f t="shared" si="2"/>
        <v>62.2</v>
      </c>
      <c r="K23" s="821"/>
      <c r="L23" s="822"/>
      <c r="M23" s="822"/>
      <c r="N23" s="822"/>
      <c r="O23" s="822"/>
      <c r="P23" s="822"/>
      <c r="Q23" s="822"/>
      <c r="R23" s="822"/>
      <c r="S23" s="822"/>
    </row>
    <row r="24" spans="1:19" s="468" customFormat="1" ht="16.5" customHeight="1">
      <c r="A24" s="819">
        <v>2025</v>
      </c>
      <c r="B24" s="1202"/>
      <c r="C24" s="827">
        <f t="shared" ref="C24:J24" si="3">C44</f>
        <v>21.8</v>
      </c>
      <c r="D24" s="827">
        <f t="shared" si="3"/>
        <v>20.5</v>
      </c>
      <c r="E24" s="827">
        <f t="shared" si="3"/>
        <v>2.6</v>
      </c>
      <c r="F24" s="827">
        <f t="shared" si="3"/>
        <v>58.5</v>
      </c>
      <c r="G24" s="827">
        <f t="shared" si="3"/>
        <v>1.1000000000000001</v>
      </c>
      <c r="H24" s="827">
        <f t="shared" si="3"/>
        <v>10.3</v>
      </c>
      <c r="I24" s="828">
        <f t="shared" si="3"/>
        <v>26</v>
      </c>
      <c r="J24" s="827">
        <f t="shared" si="3"/>
        <v>62</v>
      </c>
      <c r="K24" s="822"/>
      <c r="L24" s="822"/>
      <c r="M24" s="822"/>
      <c r="N24" s="822"/>
      <c r="O24" s="822"/>
      <c r="P24" s="822"/>
      <c r="Q24" s="822"/>
      <c r="R24" s="822"/>
      <c r="S24" s="822"/>
    </row>
    <row r="25" spans="1:19" s="822" customFormat="1" ht="21.3" customHeight="1">
      <c r="A25" s="824">
        <v>2021</v>
      </c>
      <c r="B25" s="825" t="s">
        <v>239</v>
      </c>
      <c r="C25" s="817">
        <v>18.502743107528232</v>
      </c>
      <c r="D25" s="817">
        <v>17.303661127458003</v>
      </c>
      <c r="E25" s="817">
        <v>3.9880641164087729</v>
      </c>
      <c r="F25" s="817">
        <v>67.254370792683702</v>
      </c>
      <c r="G25" s="817">
        <v>0.23176544728186829</v>
      </c>
      <c r="H25" s="817">
        <v>2.2316387338957209</v>
      </c>
      <c r="I25" s="818">
        <v>25.151053645046133</v>
      </c>
      <c r="J25" s="817">
        <v>66.535134063772375</v>
      </c>
    </row>
    <row r="26" spans="1:19" s="822" customFormat="1" ht="16.5" customHeight="1">
      <c r="A26" s="824"/>
      <c r="B26" s="825" t="s">
        <v>240</v>
      </c>
      <c r="C26" s="817">
        <v>18.71727928056816</v>
      </c>
      <c r="D26" s="817">
        <v>17.493868808132213</v>
      </c>
      <c r="E26" s="817">
        <v>3.7959224271919902</v>
      </c>
      <c r="F26" s="817">
        <v>68.961882255810892</v>
      </c>
      <c r="G26" s="817">
        <v>0.56186337535280684</v>
      </c>
      <c r="H26" s="817">
        <v>3.9555176754675938</v>
      </c>
      <c r="I26" s="818">
        <v>26.385991677255443</v>
      </c>
      <c r="J26" s="817">
        <v>68.226484550715114</v>
      </c>
    </row>
    <row r="27" spans="1:19" s="822" customFormat="1" ht="16.5" customHeight="1">
      <c r="A27" s="824"/>
      <c r="B27" s="825" t="s">
        <v>237</v>
      </c>
      <c r="C27" s="817">
        <v>18.327337989524978</v>
      </c>
      <c r="D27" s="817">
        <v>16.88315195701454</v>
      </c>
      <c r="E27" s="817">
        <v>3.6386852672472618</v>
      </c>
      <c r="F27" s="817">
        <v>69.644302278653925</v>
      </c>
      <c r="G27" s="817">
        <v>0.81801843527653051</v>
      </c>
      <c r="H27" s="817">
        <v>6.2088019600665385</v>
      </c>
      <c r="I27" s="818">
        <v>26.198633299757425</v>
      </c>
      <c r="J27" s="817">
        <v>67.300762555350119</v>
      </c>
    </row>
    <row r="28" spans="1:19" s="822" customFormat="1" ht="16.5" customHeight="1">
      <c r="A28" s="824"/>
      <c r="B28" s="825" t="s">
        <v>238</v>
      </c>
      <c r="C28" s="817">
        <v>18.657327930347265</v>
      </c>
      <c r="D28" s="817">
        <v>17.197064877580726</v>
      </c>
      <c r="E28" s="817">
        <v>3.1678523586705665</v>
      </c>
      <c r="F28" s="817">
        <v>70.085570362563615</v>
      </c>
      <c r="G28" s="817">
        <v>1.1490923387327492</v>
      </c>
      <c r="H28" s="817">
        <v>7.9768092303328153</v>
      </c>
      <c r="I28" s="818">
        <v>26.192404957063808</v>
      </c>
      <c r="J28" s="817">
        <v>68.184256454742993</v>
      </c>
    </row>
    <row r="29" spans="1:19" s="822" customFormat="1" ht="20.25" customHeight="1">
      <c r="A29" s="824">
        <v>2022</v>
      </c>
      <c r="B29" s="825" t="s">
        <v>239</v>
      </c>
      <c r="C29" s="817">
        <v>19.445951489864555</v>
      </c>
      <c r="D29" s="817">
        <v>18.025118609938826</v>
      </c>
      <c r="E29" s="817">
        <v>3.5202051857637797</v>
      </c>
      <c r="F29" s="817">
        <v>70.333559805260435</v>
      </c>
      <c r="G29" s="817">
        <v>0.32232601292260471</v>
      </c>
      <c r="H29" s="817">
        <v>2.3540335467634779</v>
      </c>
      <c r="I29" s="818">
        <v>25.510808045997713</v>
      </c>
      <c r="J29" s="817">
        <v>67.265745871530356</v>
      </c>
    </row>
    <row r="30" spans="1:19" s="822" customFormat="1" ht="16.5" customHeight="1">
      <c r="A30" s="824"/>
      <c r="B30" s="825" t="s">
        <v>240</v>
      </c>
      <c r="C30" s="817">
        <v>19.079279043620325</v>
      </c>
      <c r="D30" s="817">
        <v>17.667787808543363</v>
      </c>
      <c r="E30" s="817">
        <v>3.3229778295877268</v>
      </c>
      <c r="F30" s="817">
        <v>69.919104351357532</v>
      </c>
      <c r="G30" s="817">
        <v>0.63964408308542664</v>
      </c>
      <c r="H30" s="817">
        <v>4.7644134884497618</v>
      </c>
      <c r="I30" s="818">
        <v>25.692944604065548</v>
      </c>
      <c r="J30" s="817">
        <v>63.907033486992837</v>
      </c>
    </row>
    <row r="31" spans="1:19" s="822" customFormat="1" ht="16.5" customHeight="1">
      <c r="A31" s="824"/>
      <c r="B31" s="1089" t="s">
        <v>237</v>
      </c>
      <c r="C31" s="817">
        <v>19.319335128482727</v>
      </c>
      <c r="D31" s="817">
        <v>17.884442040703455</v>
      </c>
      <c r="E31" s="817">
        <v>3.1746858433357552</v>
      </c>
      <c r="F31" s="817">
        <v>69.10608813489263</v>
      </c>
      <c r="G31" s="817">
        <v>0.90054493189838003</v>
      </c>
      <c r="H31" s="817">
        <v>6.2290982856756685</v>
      </c>
      <c r="I31" s="818">
        <v>24.038854187340121</v>
      </c>
      <c r="J31" s="817">
        <v>64.96253170737441</v>
      </c>
    </row>
    <row r="32" spans="1:19" s="822" customFormat="1" ht="16.5" customHeight="1">
      <c r="A32" s="824"/>
      <c r="B32" s="1089" t="s">
        <v>238</v>
      </c>
      <c r="C32" s="817">
        <v>19.523639490447152</v>
      </c>
      <c r="D32" s="817">
        <v>18.070895831357955</v>
      </c>
      <c r="E32" s="817">
        <v>3.0036964791129908</v>
      </c>
      <c r="F32" s="817">
        <v>68.493738119904904</v>
      </c>
      <c r="G32" s="817">
        <v>1.2407482706308763</v>
      </c>
      <c r="H32" s="817">
        <v>8.5853827719361284</v>
      </c>
      <c r="I32" s="818">
        <v>25.331317438677413</v>
      </c>
      <c r="J32" s="817">
        <v>66.428160187795442</v>
      </c>
    </row>
    <row r="33" spans="1:10" s="822" customFormat="1" ht="20.25" customHeight="1">
      <c r="A33" s="824">
        <v>2023</v>
      </c>
      <c r="B33" s="825" t="s">
        <v>239</v>
      </c>
      <c r="C33" s="817">
        <v>19.166571827866015</v>
      </c>
      <c r="D33" s="817">
        <v>17.666539936148908</v>
      </c>
      <c r="E33" s="817">
        <v>2.9773550268194908</v>
      </c>
      <c r="F33" s="817">
        <v>64.976693754499266</v>
      </c>
      <c r="G33" s="817">
        <v>0.36189559406721261</v>
      </c>
      <c r="H33" s="817">
        <v>2.8415545619767908</v>
      </c>
      <c r="I33" s="818">
        <v>24.610021175254374</v>
      </c>
      <c r="J33" s="817">
        <v>65.275413580258927</v>
      </c>
    </row>
    <row r="34" spans="1:10" s="822" customFormat="1" ht="16.5" customHeight="1">
      <c r="A34" s="824"/>
      <c r="B34" s="1089" t="s">
        <v>240</v>
      </c>
      <c r="C34" s="817">
        <v>19.305593405323556</v>
      </c>
      <c r="D34" s="817">
        <v>17.764264093581332</v>
      </c>
      <c r="E34" s="817">
        <v>3.0728536538097799</v>
      </c>
      <c r="F34" s="817">
        <v>61.791387344217362</v>
      </c>
      <c r="G34" s="817">
        <v>0.73394311530786738</v>
      </c>
      <c r="H34" s="817">
        <v>5.3338370798065311</v>
      </c>
      <c r="I34" s="818">
        <v>23.386360745042815</v>
      </c>
      <c r="J34" s="817">
        <v>63.22438739340798</v>
      </c>
    </row>
    <row r="35" spans="1:10" s="822" customFormat="1" ht="16.5" customHeight="1">
      <c r="A35" s="824"/>
      <c r="B35" s="1089" t="s">
        <v>237</v>
      </c>
      <c r="C35" s="817">
        <v>19.391876261358291</v>
      </c>
      <c r="D35" s="817">
        <v>17.869838154717932</v>
      </c>
      <c r="E35" s="817">
        <v>3.1127603785723128</v>
      </c>
      <c r="F35" s="817">
        <v>58.050865573688171</v>
      </c>
      <c r="G35" s="817">
        <v>1.0265139012000162</v>
      </c>
      <c r="H35" s="817">
        <v>7.8381292405599963</v>
      </c>
      <c r="I35" s="818">
        <v>24.029459494419712</v>
      </c>
      <c r="J35" s="817">
        <v>63.721569981249424</v>
      </c>
    </row>
    <row r="36" spans="1:10" s="822" customFormat="1" ht="16.5" customHeight="1">
      <c r="A36" s="824"/>
      <c r="B36" s="1089" t="s">
        <v>238</v>
      </c>
      <c r="C36" s="817">
        <v>19.677594192851963</v>
      </c>
      <c r="D36" s="817">
        <v>18.117877839885978</v>
      </c>
      <c r="E36" s="817">
        <v>2.9051825997236747</v>
      </c>
      <c r="F36" s="817">
        <v>59.824019303886736</v>
      </c>
      <c r="G36" s="817">
        <v>1.2580474229025358</v>
      </c>
      <c r="H36" s="817">
        <v>9.2500592194997626</v>
      </c>
      <c r="I36" s="818">
        <v>25.709162584325206</v>
      </c>
      <c r="J36" s="817">
        <v>62.521147689983337</v>
      </c>
    </row>
    <row r="37" spans="1:10" s="822" customFormat="1" ht="20.25" customHeight="1">
      <c r="A37" s="824">
        <v>2024</v>
      </c>
      <c r="B37" s="825" t="s">
        <v>239</v>
      </c>
      <c r="C37" s="817">
        <v>22.2</v>
      </c>
      <c r="D37" s="817">
        <v>20.6</v>
      </c>
      <c r="E37" s="817">
        <v>2.9</v>
      </c>
      <c r="F37" s="817">
        <v>58.9</v>
      </c>
      <c r="G37" s="817">
        <v>0.5</v>
      </c>
      <c r="H37" s="817">
        <v>3.4</v>
      </c>
      <c r="I37" s="818">
        <v>29.3</v>
      </c>
      <c r="J37" s="817">
        <v>60.1</v>
      </c>
    </row>
    <row r="38" spans="1:10" s="822" customFormat="1" ht="16.5" customHeight="1">
      <c r="A38" s="824"/>
      <c r="B38" s="1089" t="s">
        <v>240</v>
      </c>
      <c r="C38" s="817">
        <v>20.399999999999999</v>
      </c>
      <c r="D38" s="817">
        <v>19</v>
      </c>
      <c r="E38" s="817">
        <v>3</v>
      </c>
      <c r="F38" s="817">
        <v>59.1</v>
      </c>
      <c r="G38" s="817">
        <v>0.7</v>
      </c>
      <c r="H38" s="817">
        <v>6.2</v>
      </c>
      <c r="I38" s="818">
        <v>25.6</v>
      </c>
      <c r="J38" s="817">
        <v>58.8</v>
      </c>
    </row>
    <row r="39" spans="1:10" s="822" customFormat="1" ht="16.5" customHeight="1">
      <c r="A39" s="824"/>
      <c r="B39" s="1089" t="s">
        <v>237</v>
      </c>
      <c r="C39" s="817">
        <v>20.5</v>
      </c>
      <c r="D39" s="817">
        <v>19.100000000000001</v>
      </c>
      <c r="E39" s="817">
        <v>2.9</v>
      </c>
      <c r="F39" s="817">
        <v>55</v>
      </c>
      <c r="G39" s="817">
        <v>1</v>
      </c>
      <c r="H39" s="817">
        <v>8.9</v>
      </c>
      <c r="I39" s="818">
        <v>27.2</v>
      </c>
      <c r="J39" s="817">
        <v>60.1</v>
      </c>
    </row>
    <row r="40" spans="1:10" s="822" customFormat="1" ht="16.5" customHeight="1">
      <c r="A40" s="824"/>
      <c r="B40" s="1089" t="s">
        <v>238</v>
      </c>
      <c r="C40" s="817">
        <v>21.2</v>
      </c>
      <c r="D40" s="817">
        <v>19.8</v>
      </c>
      <c r="E40" s="817">
        <v>2.8</v>
      </c>
      <c r="F40" s="817">
        <v>53.3</v>
      </c>
      <c r="G40" s="817">
        <v>1.3</v>
      </c>
      <c r="H40" s="817">
        <v>11.2</v>
      </c>
      <c r="I40" s="818">
        <v>26.8</v>
      </c>
      <c r="J40" s="817">
        <v>62.2</v>
      </c>
    </row>
    <row r="41" spans="1:10" s="822" customFormat="1" ht="20.25" customHeight="1">
      <c r="A41" s="824">
        <v>2025</v>
      </c>
      <c r="B41" s="825" t="s">
        <v>239</v>
      </c>
      <c r="C41" s="817">
        <v>20.6</v>
      </c>
      <c r="D41" s="817">
        <v>19.100000000000001</v>
      </c>
      <c r="E41" s="817">
        <v>2.7</v>
      </c>
      <c r="F41" s="817">
        <v>53.7</v>
      </c>
      <c r="G41" s="817">
        <v>0.4</v>
      </c>
      <c r="H41" s="817">
        <v>3</v>
      </c>
      <c r="I41" s="818">
        <v>25.7</v>
      </c>
      <c r="J41" s="817">
        <v>63.1</v>
      </c>
    </row>
    <row r="42" spans="1:10" s="822" customFormat="1" ht="16.5" customHeight="1">
      <c r="A42" s="824"/>
      <c r="B42" s="1200" t="s">
        <v>240</v>
      </c>
      <c r="C42" s="817">
        <v>20.2</v>
      </c>
      <c r="D42" s="817">
        <v>18.8</v>
      </c>
      <c r="E42" s="817">
        <v>2.6</v>
      </c>
      <c r="F42" s="817">
        <v>54.8</v>
      </c>
      <c r="G42" s="817">
        <v>0.6</v>
      </c>
      <c r="H42" s="817">
        <v>5.8</v>
      </c>
      <c r="I42" s="1199">
        <v>26.1</v>
      </c>
      <c r="J42" s="817">
        <v>62.1</v>
      </c>
    </row>
    <row r="43" spans="1:10" s="822" customFormat="1" ht="16.5" customHeight="1">
      <c r="A43" s="824"/>
      <c r="B43" s="1200" t="s">
        <v>237</v>
      </c>
      <c r="C43" s="817">
        <v>20.9</v>
      </c>
      <c r="D43" s="817">
        <v>19.5</v>
      </c>
      <c r="E43" s="817">
        <v>2.7</v>
      </c>
      <c r="F43" s="817">
        <v>56.4</v>
      </c>
      <c r="G43" s="817">
        <v>0.8</v>
      </c>
      <c r="H43" s="817">
        <v>8.3000000000000007</v>
      </c>
      <c r="I43" s="1199">
        <v>26.5</v>
      </c>
      <c r="J43" s="817">
        <v>63</v>
      </c>
    </row>
    <row r="44" spans="1:10" s="822" customFormat="1" ht="16.5" customHeight="1">
      <c r="A44" s="824"/>
      <c r="B44" s="1089" t="s">
        <v>238</v>
      </c>
      <c r="C44" s="817">
        <v>21.8</v>
      </c>
      <c r="D44" s="817">
        <v>20.5</v>
      </c>
      <c r="E44" s="817">
        <v>2.6</v>
      </c>
      <c r="F44" s="817">
        <v>58.5</v>
      </c>
      <c r="G44" s="817">
        <v>1.1000000000000001</v>
      </c>
      <c r="H44" s="817">
        <v>10.3</v>
      </c>
      <c r="I44" s="1199">
        <v>26</v>
      </c>
      <c r="J44" s="817">
        <v>62</v>
      </c>
    </row>
    <row r="45" spans="1:10" s="822" customFormat="1" ht="20.55" customHeight="1">
      <c r="A45" s="824">
        <v>2026</v>
      </c>
      <c r="B45" s="825" t="s">
        <v>239</v>
      </c>
      <c r="C45" s="817">
        <v>20.8</v>
      </c>
      <c r="D45" s="817">
        <v>19.5</v>
      </c>
      <c r="E45" s="817">
        <v>2.6</v>
      </c>
      <c r="F45" s="817">
        <v>56.9</v>
      </c>
      <c r="G45" s="817">
        <v>0.3</v>
      </c>
      <c r="H45" s="817">
        <v>2.1</v>
      </c>
      <c r="I45" s="818">
        <v>28.2</v>
      </c>
      <c r="J45" s="817">
        <v>60.4</v>
      </c>
    </row>
    <row r="46" spans="1:10" s="822" customFormat="1" ht="16.5" customHeight="1">
      <c r="A46" s="824"/>
      <c r="B46" s="1089" t="s">
        <v>240</v>
      </c>
      <c r="C46" s="817">
        <v>21.3</v>
      </c>
      <c r="D46" s="817">
        <v>20.100000000000001</v>
      </c>
      <c r="E46" s="817">
        <v>2.8</v>
      </c>
      <c r="F46" s="817">
        <v>57</v>
      </c>
      <c r="G46" s="817">
        <v>0.5</v>
      </c>
      <c r="H46" s="817">
        <v>4.4000000000000004</v>
      </c>
      <c r="I46" s="1199">
        <v>26.2</v>
      </c>
      <c r="J46" s="817">
        <v>62</v>
      </c>
    </row>
    <row r="47" spans="1:10" ht="21.3" customHeight="1">
      <c r="A47" s="462" t="s">
        <v>1128</v>
      </c>
      <c r="B47" s="462"/>
      <c r="C47" s="462"/>
      <c r="D47" s="462"/>
      <c r="E47" s="462"/>
      <c r="F47" s="462"/>
      <c r="G47" s="462"/>
      <c r="H47" s="462"/>
      <c r="I47" s="462"/>
      <c r="J47" s="834" t="s">
        <v>1129</v>
      </c>
    </row>
    <row r="48" spans="1:10" ht="13.35" customHeight="1">
      <c r="A48" s="445" t="s">
        <v>1130</v>
      </c>
      <c r="J48" s="832" t="s">
        <v>1131</v>
      </c>
    </row>
    <row r="49" spans="1:18" ht="13.8" customHeight="1"/>
    <row r="50" spans="1:18" ht="13.8">
      <c r="A50" s="1653" t="s">
        <v>1132</v>
      </c>
      <c r="B50" s="444"/>
      <c r="C50" s="444"/>
      <c r="D50" s="444"/>
      <c r="E50" s="444"/>
      <c r="F50" s="444"/>
      <c r="G50" s="444"/>
      <c r="H50" s="444"/>
      <c r="I50" s="444"/>
      <c r="J50" s="444"/>
    </row>
    <row r="51" spans="1:18" s="1658" customFormat="1" ht="13.8">
      <c r="A51" s="1654"/>
      <c r="B51" s="1655"/>
      <c r="C51" s="1655"/>
      <c r="D51" s="1655"/>
      <c r="E51" s="1655"/>
      <c r="F51" s="1655"/>
      <c r="G51" s="1655"/>
      <c r="H51" s="1655"/>
      <c r="I51" s="1655"/>
      <c r="J51" s="1655"/>
      <c r="K51" s="1656"/>
      <c r="L51" s="1657"/>
      <c r="M51" s="1656"/>
      <c r="N51" s="1656"/>
      <c r="O51" s="1656"/>
      <c r="P51" s="1656"/>
      <c r="Q51" s="1656"/>
      <c r="R51" s="1656"/>
    </row>
  </sheetData>
  <mergeCells count="11">
    <mergeCell ref="C11:D11"/>
    <mergeCell ref="E11:F11"/>
    <mergeCell ref="G11:H11"/>
    <mergeCell ref="I11:J11"/>
    <mergeCell ref="A4:J4"/>
    <mergeCell ref="A5:J5"/>
    <mergeCell ref="A9:B9"/>
    <mergeCell ref="C10:D10"/>
    <mergeCell ref="E10:F10"/>
    <mergeCell ref="G10:H10"/>
    <mergeCell ref="I10:J10"/>
  </mergeCells>
  <printOptions horizontalCentered="1"/>
  <pageMargins left="0.4" right="0.4" top="0.5" bottom="0.5" header="0.3" footer="0.3"/>
  <pageSetup paperSize="9" scale="6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1">
    <pageSetUpPr fitToPage="1"/>
  </sheetPr>
  <dimension ref="A1:AA51"/>
  <sheetViews>
    <sheetView zoomScale="80" zoomScaleNormal="80" workbookViewId="0">
      <pane ySplit="13" topLeftCell="A42" activePane="bottomLeft" state="frozen"/>
      <selection activeCell="B2" sqref="B2"/>
      <selection pane="bottomLeft" activeCell="B2" sqref="B2"/>
    </sheetView>
  </sheetViews>
  <sheetFormatPr defaultColWidth="9.21875" defaultRowHeight="13.2"/>
  <cols>
    <col min="1" max="2" width="9.77734375" style="445" customWidth="1"/>
    <col min="3" max="18" width="12.77734375" style="445" customWidth="1"/>
    <col min="19" max="16384" width="9.21875" style="445"/>
  </cols>
  <sheetData>
    <row r="1" spans="1:18" ht="18" customHeight="1">
      <c r="A1" s="807" t="s">
        <v>1133</v>
      </c>
      <c r="B1" s="807"/>
      <c r="C1" s="807"/>
      <c r="D1" s="807"/>
      <c r="E1" s="807"/>
      <c r="F1" s="807"/>
      <c r="G1" s="807"/>
      <c r="H1" s="807"/>
      <c r="I1" s="807"/>
      <c r="J1" s="807"/>
      <c r="K1" s="807"/>
      <c r="L1" s="807"/>
      <c r="M1" s="807"/>
      <c r="N1" s="807"/>
      <c r="O1" s="807"/>
      <c r="P1" s="807"/>
      <c r="Q1" s="807"/>
      <c r="R1" s="807"/>
    </row>
    <row r="2" spans="1:18" ht="18" customHeight="1">
      <c r="A2" s="807" t="s">
        <v>1102</v>
      </c>
      <c r="B2" s="807"/>
      <c r="C2" s="807"/>
      <c r="D2" s="807"/>
      <c r="E2" s="807"/>
      <c r="F2" s="807"/>
      <c r="G2" s="807"/>
      <c r="H2" s="807"/>
      <c r="I2" s="807"/>
      <c r="J2" s="807"/>
      <c r="K2" s="807"/>
      <c r="L2" s="807"/>
      <c r="M2" s="807"/>
      <c r="N2" s="807"/>
      <c r="O2" s="807"/>
      <c r="P2" s="807"/>
      <c r="Q2" s="807"/>
      <c r="R2" s="807"/>
    </row>
    <row r="3" spans="1:18" ht="16.05" customHeight="1">
      <c r="A3" s="808" t="s">
        <v>66</v>
      </c>
      <c r="B3" s="464"/>
      <c r="C3" s="464"/>
      <c r="D3" s="464"/>
      <c r="E3" s="464"/>
      <c r="F3" s="464"/>
      <c r="G3" s="464"/>
      <c r="H3" s="464"/>
      <c r="I3" s="464"/>
      <c r="J3" s="464"/>
      <c r="K3" s="464"/>
      <c r="L3" s="464"/>
      <c r="M3" s="464"/>
      <c r="N3" s="464"/>
      <c r="O3" s="464"/>
      <c r="P3" s="464"/>
      <c r="Q3" s="464"/>
      <c r="R3" s="464"/>
    </row>
    <row r="4" spans="1:18" ht="17.399999999999999">
      <c r="A4" s="1264" t="s">
        <v>1134</v>
      </c>
      <c r="B4" s="1264"/>
      <c r="C4" s="1264"/>
      <c r="D4" s="1264"/>
      <c r="E4" s="1264"/>
      <c r="F4" s="1264"/>
      <c r="G4" s="1264"/>
      <c r="H4" s="1264"/>
      <c r="I4" s="1264"/>
      <c r="J4" s="1264"/>
      <c r="K4" s="1264"/>
      <c r="L4" s="1264"/>
      <c r="M4" s="1264"/>
      <c r="N4" s="1264"/>
      <c r="O4" s="1264"/>
      <c r="P4" s="1264"/>
      <c r="Q4" s="1264"/>
      <c r="R4" s="1264"/>
    </row>
    <row r="5" spans="1:18" ht="16.05" customHeight="1">
      <c r="A5" s="1265" t="s">
        <v>1135</v>
      </c>
      <c r="B5" s="1265"/>
      <c r="C5" s="1265"/>
      <c r="D5" s="1265"/>
      <c r="E5" s="1265"/>
      <c r="F5" s="1265"/>
      <c r="G5" s="1265"/>
      <c r="H5" s="1265"/>
      <c r="I5" s="1265"/>
      <c r="J5" s="1265"/>
      <c r="K5" s="1265"/>
      <c r="L5" s="1265"/>
      <c r="M5" s="1265"/>
      <c r="N5" s="1265"/>
      <c r="O5" s="1265"/>
      <c r="P5" s="1265"/>
      <c r="Q5" s="1265"/>
      <c r="R5" s="1265"/>
    </row>
    <row r="6" spans="1:18" ht="16.05" customHeight="1">
      <c r="A6" s="808"/>
      <c r="B6" s="464"/>
      <c r="C6" s="464"/>
      <c r="D6" s="464"/>
      <c r="E6" s="464"/>
      <c r="F6" s="464"/>
      <c r="G6" s="464"/>
      <c r="H6" s="464"/>
      <c r="I6" s="464"/>
      <c r="J6" s="464"/>
      <c r="K6" s="464"/>
      <c r="L6" s="464"/>
      <c r="M6" s="464"/>
      <c r="N6" s="464"/>
      <c r="O6" s="464"/>
      <c r="P6" s="464"/>
      <c r="Q6" s="464"/>
      <c r="R6" s="464"/>
    </row>
    <row r="7" spans="1:18" s="448" customFormat="1" ht="14.85" customHeight="1">
      <c r="A7" s="1261" t="s">
        <v>961</v>
      </c>
      <c r="B7" s="1259"/>
      <c r="C7" s="447"/>
      <c r="D7" s="447"/>
      <c r="E7" s="447"/>
      <c r="F7" s="447"/>
      <c r="G7" s="447"/>
      <c r="H7" s="447"/>
      <c r="I7" s="447"/>
      <c r="J7" s="447"/>
      <c r="K7" s="447"/>
      <c r="L7" s="447"/>
      <c r="M7" s="447"/>
      <c r="N7" s="447"/>
      <c r="O7" s="447"/>
      <c r="P7" s="447"/>
      <c r="Q7" s="447"/>
      <c r="R7" s="810" t="s">
        <v>962</v>
      </c>
    </row>
    <row r="8" spans="1:18" s="468" customFormat="1" ht="14.55" customHeight="1">
      <c r="A8" s="465"/>
      <c r="B8" s="466"/>
      <c r="C8" s="1262" t="s">
        <v>386</v>
      </c>
      <c r="D8" s="1266"/>
      <c r="E8" s="1266"/>
      <c r="F8" s="1263"/>
      <c r="G8" s="1262" t="s">
        <v>1105</v>
      </c>
      <c r="H8" s="1266"/>
      <c r="I8" s="1266"/>
      <c r="J8" s="1263"/>
      <c r="K8" s="1262" t="s">
        <v>1106</v>
      </c>
      <c r="L8" s="1266"/>
      <c r="M8" s="1266"/>
      <c r="N8" s="1263"/>
      <c r="O8" s="1262" t="s">
        <v>1107</v>
      </c>
      <c r="P8" s="1266"/>
      <c r="Q8" s="1266"/>
      <c r="R8" s="1263"/>
    </row>
    <row r="9" spans="1:18" s="468" customFormat="1" ht="14.25" customHeight="1">
      <c r="A9" s="811"/>
      <c r="B9" s="812"/>
      <c r="C9" s="1253" t="s">
        <v>1108</v>
      </c>
      <c r="D9" s="1267"/>
      <c r="E9" s="1267"/>
      <c r="F9" s="1254"/>
      <c r="G9" s="1253" t="s">
        <v>1109</v>
      </c>
      <c r="H9" s="1267"/>
      <c r="I9" s="1267"/>
      <c r="J9" s="1254"/>
      <c r="K9" s="1253" t="s">
        <v>1110</v>
      </c>
      <c r="L9" s="1267"/>
      <c r="M9" s="1267"/>
      <c r="N9" s="1254"/>
      <c r="O9" s="1253" t="s">
        <v>1111</v>
      </c>
      <c r="P9" s="1267" t="s">
        <v>1111</v>
      </c>
      <c r="Q9" s="1267"/>
      <c r="R9" s="1254"/>
    </row>
    <row r="10" spans="1:18" s="468" customFormat="1" ht="51.75" customHeight="1">
      <c r="A10" s="811" t="s">
        <v>379</v>
      </c>
      <c r="B10" s="812"/>
      <c r="C10" s="1268" t="s">
        <v>1112</v>
      </c>
      <c r="D10" s="1269"/>
      <c r="E10" s="1268" t="s">
        <v>1113</v>
      </c>
      <c r="F10" s="1269"/>
      <c r="G10" s="1268" t="s">
        <v>1114</v>
      </c>
      <c r="H10" s="1269"/>
      <c r="I10" s="1268" t="s">
        <v>1115</v>
      </c>
      <c r="J10" s="1269"/>
      <c r="K10" s="1268" t="s">
        <v>1136</v>
      </c>
      <c r="L10" s="1269"/>
      <c r="M10" s="1268" t="s">
        <v>1117</v>
      </c>
      <c r="N10" s="1269"/>
      <c r="O10" s="1268" t="s">
        <v>1118</v>
      </c>
      <c r="P10" s="1269"/>
      <c r="Q10" s="1268" t="s">
        <v>1119</v>
      </c>
      <c r="R10" s="1269"/>
    </row>
    <row r="11" spans="1:18" s="482" customFormat="1" ht="40.5" customHeight="1">
      <c r="A11" s="813" t="s">
        <v>387</v>
      </c>
      <c r="B11" s="814"/>
      <c r="C11" s="1270" t="s">
        <v>1120</v>
      </c>
      <c r="D11" s="1271"/>
      <c r="E11" s="1270" t="s">
        <v>1121</v>
      </c>
      <c r="F11" s="1271"/>
      <c r="G11" s="1270" t="s">
        <v>1122</v>
      </c>
      <c r="H11" s="1271"/>
      <c r="I11" s="1270" t="s">
        <v>1123</v>
      </c>
      <c r="J11" s="1271"/>
      <c r="K11" s="1270" t="s">
        <v>1124</v>
      </c>
      <c r="L11" s="1271"/>
      <c r="M11" s="1270" t="s">
        <v>1125</v>
      </c>
      <c r="N11" s="1271"/>
      <c r="O11" s="1272" t="s">
        <v>1126</v>
      </c>
      <c r="P11" s="1273"/>
      <c r="Q11" s="1272" t="s">
        <v>1127</v>
      </c>
      <c r="R11" s="1273"/>
    </row>
    <row r="12" spans="1:18" s="482" customFormat="1" ht="15.6">
      <c r="A12" s="813"/>
      <c r="B12" s="814"/>
      <c r="C12" s="473" t="s">
        <v>1137</v>
      </c>
      <c r="D12" s="474" t="s">
        <v>1138</v>
      </c>
      <c r="E12" s="473" t="s">
        <v>1137</v>
      </c>
      <c r="F12" s="474" t="s">
        <v>1138</v>
      </c>
      <c r="G12" s="473" t="s">
        <v>1137</v>
      </c>
      <c r="H12" s="474" t="s">
        <v>1138</v>
      </c>
      <c r="I12" s="473" t="s">
        <v>1137</v>
      </c>
      <c r="J12" s="474" t="s">
        <v>1138</v>
      </c>
      <c r="K12" s="473" t="s">
        <v>1137</v>
      </c>
      <c r="L12" s="474" t="s">
        <v>1138</v>
      </c>
      <c r="M12" s="473" t="s">
        <v>1137</v>
      </c>
      <c r="N12" s="474" t="s">
        <v>1138</v>
      </c>
      <c r="O12" s="473" t="s">
        <v>1137</v>
      </c>
      <c r="P12" s="474" t="s">
        <v>1138</v>
      </c>
      <c r="Q12" s="473" t="s">
        <v>1137</v>
      </c>
      <c r="R12" s="474" t="s">
        <v>1138</v>
      </c>
    </row>
    <row r="13" spans="1:18" s="482" customFormat="1" ht="13.8">
      <c r="A13" s="476"/>
      <c r="B13" s="477"/>
      <c r="C13" s="514" t="s">
        <v>502</v>
      </c>
      <c r="D13" s="515" t="s">
        <v>1139</v>
      </c>
      <c r="E13" s="514" t="s">
        <v>502</v>
      </c>
      <c r="F13" s="515" t="s">
        <v>1139</v>
      </c>
      <c r="G13" s="514" t="s">
        <v>502</v>
      </c>
      <c r="H13" s="515" t="s">
        <v>1139</v>
      </c>
      <c r="I13" s="514" t="s">
        <v>502</v>
      </c>
      <c r="J13" s="515" t="s">
        <v>1139</v>
      </c>
      <c r="K13" s="514" t="s">
        <v>502</v>
      </c>
      <c r="L13" s="515" t="s">
        <v>1139</v>
      </c>
      <c r="M13" s="514" t="s">
        <v>502</v>
      </c>
      <c r="N13" s="515" t="s">
        <v>1139</v>
      </c>
      <c r="O13" s="514" t="s">
        <v>502</v>
      </c>
      <c r="P13" s="515" t="s">
        <v>1139</v>
      </c>
      <c r="Q13" s="514" t="s">
        <v>502</v>
      </c>
      <c r="R13" s="515" t="s">
        <v>1139</v>
      </c>
    </row>
    <row r="14" spans="1:18" s="468" customFormat="1" ht="20.25" customHeight="1">
      <c r="A14" s="816">
        <v>2015</v>
      </c>
      <c r="B14" s="495"/>
      <c r="C14" s="817">
        <v>18.600730625169383</v>
      </c>
      <c r="D14" s="817">
        <v>19.832341893840574</v>
      </c>
      <c r="E14" s="817">
        <v>16.735271421881436</v>
      </c>
      <c r="F14" s="817">
        <v>18.216900006380616</v>
      </c>
      <c r="G14" s="817">
        <v>3.8767955535909802</v>
      </c>
      <c r="H14" s="817">
        <v>5.2026089376128049</v>
      </c>
      <c r="I14" s="817">
        <v>54.279327151034288</v>
      </c>
      <c r="J14" s="817">
        <v>66.987571281917397</v>
      </c>
      <c r="K14" s="817">
        <v>1.4271060079241626</v>
      </c>
      <c r="L14" s="817">
        <v>0.83190298773612792</v>
      </c>
      <c r="M14" s="817">
        <v>13.332618958819719</v>
      </c>
      <c r="N14" s="817">
        <v>4.3221548984051239</v>
      </c>
      <c r="O14" s="817">
        <v>25.546143932287723</v>
      </c>
      <c r="P14" s="817">
        <v>24.201462878733036</v>
      </c>
      <c r="Q14" s="817">
        <v>72.398712145977498</v>
      </c>
      <c r="R14" s="817">
        <v>66.029843309930087</v>
      </c>
    </row>
    <row r="15" spans="1:18" s="468" customFormat="1" ht="16.05" customHeight="1">
      <c r="A15" s="816">
        <v>2016</v>
      </c>
      <c r="B15" s="495"/>
      <c r="C15" s="817">
        <v>20.132937220848717</v>
      </c>
      <c r="D15" s="817">
        <v>19.41763389135777</v>
      </c>
      <c r="E15" s="817">
        <v>18.448911185340449</v>
      </c>
      <c r="F15" s="817">
        <v>18.05515620594743</v>
      </c>
      <c r="G15" s="817">
        <v>5.3442401063207665</v>
      </c>
      <c r="H15" s="817">
        <v>5.6705282198017173</v>
      </c>
      <c r="I15" s="817">
        <v>49.902124060724972</v>
      </c>
      <c r="J15" s="817">
        <v>65.735301348842341</v>
      </c>
      <c r="K15" s="817">
        <v>1.534867873411764</v>
      </c>
      <c r="L15" s="817">
        <v>0.65309785930408182</v>
      </c>
      <c r="M15" s="817">
        <v>13.328455676449014</v>
      </c>
      <c r="N15" s="817">
        <v>3.6546757959464138</v>
      </c>
      <c r="O15" s="817">
        <v>24.111922536187013</v>
      </c>
      <c r="P15" s="817">
        <v>23.233689884262404</v>
      </c>
      <c r="Q15" s="817">
        <v>71.278134542096566</v>
      </c>
      <c r="R15" s="817">
        <v>64.028813855861145</v>
      </c>
    </row>
    <row r="16" spans="1:18" s="468" customFormat="1" ht="16.05" customHeight="1">
      <c r="A16" s="816">
        <v>2017</v>
      </c>
      <c r="B16" s="495"/>
      <c r="C16" s="817">
        <v>20.965353748732102</v>
      </c>
      <c r="D16" s="817">
        <v>19.167046567839776</v>
      </c>
      <c r="E16" s="817">
        <v>19.395197227044527</v>
      </c>
      <c r="F16" s="817">
        <v>18.267932103582609</v>
      </c>
      <c r="G16" s="817">
        <v>5.4504189274211772</v>
      </c>
      <c r="H16" s="817">
        <v>5.3808341955838879</v>
      </c>
      <c r="I16" s="817">
        <v>50.642033148029327</v>
      </c>
      <c r="J16" s="817">
        <v>59.047647890653955</v>
      </c>
      <c r="K16" s="817">
        <v>1.5326388471594066</v>
      </c>
      <c r="L16" s="817">
        <v>0.92254108170727323</v>
      </c>
      <c r="M16" s="817">
        <v>12.956486553317401</v>
      </c>
      <c r="N16" s="817">
        <v>3.7635475030266132</v>
      </c>
      <c r="O16" s="817">
        <v>34.05332975638494</v>
      </c>
      <c r="P16" s="817">
        <v>19.611375856445154</v>
      </c>
      <c r="Q16" s="817">
        <v>71.332263282446732</v>
      </c>
      <c r="R16" s="817">
        <v>66.357627316329271</v>
      </c>
    </row>
    <row r="17" spans="1:27" s="468" customFormat="1" ht="16.5" customHeight="1">
      <c r="A17" s="816">
        <v>2018</v>
      </c>
      <c r="B17" s="823"/>
      <c r="C17" s="817">
        <v>20.85016921915404</v>
      </c>
      <c r="D17" s="817">
        <v>18.080339545476839</v>
      </c>
      <c r="E17" s="817">
        <v>19.367881570224394</v>
      </c>
      <c r="F17" s="817">
        <v>17.256340091937979</v>
      </c>
      <c r="G17" s="817">
        <v>5.5493795016287741</v>
      </c>
      <c r="H17" s="817">
        <v>5.7387919613228675</v>
      </c>
      <c r="I17" s="817">
        <v>63.79183666278746</v>
      </c>
      <c r="J17" s="817">
        <v>67.887756770078482</v>
      </c>
      <c r="K17" s="817">
        <v>1.5195436850237836</v>
      </c>
      <c r="L17" s="817">
        <v>0.66153861010394821</v>
      </c>
      <c r="M17" s="817">
        <v>14.279429920961498</v>
      </c>
      <c r="N17" s="817">
        <v>0.78793657667363981</v>
      </c>
      <c r="O17" s="817">
        <v>32.886618071955347</v>
      </c>
      <c r="P17" s="817">
        <v>23.015286628829053</v>
      </c>
      <c r="Q17" s="817">
        <v>69.553061726235725</v>
      </c>
      <c r="R17" s="817">
        <v>64.206840601979636</v>
      </c>
      <c r="S17" s="821"/>
      <c r="T17" s="822"/>
      <c r="U17" s="822"/>
      <c r="V17" s="822"/>
      <c r="W17" s="822"/>
      <c r="X17" s="822"/>
      <c r="Y17" s="822"/>
      <c r="Z17" s="822"/>
      <c r="AA17" s="822"/>
    </row>
    <row r="18" spans="1:27" s="468" customFormat="1" ht="16.5" customHeight="1">
      <c r="A18" s="816">
        <v>2019</v>
      </c>
      <c r="B18" s="823"/>
      <c r="C18" s="817">
        <v>21.106800361327927</v>
      </c>
      <c r="D18" s="817">
        <v>18.615236441952433</v>
      </c>
      <c r="E18" s="817">
        <v>19.747434204402765</v>
      </c>
      <c r="F18" s="817">
        <v>17.6645439186053</v>
      </c>
      <c r="G18" s="817">
        <v>4.9061360044886229</v>
      </c>
      <c r="H18" s="817">
        <v>4.4836551314032356</v>
      </c>
      <c r="I18" s="817">
        <v>66.121131279879421</v>
      </c>
      <c r="J18" s="817">
        <v>74.3</v>
      </c>
      <c r="K18" s="817">
        <v>1.7689807467050538</v>
      </c>
      <c r="L18" s="817">
        <v>0.85568866663546894</v>
      </c>
      <c r="M18" s="817">
        <v>14.236546284825435</v>
      </c>
      <c r="N18" s="817">
        <v>4.8338947689267737</v>
      </c>
      <c r="O18" s="817">
        <v>36.021025234310287</v>
      </c>
      <c r="P18" s="817">
        <v>21.346856160836168</v>
      </c>
      <c r="Q18" s="817">
        <v>65.79042246074178</v>
      </c>
      <c r="R18" s="817">
        <v>68.545174707376475</v>
      </c>
      <c r="S18" s="821"/>
      <c r="T18" s="822"/>
      <c r="U18" s="822"/>
      <c r="V18" s="822"/>
      <c r="W18" s="822"/>
      <c r="X18" s="822"/>
      <c r="Y18" s="822"/>
      <c r="Z18" s="822"/>
      <c r="AA18" s="822"/>
    </row>
    <row r="19" spans="1:27" s="468" customFormat="1" ht="16.5" customHeight="1">
      <c r="A19" s="816">
        <v>2020</v>
      </c>
      <c r="B19" s="823"/>
      <c r="C19" s="817">
        <v>19.944841476862038</v>
      </c>
      <c r="D19" s="817">
        <v>17.822268805863196</v>
      </c>
      <c r="E19" s="817">
        <v>18.635231270017012</v>
      </c>
      <c r="F19" s="817">
        <v>16.950209769663147</v>
      </c>
      <c r="G19" s="817">
        <v>4.640487787519489</v>
      </c>
      <c r="H19" s="817">
        <v>4.129130247600072</v>
      </c>
      <c r="I19" s="817">
        <v>69.977207855834365</v>
      </c>
      <c r="J19" s="817">
        <v>74.32395514052304</v>
      </c>
      <c r="K19" s="817">
        <v>0.96234168108722795</v>
      </c>
      <c r="L19" s="817">
        <v>0.76268793014908354</v>
      </c>
      <c r="M19" s="817">
        <v>9.4393740907523771</v>
      </c>
      <c r="N19" s="817">
        <v>-5.2696911119942849</v>
      </c>
      <c r="O19" s="817">
        <v>34.023952085848038</v>
      </c>
      <c r="P19" s="817">
        <v>21.615020703262523</v>
      </c>
      <c r="Q19" s="817">
        <v>66.326155961720602</v>
      </c>
      <c r="R19" s="817">
        <v>71.139952628367993</v>
      </c>
      <c r="S19" s="821"/>
      <c r="T19" s="822"/>
      <c r="U19" s="822"/>
      <c r="V19" s="822"/>
      <c r="W19" s="822"/>
      <c r="X19" s="822"/>
      <c r="Y19" s="822"/>
      <c r="Z19" s="822"/>
      <c r="AA19" s="822"/>
    </row>
    <row r="20" spans="1:27" s="468" customFormat="1" ht="16.5" customHeight="1">
      <c r="A20" s="816">
        <v>2021</v>
      </c>
      <c r="B20" s="823"/>
      <c r="C20" s="817">
        <v>20.64688255788618</v>
      </c>
      <c r="D20" s="817">
        <v>17.119563252603452</v>
      </c>
      <c r="E20" s="817">
        <v>19.239195615080202</v>
      </c>
      <c r="F20" s="817">
        <v>15.645384682960376</v>
      </c>
      <c r="G20" s="817">
        <v>3.9211391365104751</v>
      </c>
      <c r="H20" s="817">
        <v>2.8382642645870702</v>
      </c>
      <c r="I20" s="817">
        <v>71.934225884147097</v>
      </c>
      <c r="J20" s="817">
        <v>72.807521469879475</v>
      </c>
      <c r="K20" s="817">
        <v>1.2994018879816043</v>
      </c>
      <c r="L20" s="817">
        <v>1.2561496587052907</v>
      </c>
      <c r="M20" s="817">
        <v>10.852239077058394</v>
      </c>
      <c r="N20" s="817">
        <v>3.5444600816482512</v>
      </c>
      <c r="O20" s="817">
        <v>33.561529013212358</v>
      </c>
      <c r="P20" s="817">
        <v>24.661923225362923</v>
      </c>
      <c r="Q20" s="817">
        <v>69.284049249162607</v>
      </c>
      <c r="R20" s="817">
        <v>68.687775700155967</v>
      </c>
      <c r="S20" s="821"/>
      <c r="T20" s="822"/>
      <c r="U20" s="822"/>
      <c r="V20" s="822"/>
      <c r="W20" s="822"/>
      <c r="X20" s="822"/>
      <c r="Y20" s="822"/>
      <c r="Z20" s="822"/>
      <c r="AA20" s="822"/>
    </row>
    <row r="21" spans="1:27" s="468" customFormat="1" ht="16.5" customHeight="1">
      <c r="A21" s="816">
        <v>2022</v>
      </c>
      <c r="B21" s="823"/>
      <c r="C21" s="817">
        <f t="shared" ref="C21:R21" si="0">C32</f>
        <v>21.537467378089413</v>
      </c>
      <c r="D21" s="817">
        <f t="shared" si="0"/>
        <v>17.541649579766482</v>
      </c>
      <c r="E21" s="817">
        <f t="shared" si="0"/>
        <v>20.105463735937317</v>
      </c>
      <c r="F21" s="817">
        <f t="shared" si="0"/>
        <v>15.945960975355074</v>
      </c>
      <c r="G21" s="817">
        <f t="shared" si="0"/>
        <v>3.292529863949059</v>
      </c>
      <c r="H21" s="817">
        <f t="shared" si="0"/>
        <v>2.2722997732268113</v>
      </c>
      <c r="I21" s="817">
        <f t="shared" si="0"/>
        <v>74.331487082272346</v>
      </c>
      <c r="J21" s="817">
        <f t="shared" si="0"/>
        <v>67.027549802259045</v>
      </c>
      <c r="K21" s="817">
        <f t="shared" si="0"/>
        <v>1.4388142359538301</v>
      </c>
      <c r="L21" s="817">
        <f t="shared" si="0"/>
        <v>1.1915736565628721</v>
      </c>
      <c r="M21" s="817">
        <f t="shared" si="0"/>
        <v>10.99551932488149</v>
      </c>
      <c r="N21" s="817">
        <f t="shared" si="0"/>
        <v>4.5434629003691125</v>
      </c>
      <c r="O21" s="817">
        <f t="shared" si="0"/>
        <v>32.77941228785749</v>
      </c>
      <c r="P21" s="817">
        <f t="shared" si="0"/>
        <v>22.874417131395848</v>
      </c>
      <c r="Q21" s="817">
        <f t="shared" si="0"/>
        <v>68.773784343453897</v>
      </c>
      <c r="R21" s="817">
        <f t="shared" si="0"/>
        <v>68.251505943002783</v>
      </c>
      <c r="S21" s="821"/>
      <c r="T21" s="822"/>
      <c r="U21" s="822"/>
      <c r="V21" s="822"/>
      <c r="W21" s="822"/>
      <c r="X21" s="822"/>
      <c r="Y21" s="822"/>
      <c r="Z21" s="822"/>
      <c r="AA21" s="822"/>
    </row>
    <row r="22" spans="1:27" s="468" customFormat="1" ht="16.5" customHeight="1">
      <c r="A22" s="816">
        <v>2023</v>
      </c>
      <c r="B22" s="823"/>
      <c r="C22" s="817">
        <f t="shared" ref="C22:R22" si="1">C36</f>
        <v>21.933252701547758</v>
      </c>
      <c r="D22" s="817">
        <f t="shared" si="1"/>
        <v>17.976510129872718</v>
      </c>
      <c r="E22" s="817">
        <f t="shared" si="1"/>
        <v>20.509456999790618</v>
      </c>
      <c r="F22" s="817">
        <f t="shared" si="1"/>
        <v>16.222370288108483</v>
      </c>
      <c r="G22" s="817">
        <f t="shared" si="1"/>
        <v>3.3523321392633116</v>
      </c>
      <c r="H22" s="817">
        <f t="shared" si="1"/>
        <v>2.2171468133700474</v>
      </c>
      <c r="I22" s="817">
        <f t="shared" si="1"/>
        <v>71.04528428892624</v>
      </c>
      <c r="J22" s="817">
        <f t="shared" si="1"/>
        <v>60.682507693667006</v>
      </c>
      <c r="K22" s="817">
        <f t="shared" si="1"/>
        <v>1.6929227193284293</v>
      </c>
      <c r="L22" s="817">
        <f t="shared" si="1"/>
        <v>1.1214976033971031</v>
      </c>
      <c r="M22" s="817">
        <f t="shared" si="1"/>
        <v>12.546466863825762</v>
      </c>
      <c r="N22" s="817">
        <f t="shared" si="1"/>
        <v>5.7559322628724079</v>
      </c>
      <c r="O22" s="817">
        <f t="shared" si="1"/>
        <v>32.679854200461882</v>
      </c>
      <c r="P22" s="817">
        <f t="shared" si="1"/>
        <v>23.551361749371893</v>
      </c>
      <c r="Q22" s="817">
        <f t="shared" si="1"/>
        <v>67.099478145127264</v>
      </c>
      <c r="R22" s="817">
        <f t="shared" si="1"/>
        <v>63.772666803159559</v>
      </c>
      <c r="S22" s="821"/>
      <c r="T22" s="822"/>
      <c r="U22" s="822"/>
      <c r="V22" s="822"/>
      <c r="W22" s="822"/>
      <c r="X22" s="822"/>
      <c r="Y22" s="822"/>
      <c r="Z22" s="822"/>
      <c r="AA22" s="822"/>
    </row>
    <row r="23" spans="1:27" s="468" customFormat="1" ht="16.5" customHeight="1">
      <c r="A23" s="816">
        <v>2024</v>
      </c>
      <c r="B23" s="823"/>
      <c r="C23" s="817">
        <f t="shared" ref="C23:R23" si="2">C40</f>
        <v>32</v>
      </c>
      <c r="D23" s="817">
        <f t="shared" si="2"/>
        <v>16.899999999999999</v>
      </c>
      <c r="E23" s="817">
        <f t="shared" si="2"/>
        <v>30.9</v>
      </c>
      <c r="F23" s="817">
        <f t="shared" si="2"/>
        <v>15.4</v>
      </c>
      <c r="G23" s="817">
        <f t="shared" si="2"/>
        <v>3.3</v>
      </c>
      <c r="H23" s="817">
        <f t="shared" si="2"/>
        <v>2</v>
      </c>
      <c r="I23" s="817">
        <f t="shared" si="2"/>
        <v>57.3</v>
      </c>
      <c r="J23" s="817">
        <f t="shared" si="2"/>
        <v>60.3</v>
      </c>
      <c r="K23" s="817">
        <f t="shared" si="2"/>
        <v>1.8</v>
      </c>
      <c r="L23" s="817">
        <f t="shared" si="2"/>
        <v>1</v>
      </c>
      <c r="M23" s="817">
        <f t="shared" si="2"/>
        <v>11.1</v>
      </c>
      <c r="N23" s="817">
        <f t="shared" si="2"/>
        <v>7.1</v>
      </c>
      <c r="O23" s="817">
        <f t="shared" si="2"/>
        <v>40.799999999999997</v>
      </c>
      <c r="P23" s="817">
        <f t="shared" si="2"/>
        <v>22</v>
      </c>
      <c r="Q23" s="817">
        <f t="shared" si="2"/>
        <v>66.099999999999994</v>
      </c>
      <c r="R23" s="817">
        <f t="shared" si="2"/>
        <v>67.3</v>
      </c>
      <c r="S23" s="821"/>
      <c r="T23" s="822"/>
      <c r="U23" s="822"/>
      <c r="V23" s="822"/>
      <c r="W23" s="822"/>
      <c r="X23" s="822"/>
      <c r="Y23" s="822"/>
      <c r="Z23" s="822"/>
      <c r="AA23" s="822"/>
    </row>
    <row r="24" spans="1:27" s="468" customFormat="1" ht="16.5" customHeight="1">
      <c r="A24" s="819">
        <v>2025</v>
      </c>
      <c r="B24" s="820"/>
      <c r="C24" s="827">
        <f t="shared" ref="C24:R24" si="3">C44</f>
        <v>27.5</v>
      </c>
      <c r="D24" s="827">
        <f t="shared" si="3"/>
        <v>17.2</v>
      </c>
      <c r="E24" s="827">
        <f t="shared" si="3"/>
        <v>26.6</v>
      </c>
      <c r="F24" s="827">
        <f t="shared" si="3"/>
        <v>16</v>
      </c>
      <c r="G24" s="827">
        <f t="shared" si="3"/>
        <v>2.8</v>
      </c>
      <c r="H24" s="827">
        <f t="shared" si="3"/>
        <v>2</v>
      </c>
      <c r="I24" s="827">
        <f t="shared" si="3"/>
        <v>56.2</v>
      </c>
      <c r="J24" s="827">
        <f t="shared" si="3"/>
        <v>65.7</v>
      </c>
      <c r="K24" s="827">
        <f t="shared" si="3"/>
        <v>1.5</v>
      </c>
      <c r="L24" s="827">
        <f t="shared" si="3"/>
        <v>0.8</v>
      </c>
      <c r="M24" s="827">
        <f t="shared" si="3"/>
        <v>11.6</v>
      </c>
      <c r="N24" s="827">
        <f t="shared" si="3"/>
        <v>6.5</v>
      </c>
      <c r="O24" s="827">
        <f t="shared" si="3"/>
        <v>38</v>
      </c>
      <c r="P24" s="827">
        <f t="shared" si="3"/>
        <v>22.9</v>
      </c>
      <c r="Q24" s="827">
        <f t="shared" si="3"/>
        <v>66.5</v>
      </c>
      <c r="R24" s="827">
        <f t="shared" si="3"/>
        <v>66</v>
      </c>
      <c r="S24" s="822"/>
      <c r="T24" s="822"/>
      <c r="U24" s="822"/>
      <c r="V24" s="822"/>
      <c r="W24" s="822"/>
      <c r="X24" s="822"/>
      <c r="Y24" s="822"/>
      <c r="Z24" s="822"/>
      <c r="AA24" s="822"/>
    </row>
    <row r="25" spans="1:27" s="822" customFormat="1" ht="21.3" customHeight="1">
      <c r="A25" s="824">
        <v>2021</v>
      </c>
      <c r="B25" s="825" t="s">
        <v>239</v>
      </c>
      <c r="C25" s="817">
        <v>19.710229020089887</v>
      </c>
      <c r="D25" s="817">
        <v>17.878401486413729</v>
      </c>
      <c r="E25" s="817">
        <v>18.349888563559915</v>
      </c>
      <c r="F25" s="817">
        <v>17.020840046076074</v>
      </c>
      <c r="G25" s="817">
        <v>4.5726026452997441</v>
      </c>
      <c r="H25" s="817">
        <v>3.6992396658984301</v>
      </c>
      <c r="I25" s="817">
        <v>69.522495360674739</v>
      </c>
      <c r="J25" s="817">
        <v>71.363990794826066</v>
      </c>
      <c r="K25" s="817">
        <v>0.2881858919807142</v>
      </c>
      <c r="L25" s="817">
        <v>0.18278010256338845</v>
      </c>
      <c r="M25" s="817">
        <v>3.2507533355862006</v>
      </c>
      <c r="N25" s="817">
        <v>0.82925787872131573</v>
      </c>
      <c r="O25" s="817">
        <v>34.965241280077009</v>
      </c>
      <c r="P25" s="817">
        <v>21.578295192903301</v>
      </c>
      <c r="Q25" s="817">
        <v>67.789164473839207</v>
      </c>
      <c r="R25" s="817">
        <v>63.928868625359371</v>
      </c>
    </row>
    <row r="26" spans="1:27" s="822" customFormat="1" ht="16.5" customHeight="1">
      <c r="A26" s="824"/>
      <c r="B26" s="825" t="s">
        <v>240</v>
      </c>
      <c r="C26" s="817">
        <v>20.350429548117898</v>
      </c>
      <c r="D26" s="817">
        <v>17.565740328106696</v>
      </c>
      <c r="E26" s="817">
        <v>18.944133065894029</v>
      </c>
      <c r="F26" s="817">
        <v>16.708663698700697</v>
      </c>
      <c r="G26" s="817">
        <v>4.3460324323773296</v>
      </c>
      <c r="H26" s="817">
        <v>3.5577508331498704</v>
      </c>
      <c r="I26" s="817">
        <v>69.602371987675824</v>
      </c>
      <c r="J26" s="817">
        <v>73.90932908575644</v>
      </c>
      <c r="K26" s="817">
        <v>0.71386746062448858</v>
      </c>
      <c r="L26" s="817">
        <v>0.5588275137300972</v>
      </c>
      <c r="M26" s="817">
        <v>5.7969680119970057</v>
      </c>
      <c r="N26" s="817">
        <v>1.7328030222780413</v>
      </c>
      <c r="O26" s="817">
        <v>34.087955227805075</v>
      </c>
      <c r="P26" s="817">
        <v>24.535333371357751</v>
      </c>
      <c r="Q26" s="817">
        <v>67.217357619659012</v>
      </c>
      <c r="R26" s="817">
        <v>69.438036707148569</v>
      </c>
    </row>
    <row r="27" spans="1:27" s="822" customFormat="1" ht="16.5" customHeight="1">
      <c r="A27" s="824"/>
      <c r="B27" s="825" t="s">
        <v>237</v>
      </c>
      <c r="C27" s="817">
        <v>20.297829863150973</v>
      </c>
      <c r="D27" s="817">
        <v>16.774455485772954</v>
      </c>
      <c r="E27" s="817">
        <v>18.905606503338504</v>
      </c>
      <c r="F27" s="817">
        <v>15.324303863077676</v>
      </c>
      <c r="G27" s="817">
        <v>4.3068065567380049</v>
      </c>
      <c r="H27" s="817">
        <v>3.5601132841016723</v>
      </c>
      <c r="I27" s="817">
        <v>69.916525750926141</v>
      </c>
      <c r="J27" s="817">
        <v>74.428689457087359</v>
      </c>
      <c r="K27" s="817">
        <v>1.0171378403892144</v>
      </c>
      <c r="L27" s="817">
        <v>0.79859777376070262</v>
      </c>
      <c r="M27" s="817">
        <v>8.4633156960256564</v>
      </c>
      <c r="N27" s="817">
        <v>2.758942770490008</v>
      </c>
      <c r="O27" s="817">
        <v>34.207748662743619</v>
      </c>
      <c r="P27" s="817">
        <v>23.801943186840145</v>
      </c>
      <c r="Q27" s="817">
        <v>68.216527706712</v>
      </c>
      <c r="R27" s="817">
        <v>67.054625712490719</v>
      </c>
    </row>
    <row r="28" spans="1:27" s="822" customFormat="1" ht="16.5" customHeight="1">
      <c r="A28" s="824"/>
      <c r="B28" s="825" t="s">
        <v>238</v>
      </c>
      <c r="C28" s="817">
        <v>20.64688255788618</v>
      </c>
      <c r="D28" s="817">
        <v>17.119563252603452</v>
      </c>
      <c r="E28" s="817">
        <v>19.239195615080202</v>
      </c>
      <c r="F28" s="817">
        <v>15.645384682960376</v>
      </c>
      <c r="G28" s="817">
        <v>3.9211391365104751</v>
      </c>
      <c r="H28" s="817">
        <v>2.8382642645870702</v>
      </c>
      <c r="I28" s="817">
        <v>71.934225884147097</v>
      </c>
      <c r="J28" s="817">
        <v>72.807521469879475</v>
      </c>
      <c r="K28" s="817">
        <v>1.2994018879816043</v>
      </c>
      <c r="L28" s="817">
        <v>1.2561496587052907</v>
      </c>
      <c r="M28" s="817">
        <v>10.852239077058394</v>
      </c>
      <c r="N28" s="817">
        <v>3.5444600816482512</v>
      </c>
      <c r="O28" s="817">
        <v>33.561529013212358</v>
      </c>
      <c r="P28" s="817">
        <v>24.661923225362923</v>
      </c>
      <c r="Q28" s="817">
        <v>69.284049249162607</v>
      </c>
      <c r="R28" s="817">
        <v>68.687775700155967</v>
      </c>
    </row>
    <row r="29" spans="1:27" s="822" customFormat="1" ht="20.25" customHeight="1">
      <c r="A29" s="824">
        <v>2022</v>
      </c>
      <c r="B29" s="825" t="s">
        <v>239</v>
      </c>
      <c r="C29" s="817">
        <v>21.265434242094972</v>
      </c>
      <c r="D29" s="817">
        <v>17.771323072374106</v>
      </c>
      <c r="E29" s="817">
        <v>19.834481880594655</v>
      </c>
      <c r="F29" s="817">
        <v>16.288528556862957</v>
      </c>
      <c r="G29" s="817">
        <v>3.825588075086622</v>
      </c>
      <c r="H29" s="817">
        <v>2.8723053938779781</v>
      </c>
      <c r="I29" s="817">
        <v>72.621560399668141</v>
      </c>
      <c r="J29" s="817">
        <v>71.795920207251143</v>
      </c>
      <c r="K29" s="817">
        <v>0.31836696675979981</v>
      </c>
      <c r="L29" s="817">
        <v>0.34982849304719171</v>
      </c>
      <c r="M29" s="817">
        <v>3.2111499653172579</v>
      </c>
      <c r="N29" s="817">
        <v>1.1385804730793103</v>
      </c>
      <c r="O29" s="817">
        <v>31.321695084682926</v>
      </c>
      <c r="P29" s="817">
        <v>23.053930624696669</v>
      </c>
      <c r="Q29" s="817">
        <v>71.119944674122138</v>
      </c>
      <c r="R29" s="817">
        <v>66.049874390230556</v>
      </c>
    </row>
    <row r="30" spans="1:27" s="822" customFormat="1" ht="16.5" customHeight="1">
      <c r="A30" s="824"/>
      <c r="B30" s="825" t="s">
        <v>240</v>
      </c>
      <c r="C30" s="817">
        <v>20.446180847620866</v>
      </c>
      <c r="D30" s="817">
        <v>17.726530352802833</v>
      </c>
      <c r="E30" s="817">
        <v>19.015565754871051</v>
      </c>
      <c r="F30" s="817">
        <v>16.223372933861498</v>
      </c>
      <c r="G30" s="817">
        <v>3.7795926595350906</v>
      </c>
      <c r="H30" s="817">
        <v>2.5445969710714778</v>
      </c>
      <c r="I30" s="817">
        <v>73.207590593915</v>
      </c>
      <c r="J30" s="817">
        <v>69.565318083836601</v>
      </c>
      <c r="K30" s="817">
        <v>0.77634273271515952</v>
      </c>
      <c r="L30" s="817">
        <v>0.59321223449193849</v>
      </c>
      <c r="M30" s="817">
        <v>6.5508121716107537</v>
      </c>
      <c r="N30" s="817">
        <v>2.2950820564209486</v>
      </c>
      <c r="O30" s="817">
        <v>34.101799547342573</v>
      </c>
      <c r="P30" s="817">
        <v>21.90493586356591</v>
      </c>
      <c r="Q30" s="817">
        <v>68.145564255370132</v>
      </c>
      <c r="R30" s="817">
        <v>61.788429204212314</v>
      </c>
    </row>
    <row r="31" spans="1:27" s="822" customFormat="1" ht="16.5" customHeight="1">
      <c r="A31" s="824"/>
      <c r="B31" s="1089" t="s">
        <v>237</v>
      </c>
      <c r="C31" s="817">
        <v>20.781644279330656</v>
      </c>
      <c r="D31" s="817">
        <v>18.106863159110063</v>
      </c>
      <c r="E31" s="817">
        <v>19.354582772959709</v>
      </c>
      <c r="F31" s="817">
        <v>16.549560716546875</v>
      </c>
      <c r="G31" s="817">
        <v>3.6876990272384593</v>
      </c>
      <c r="H31" s="817">
        <v>2.4163012780220217</v>
      </c>
      <c r="I31" s="817">
        <v>73.400657381930102</v>
      </c>
      <c r="J31" s="817">
        <v>69.931086355504959</v>
      </c>
      <c r="K31" s="817">
        <v>1.0134960665056043</v>
      </c>
      <c r="L31" s="817">
        <v>0.86760283301713925</v>
      </c>
      <c r="M31" s="817">
        <v>7.6824209802061896</v>
      </c>
      <c r="N31" s="817">
        <v>3.332014882738918</v>
      </c>
      <c r="O31" s="817">
        <v>31.555821777533854</v>
      </c>
      <c r="P31" s="817">
        <v>21.056734798863047</v>
      </c>
      <c r="Q31" s="817">
        <v>69.909022847950027</v>
      </c>
      <c r="R31" s="817">
        <v>63.155211998376856</v>
      </c>
    </row>
    <row r="32" spans="1:27" s="822" customFormat="1" ht="16.5" customHeight="1">
      <c r="A32" s="824"/>
      <c r="B32" s="1089" t="s">
        <v>238</v>
      </c>
      <c r="C32" s="817">
        <v>21.537467378089413</v>
      </c>
      <c r="D32" s="817">
        <v>17.541649579766482</v>
      </c>
      <c r="E32" s="817">
        <v>20.105463735937317</v>
      </c>
      <c r="F32" s="817">
        <v>15.945960975355074</v>
      </c>
      <c r="G32" s="817">
        <v>3.292529863949059</v>
      </c>
      <c r="H32" s="817">
        <v>2.2722997732268113</v>
      </c>
      <c r="I32" s="817">
        <v>74.331487082272346</v>
      </c>
      <c r="J32" s="817">
        <v>67.027549802259045</v>
      </c>
      <c r="K32" s="817">
        <v>1.4388142359538301</v>
      </c>
      <c r="L32" s="817">
        <v>1.1915736565628721</v>
      </c>
      <c r="M32" s="817">
        <v>10.99551932488149</v>
      </c>
      <c r="N32" s="817">
        <v>4.5434629003691125</v>
      </c>
      <c r="O32" s="817">
        <v>32.77941228785749</v>
      </c>
      <c r="P32" s="817">
        <v>22.874417131395848</v>
      </c>
      <c r="Q32" s="817">
        <v>68.773784343453897</v>
      </c>
      <c r="R32" s="817">
        <v>68.251505943002783</v>
      </c>
    </row>
    <row r="33" spans="1:18" s="822" customFormat="1" ht="20.25" customHeight="1">
      <c r="A33" s="824">
        <v>2023</v>
      </c>
      <c r="B33" s="825" t="s">
        <v>239</v>
      </c>
      <c r="C33" s="817">
        <v>21.284260550234187</v>
      </c>
      <c r="D33" s="817">
        <v>17.203432044829679</v>
      </c>
      <c r="E33" s="817">
        <v>19.85354508876264</v>
      </c>
      <c r="F33" s="817">
        <v>15.610580392098353</v>
      </c>
      <c r="G33" s="817">
        <v>3.5654618809697061</v>
      </c>
      <c r="H33" s="817">
        <v>2.0700222383418905</v>
      </c>
      <c r="I33" s="817">
        <v>68.340508754697211</v>
      </c>
      <c r="J33" s="817">
        <v>65.206636680303333</v>
      </c>
      <c r="K33" s="817">
        <v>0.49277892778141025</v>
      </c>
      <c r="L33" s="817">
        <v>0.31120017166601599</v>
      </c>
      <c r="M33" s="817">
        <v>3.8897638964142836</v>
      </c>
      <c r="N33" s="817">
        <v>1.6315035487844982</v>
      </c>
      <c r="O33" s="817">
        <v>30.255805688221578</v>
      </c>
      <c r="P33" s="817">
        <v>23.258963187147984</v>
      </c>
      <c r="Q33" s="817">
        <v>69.221117111613779</v>
      </c>
      <c r="R33" s="817">
        <v>65.168637806751349</v>
      </c>
    </row>
    <row r="34" spans="1:18" s="822" customFormat="1" ht="16.5" customHeight="1">
      <c r="A34" s="824"/>
      <c r="B34" s="1089" t="s">
        <v>240</v>
      </c>
      <c r="C34" s="817">
        <v>21.699463671696435</v>
      </c>
      <c r="D34" s="817">
        <v>16.980779607841242</v>
      </c>
      <c r="E34" s="817">
        <v>20.276996638258769</v>
      </c>
      <c r="F34" s="817">
        <v>15.301531228737153</v>
      </c>
      <c r="G34" s="817">
        <v>3.6461177090634225</v>
      </c>
      <c r="H34" s="817">
        <v>2.0944580064493912</v>
      </c>
      <c r="I34" s="817">
        <v>66.661498868252139</v>
      </c>
      <c r="J34" s="817">
        <v>61.091560994062597</v>
      </c>
      <c r="K34" s="817">
        <v>0.92996130239839281</v>
      </c>
      <c r="L34" s="817">
        <v>0.69215048900897758</v>
      </c>
      <c r="M34" s="817">
        <v>7.1305194203699882</v>
      </c>
      <c r="N34" s="817">
        <v>3.2139196661034646</v>
      </c>
      <c r="O34" s="817">
        <v>30.871711535208007</v>
      </c>
      <c r="P34" s="817">
        <v>19.94584849963611</v>
      </c>
      <c r="Q34" s="817">
        <v>71.359381678027461</v>
      </c>
      <c r="R34" s="817">
        <v>62.083903390797182</v>
      </c>
    </row>
    <row r="35" spans="1:18" s="822" customFormat="1" ht="16.5" customHeight="1">
      <c r="A35" s="824"/>
      <c r="B35" s="1089" t="s">
        <v>237</v>
      </c>
      <c r="C35" s="817">
        <v>21.735417990731911</v>
      </c>
      <c r="D35" s="817">
        <v>17.17211559218244</v>
      </c>
      <c r="E35" s="817">
        <v>20.315592550816355</v>
      </c>
      <c r="F35" s="817">
        <v>15.519780023531432</v>
      </c>
      <c r="G35" s="817">
        <v>3.4479119596236307</v>
      </c>
      <c r="H35" s="817">
        <v>2.2960667237536128</v>
      </c>
      <c r="I35" s="817">
        <v>66.620346823609182</v>
      </c>
      <c r="J35" s="817">
        <v>59.626218436715476</v>
      </c>
      <c r="K35" s="817">
        <v>1.3676870538808594</v>
      </c>
      <c r="L35" s="817">
        <v>0.90546693291388269</v>
      </c>
      <c r="M35" s="817">
        <v>10.330458492970674</v>
      </c>
      <c r="N35" s="817">
        <v>4.8621315490667554</v>
      </c>
      <c r="O35" s="817">
        <v>30.647804619395558</v>
      </c>
      <c r="P35" s="817">
        <v>21.302725850433362</v>
      </c>
      <c r="Q35" s="817">
        <v>69.846968640180123</v>
      </c>
      <c r="R35" s="817">
        <v>63.837537348140764</v>
      </c>
    </row>
    <row r="36" spans="1:18" s="822" customFormat="1" ht="16.5" customHeight="1">
      <c r="A36" s="824"/>
      <c r="B36" s="1089" t="s">
        <v>238</v>
      </c>
      <c r="C36" s="817">
        <v>21.933252701547758</v>
      </c>
      <c r="D36" s="817">
        <v>17.976510129872718</v>
      </c>
      <c r="E36" s="817">
        <v>20.509456999790618</v>
      </c>
      <c r="F36" s="817">
        <v>16.222370288108483</v>
      </c>
      <c r="G36" s="817">
        <v>3.3523321392633116</v>
      </c>
      <c r="H36" s="817">
        <v>2.2171468133700474</v>
      </c>
      <c r="I36" s="817">
        <v>71.04528428892624</v>
      </c>
      <c r="J36" s="817">
        <v>60.682507693667006</v>
      </c>
      <c r="K36" s="817">
        <v>1.6929227193284293</v>
      </c>
      <c r="L36" s="817">
        <v>1.1214976033971031</v>
      </c>
      <c r="M36" s="817">
        <v>12.546466863825762</v>
      </c>
      <c r="N36" s="817">
        <v>5.7559322628724079</v>
      </c>
      <c r="O36" s="817">
        <v>32.679854200461882</v>
      </c>
      <c r="P36" s="817">
        <v>23.551361749371893</v>
      </c>
      <c r="Q36" s="817">
        <v>67.099478145127264</v>
      </c>
      <c r="R36" s="817">
        <v>63.772666803159559</v>
      </c>
    </row>
    <row r="37" spans="1:18" s="822" customFormat="1" ht="20.25" customHeight="1">
      <c r="A37" s="824">
        <v>2024</v>
      </c>
      <c r="B37" s="825" t="s">
        <v>239</v>
      </c>
      <c r="C37" s="817">
        <v>33</v>
      </c>
      <c r="D37" s="817">
        <v>18.2</v>
      </c>
      <c r="E37" s="817">
        <v>32.4</v>
      </c>
      <c r="F37" s="817">
        <v>16.399999999999999</v>
      </c>
      <c r="G37" s="817">
        <v>3.7</v>
      </c>
      <c r="H37" s="817">
        <v>2.2000000000000002</v>
      </c>
      <c r="I37" s="817">
        <v>66.599999999999994</v>
      </c>
      <c r="J37" s="817">
        <v>60.5</v>
      </c>
      <c r="K37" s="817">
        <v>0.5</v>
      </c>
      <c r="L37" s="817">
        <v>0.5</v>
      </c>
      <c r="M37" s="817">
        <v>3.4</v>
      </c>
      <c r="N37" s="817">
        <v>2.2000000000000002</v>
      </c>
      <c r="O37" s="817">
        <v>40.200000000000003</v>
      </c>
      <c r="P37" s="817">
        <v>27.7</v>
      </c>
      <c r="Q37" s="817">
        <v>64.900000000000006</v>
      </c>
      <c r="R37" s="817">
        <v>60.2</v>
      </c>
    </row>
    <row r="38" spans="1:18" s="822" customFormat="1" ht="16.5" customHeight="1">
      <c r="A38" s="824"/>
      <c r="B38" s="1089" t="s">
        <v>240</v>
      </c>
      <c r="C38" s="817">
        <v>32.9</v>
      </c>
      <c r="D38" s="817">
        <v>16.7</v>
      </c>
      <c r="E38" s="817">
        <v>31.8</v>
      </c>
      <c r="F38" s="817">
        <v>15.2</v>
      </c>
      <c r="G38" s="817">
        <v>4</v>
      </c>
      <c r="H38" s="817">
        <v>2.2000000000000002</v>
      </c>
      <c r="I38" s="817">
        <v>60.6</v>
      </c>
      <c r="J38" s="817">
        <v>63.7</v>
      </c>
      <c r="K38" s="817">
        <v>0.9</v>
      </c>
      <c r="L38" s="817">
        <v>0.6</v>
      </c>
      <c r="M38" s="817">
        <v>5.9</v>
      </c>
      <c r="N38" s="817">
        <v>3.8</v>
      </c>
      <c r="O38" s="817">
        <v>37.799999999999997</v>
      </c>
      <c r="P38" s="817">
        <v>21.1</v>
      </c>
      <c r="Q38" s="817">
        <v>66.3</v>
      </c>
      <c r="R38" s="817">
        <v>63.7</v>
      </c>
    </row>
    <row r="39" spans="1:18" s="822" customFormat="1" ht="16.5" customHeight="1">
      <c r="A39" s="824"/>
      <c r="B39" s="1089" t="s">
        <v>237</v>
      </c>
      <c r="C39" s="817">
        <v>32</v>
      </c>
      <c r="D39" s="817">
        <v>16.3</v>
      </c>
      <c r="E39" s="817">
        <v>30.9</v>
      </c>
      <c r="F39" s="817">
        <v>14.9</v>
      </c>
      <c r="G39" s="817">
        <v>3.4</v>
      </c>
      <c r="H39" s="817">
        <v>2.1</v>
      </c>
      <c r="I39" s="817">
        <v>56.8</v>
      </c>
      <c r="J39" s="817">
        <v>61.2</v>
      </c>
      <c r="K39" s="817">
        <v>1.3</v>
      </c>
      <c r="L39" s="817">
        <v>0.9</v>
      </c>
      <c r="M39" s="817">
        <v>8.5</v>
      </c>
      <c r="N39" s="817">
        <v>5.5</v>
      </c>
      <c r="O39" s="817">
        <v>40.799999999999997</v>
      </c>
      <c r="P39" s="817">
        <v>22.9</v>
      </c>
      <c r="Q39" s="817">
        <v>65</v>
      </c>
      <c r="R39" s="817">
        <v>63.6</v>
      </c>
    </row>
    <row r="40" spans="1:18" s="822" customFormat="1" ht="16.5" customHeight="1">
      <c r="A40" s="824"/>
      <c r="B40" s="1089" t="s">
        <v>238</v>
      </c>
      <c r="C40" s="817">
        <v>32</v>
      </c>
      <c r="D40" s="817">
        <v>16.899999999999999</v>
      </c>
      <c r="E40" s="817">
        <v>30.9</v>
      </c>
      <c r="F40" s="817">
        <v>15.4</v>
      </c>
      <c r="G40" s="817">
        <v>3.3</v>
      </c>
      <c r="H40" s="817">
        <v>2</v>
      </c>
      <c r="I40" s="817">
        <v>57.3</v>
      </c>
      <c r="J40" s="817">
        <v>60.3</v>
      </c>
      <c r="K40" s="817">
        <v>1.8</v>
      </c>
      <c r="L40" s="817">
        <v>1</v>
      </c>
      <c r="M40" s="817">
        <v>11.1</v>
      </c>
      <c r="N40" s="817">
        <v>7.1</v>
      </c>
      <c r="O40" s="817">
        <v>40.799999999999997</v>
      </c>
      <c r="P40" s="817">
        <v>22</v>
      </c>
      <c r="Q40" s="817">
        <v>66.099999999999994</v>
      </c>
      <c r="R40" s="817">
        <v>67.3</v>
      </c>
    </row>
    <row r="41" spans="1:18" s="822" customFormat="1" ht="20.25" customHeight="1">
      <c r="A41" s="824">
        <v>2025</v>
      </c>
      <c r="B41" s="1201" t="s">
        <v>239</v>
      </c>
      <c r="C41" s="817">
        <v>29.4</v>
      </c>
      <c r="D41" s="817">
        <v>16.600000000000001</v>
      </c>
      <c r="E41" s="817">
        <v>28.4</v>
      </c>
      <c r="F41" s="817">
        <v>15.1</v>
      </c>
      <c r="G41" s="817">
        <v>3.1</v>
      </c>
      <c r="H41" s="817">
        <v>1.9</v>
      </c>
      <c r="I41" s="817">
        <v>58.8</v>
      </c>
      <c r="J41" s="817">
        <v>56.3</v>
      </c>
      <c r="K41" s="817">
        <v>0.5</v>
      </c>
      <c r="L41" s="817">
        <v>0.2</v>
      </c>
      <c r="M41" s="817">
        <v>3.7</v>
      </c>
      <c r="N41" s="817">
        <v>1.9</v>
      </c>
      <c r="O41" s="817">
        <v>39.4</v>
      </c>
      <c r="P41" s="817">
        <v>20.5</v>
      </c>
      <c r="Q41" s="817">
        <v>66.400000000000006</v>
      </c>
      <c r="R41" s="817">
        <v>67.8</v>
      </c>
    </row>
    <row r="42" spans="1:18" s="822" customFormat="1" ht="16.5" customHeight="1">
      <c r="A42" s="824"/>
      <c r="B42" s="1200" t="s">
        <v>240</v>
      </c>
      <c r="C42" s="817">
        <v>29.7</v>
      </c>
      <c r="D42" s="817">
        <v>16.2</v>
      </c>
      <c r="E42" s="817">
        <v>28.6</v>
      </c>
      <c r="F42" s="817">
        <v>14.9</v>
      </c>
      <c r="G42" s="817">
        <v>2.9</v>
      </c>
      <c r="H42" s="817">
        <v>1.8</v>
      </c>
      <c r="I42" s="817">
        <v>56.5</v>
      </c>
      <c r="J42" s="817">
        <v>62.5</v>
      </c>
      <c r="K42" s="817">
        <v>0.7</v>
      </c>
      <c r="L42" s="817">
        <v>0.4</v>
      </c>
      <c r="M42" s="817">
        <v>6.4</v>
      </c>
      <c r="N42" s="817">
        <v>3.8</v>
      </c>
      <c r="O42" s="817">
        <v>39.1</v>
      </c>
      <c r="P42" s="817">
        <v>21.8</v>
      </c>
      <c r="Q42" s="817">
        <v>65.8</v>
      </c>
      <c r="R42" s="817">
        <v>67.3</v>
      </c>
    </row>
    <row r="43" spans="1:18" s="822" customFormat="1" ht="16.5" customHeight="1">
      <c r="A43" s="824"/>
      <c r="B43" s="1200" t="s">
        <v>237</v>
      </c>
      <c r="C43" s="817">
        <v>29.7</v>
      </c>
      <c r="D43" s="817">
        <v>16.600000000000001</v>
      </c>
      <c r="E43" s="817">
        <v>28.7</v>
      </c>
      <c r="F43" s="817">
        <v>15.3</v>
      </c>
      <c r="G43" s="817">
        <v>2.9</v>
      </c>
      <c r="H43" s="817">
        <v>1.9</v>
      </c>
      <c r="I43" s="817">
        <v>56.7</v>
      </c>
      <c r="J43" s="817">
        <v>63.7</v>
      </c>
      <c r="K43" s="817">
        <v>1.1000000000000001</v>
      </c>
      <c r="L43" s="817">
        <v>0.6</v>
      </c>
      <c r="M43" s="817">
        <v>8.8000000000000007</v>
      </c>
      <c r="N43" s="817">
        <v>5.3</v>
      </c>
      <c r="O43" s="817">
        <v>38.799999999999997</v>
      </c>
      <c r="P43" s="817">
        <v>22.8</v>
      </c>
      <c r="Q43" s="817">
        <v>66.400000000000006</v>
      </c>
      <c r="R43" s="817">
        <v>68.7</v>
      </c>
    </row>
    <row r="44" spans="1:18" s="822" customFormat="1" ht="16.5" customHeight="1">
      <c r="A44" s="824"/>
      <c r="B44" s="1200" t="s">
        <v>238</v>
      </c>
      <c r="C44" s="817">
        <v>27.5</v>
      </c>
      <c r="D44" s="817">
        <v>17.2</v>
      </c>
      <c r="E44" s="817">
        <v>26.6</v>
      </c>
      <c r="F44" s="817">
        <v>16</v>
      </c>
      <c r="G44" s="817">
        <v>2.8</v>
      </c>
      <c r="H44" s="817">
        <v>2</v>
      </c>
      <c r="I44" s="817">
        <v>56.2</v>
      </c>
      <c r="J44" s="817">
        <v>65.7</v>
      </c>
      <c r="K44" s="817">
        <v>1.5</v>
      </c>
      <c r="L44" s="817">
        <v>0.8</v>
      </c>
      <c r="M44" s="817">
        <v>11.6</v>
      </c>
      <c r="N44" s="817">
        <v>6.5</v>
      </c>
      <c r="O44" s="817">
        <v>38</v>
      </c>
      <c r="P44" s="817">
        <v>22.9</v>
      </c>
      <c r="Q44" s="817">
        <v>66.5</v>
      </c>
      <c r="R44" s="817">
        <v>66</v>
      </c>
    </row>
    <row r="45" spans="1:18" s="822" customFormat="1" ht="20.100000000000001" customHeight="1">
      <c r="A45" s="824">
        <v>2026</v>
      </c>
      <c r="B45" s="1201" t="s">
        <v>239</v>
      </c>
      <c r="C45" s="817">
        <v>25.2</v>
      </c>
      <c r="D45" s="817">
        <v>17.399999999999999</v>
      </c>
      <c r="E45" s="817">
        <v>24.3</v>
      </c>
      <c r="F45" s="817">
        <v>16.2</v>
      </c>
      <c r="G45" s="817">
        <v>2.7</v>
      </c>
      <c r="H45" s="817">
        <v>2</v>
      </c>
      <c r="I45" s="817">
        <v>55.5</v>
      </c>
      <c r="J45" s="817">
        <v>65.2</v>
      </c>
      <c r="K45" s="817">
        <v>0.5</v>
      </c>
      <c r="L45" s="817">
        <v>0.1</v>
      </c>
      <c r="M45" s="817">
        <v>3.4</v>
      </c>
      <c r="N45" s="817">
        <v>0.9</v>
      </c>
      <c r="O45" s="817">
        <v>47.7</v>
      </c>
      <c r="P45" s="817">
        <v>23.4</v>
      </c>
      <c r="Q45" s="817">
        <v>63.9</v>
      </c>
      <c r="R45" s="817">
        <v>64.3</v>
      </c>
    </row>
    <row r="46" spans="1:18" s="822" customFormat="1" ht="16.5" customHeight="1">
      <c r="A46" s="824"/>
      <c r="B46" s="1200" t="s">
        <v>240</v>
      </c>
      <c r="C46" s="817">
        <v>27.2</v>
      </c>
      <c r="D46" s="817">
        <v>18</v>
      </c>
      <c r="E46" s="817">
        <v>26.3</v>
      </c>
      <c r="F46" s="817">
        <v>16.8</v>
      </c>
      <c r="G46" s="817">
        <v>2.6</v>
      </c>
      <c r="H46" s="817">
        <v>2.2000000000000002</v>
      </c>
      <c r="I46" s="817">
        <v>54</v>
      </c>
      <c r="J46" s="817">
        <v>66.8</v>
      </c>
      <c r="K46" s="817">
        <v>0.7</v>
      </c>
      <c r="L46" s="817">
        <v>0.4</v>
      </c>
      <c r="M46" s="817">
        <v>6.5</v>
      </c>
      <c r="N46" s="817">
        <v>2.2999999999999998</v>
      </c>
      <c r="O46" s="817">
        <v>39</v>
      </c>
      <c r="P46" s="817">
        <v>22.5</v>
      </c>
      <c r="Q46" s="817">
        <v>64.7</v>
      </c>
      <c r="R46" s="817">
        <v>67.099999999999994</v>
      </c>
    </row>
    <row r="47" spans="1:18" ht="21.3" customHeight="1">
      <c r="A47" s="462" t="s">
        <v>1128</v>
      </c>
      <c r="B47" s="462"/>
      <c r="C47" s="462"/>
      <c r="D47" s="462"/>
      <c r="E47" s="462"/>
      <c r="F47" s="462"/>
      <c r="G47" s="462"/>
      <c r="H47" s="462"/>
      <c r="I47" s="462"/>
      <c r="J47" s="462"/>
      <c r="K47" s="462"/>
      <c r="L47" s="462"/>
      <c r="M47" s="462"/>
      <c r="N47" s="462"/>
      <c r="O47" s="462"/>
      <c r="P47" s="462"/>
      <c r="Q47" s="833"/>
      <c r="R47" s="834" t="s">
        <v>1140</v>
      </c>
    </row>
    <row r="48" spans="1:18" ht="13.8" customHeight="1">
      <c r="A48" s="445" t="s">
        <v>1130</v>
      </c>
      <c r="C48" s="832"/>
      <c r="D48" s="832"/>
      <c r="E48" s="832"/>
      <c r="F48" s="832"/>
      <c r="G48" s="832"/>
      <c r="H48" s="832"/>
      <c r="I48" s="832"/>
      <c r="J48" s="832"/>
      <c r="K48" s="832"/>
      <c r="L48" s="832"/>
      <c r="M48" s="832"/>
      <c r="N48" s="832"/>
      <c r="O48" s="832"/>
      <c r="P48" s="832"/>
      <c r="Q48" s="832"/>
      <c r="R48" s="831" t="s">
        <v>1131</v>
      </c>
    </row>
    <row r="49" spans="1:18" ht="13.8" customHeight="1">
      <c r="C49" s="832"/>
      <c r="D49" s="832"/>
      <c r="E49" s="832"/>
      <c r="F49" s="832"/>
      <c r="G49" s="832"/>
      <c r="H49" s="832"/>
      <c r="I49" s="832"/>
      <c r="J49" s="832"/>
      <c r="K49" s="832"/>
      <c r="L49" s="832"/>
      <c r="M49" s="832"/>
      <c r="N49" s="832"/>
      <c r="O49" s="832"/>
      <c r="P49" s="832"/>
      <c r="Q49" s="832"/>
      <c r="R49" s="831"/>
    </row>
    <row r="50" spans="1:18" ht="13.8">
      <c r="A50" s="1653" t="s">
        <v>1141</v>
      </c>
      <c r="B50" s="444"/>
      <c r="C50" s="444"/>
      <c r="D50" s="444"/>
      <c r="E50" s="444"/>
      <c r="F50" s="444"/>
      <c r="G50" s="444"/>
      <c r="H50" s="444"/>
      <c r="I50" s="444"/>
      <c r="J50" s="444"/>
      <c r="K50" s="444"/>
      <c r="L50" s="444"/>
      <c r="M50" s="444"/>
      <c r="N50" s="444"/>
      <c r="O50" s="444"/>
      <c r="P50" s="444"/>
      <c r="Q50" s="444"/>
      <c r="R50" s="444"/>
    </row>
    <row r="51" spans="1:18" ht="13.8">
      <c r="A51" s="495"/>
      <c r="B51" s="444"/>
      <c r="C51" s="444"/>
      <c r="D51" s="444"/>
      <c r="E51" s="444"/>
      <c r="F51" s="444"/>
      <c r="G51" s="444"/>
      <c r="H51" s="444"/>
      <c r="I51" s="444"/>
      <c r="J51" s="444"/>
      <c r="K51" s="444"/>
      <c r="L51" s="444"/>
      <c r="M51" s="444"/>
      <c r="N51" s="444"/>
      <c r="O51" s="444"/>
      <c r="P51" s="444"/>
      <c r="Q51" s="444"/>
      <c r="R51" s="444"/>
    </row>
  </sheetData>
  <mergeCells count="27">
    <mergeCell ref="M11:N11"/>
    <mergeCell ref="O11:P11"/>
    <mergeCell ref="Q11:R11"/>
    <mergeCell ref="C11:D11"/>
    <mergeCell ref="E11:F11"/>
    <mergeCell ref="G11:H11"/>
    <mergeCell ref="I11:J11"/>
    <mergeCell ref="K11:L11"/>
    <mergeCell ref="C9:F9"/>
    <mergeCell ref="G9:J9"/>
    <mergeCell ref="K9:N9"/>
    <mergeCell ref="O9:R9"/>
    <mergeCell ref="C10:D10"/>
    <mergeCell ref="E10:F10"/>
    <mergeCell ref="G10:H10"/>
    <mergeCell ref="I10:J10"/>
    <mergeCell ref="K10:L10"/>
    <mergeCell ref="M10:N10"/>
    <mergeCell ref="O10:P10"/>
    <mergeCell ref="Q10:R10"/>
    <mergeCell ref="A4:R4"/>
    <mergeCell ref="A5:R5"/>
    <mergeCell ref="A7:B7"/>
    <mergeCell ref="C8:F8"/>
    <mergeCell ref="G8:J8"/>
    <mergeCell ref="K8:N8"/>
    <mergeCell ref="O8:R8"/>
  </mergeCells>
  <printOptions horizontalCentered="1"/>
  <pageMargins left="0.4" right="0.4" top="0.5" bottom="0.5" header="0.3" footer="0.3"/>
  <pageSetup paperSize="9" scale="62"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pageSetUpPr fitToPage="1"/>
  </sheetPr>
  <dimension ref="A1:AA51"/>
  <sheetViews>
    <sheetView zoomScale="80" zoomScaleNormal="80" zoomScaleSheetLayoutView="70" workbookViewId="0">
      <pane ySplit="13" topLeftCell="A44" activePane="bottomLeft" state="frozen"/>
      <selection activeCell="B2" sqref="B2"/>
      <selection pane="bottomLeft" activeCell="B2" sqref="B2"/>
    </sheetView>
  </sheetViews>
  <sheetFormatPr defaultColWidth="9.21875" defaultRowHeight="13.2"/>
  <cols>
    <col min="1" max="2" width="9.77734375" style="445" customWidth="1"/>
    <col min="3" max="3" width="12.77734375" style="445" customWidth="1"/>
    <col min="4" max="4" width="12.44140625" style="445" customWidth="1"/>
    <col min="5" max="9" width="12.77734375" style="445" customWidth="1"/>
    <col min="10" max="10" width="14" style="445" customWidth="1"/>
    <col min="11" max="11" width="12.21875" style="445" bestFit="1" customWidth="1"/>
    <col min="12" max="12" width="12.77734375" style="445" customWidth="1"/>
    <col min="13" max="13" width="13.44140625" style="445" customWidth="1"/>
    <col min="14" max="14" width="13.21875" style="445" customWidth="1"/>
    <col min="15" max="15" width="13.77734375" style="445" customWidth="1"/>
    <col min="16" max="16" width="12.44140625" style="445" customWidth="1"/>
    <col min="17" max="17" width="13.77734375" style="445" customWidth="1"/>
    <col min="18" max="18" width="12.77734375" style="445" customWidth="1"/>
    <col min="19" max="16384" width="9.21875" style="445"/>
  </cols>
  <sheetData>
    <row r="1" spans="1:18" ht="18" customHeight="1">
      <c r="A1" s="807" t="s">
        <v>1142</v>
      </c>
      <c r="B1" s="807"/>
      <c r="C1" s="807"/>
      <c r="D1" s="807"/>
      <c r="E1" s="807"/>
      <c r="F1" s="807"/>
      <c r="G1" s="807"/>
      <c r="H1" s="807"/>
      <c r="I1" s="807"/>
      <c r="J1" s="807"/>
      <c r="K1" s="807"/>
      <c r="L1" s="807"/>
      <c r="M1" s="807"/>
      <c r="N1" s="807"/>
      <c r="O1" s="807"/>
      <c r="P1" s="807"/>
      <c r="Q1" s="807"/>
      <c r="R1" s="807"/>
    </row>
    <row r="2" spans="1:18" ht="18" customHeight="1">
      <c r="A2" s="807" t="s">
        <v>1102</v>
      </c>
      <c r="B2" s="807"/>
      <c r="C2" s="807"/>
      <c r="D2" s="807"/>
      <c r="E2" s="807"/>
      <c r="F2" s="807"/>
      <c r="G2" s="807"/>
      <c r="H2" s="807"/>
      <c r="I2" s="807"/>
      <c r="J2" s="807"/>
      <c r="K2" s="807"/>
      <c r="L2" s="807"/>
      <c r="M2" s="807"/>
      <c r="N2" s="807"/>
      <c r="O2" s="807"/>
      <c r="P2" s="807"/>
      <c r="Q2" s="807"/>
      <c r="R2" s="807"/>
    </row>
    <row r="3" spans="1:18" ht="16.05" customHeight="1">
      <c r="A3" s="808" t="s">
        <v>66</v>
      </c>
      <c r="B3" s="464"/>
      <c r="C3" s="464"/>
      <c r="D3" s="464"/>
      <c r="E3" s="464"/>
      <c r="F3" s="464"/>
      <c r="G3" s="464"/>
      <c r="H3" s="464"/>
      <c r="I3" s="464"/>
      <c r="J3" s="464"/>
      <c r="K3" s="464"/>
      <c r="L3" s="464"/>
      <c r="M3" s="464"/>
      <c r="N3" s="464"/>
      <c r="O3" s="464"/>
      <c r="P3" s="464"/>
      <c r="Q3" s="464"/>
      <c r="R3" s="464"/>
    </row>
    <row r="4" spans="1:18" ht="17.399999999999999">
      <c r="A4" s="1264" t="s">
        <v>63</v>
      </c>
      <c r="B4" s="1264"/>
      <c r="C4" s="1264"/>
      <c r="D4" s="1264"/>
      <c r="E4" s="1264"/>
      <c r="F4" s="1264"/>
      <c r="G4" s="1264"/>
      <c r="H4" s="1264"/>
      <c r="I4" s="1264"/>
      <c r="J4" s="1264"/>
      <c r="K4" s="1264"/>
      <c r="L4" s="1264"/>
      <c r="M4" s="1264"/>
      <c r="N4" s="1264"/>
      <c r="O4" s="1264"/>
      <c r="P4" s="1264"/>
      <c r="Q4" s="1264"/>
      <c r="R4" s="1264"/>
    </row>
    <row r="5" spans="1:18" ht="16.05" customHeight="1">
      <c r="A5" s="1265" t="s">
        <v>62</v>
      </c>
      <c r="B5" s="1265"/>
      <c r="C5" s="1265"/>
      <c r="D5" s="1265"/>
      <c r="E5" s="1265"/>
      <c r="F5" s="1265"/>
      <c r="G5" s="1265"/>
      <c r="H5" s="1265"/>
      <c r="I5" s="1265"/>
      <c r="J5" s="1265"/>
      <c r="K5" s="1265"/>
      <c r="L5" s="1265"/>
      <c r="M5" s="1265"/>
      <c r="N5" s="1265"/>
      <c r="O5" s="1265"/>
      <c r="P5" s="1265"/>
      <c r="Q5" s="1265"/>
      <c r="R5" s="1265"/>
    </row>
    <row r="6" spans="1:18" ht="16.05" customHeight="1">
      <c r="A6" s="808"/>
      <c r="B6" s="464"/>
      <c r="C6" s="464"/>
      <c r="D6" s="464"/>
      <c r="E6" s="464"/>
      <c r="F6" s="464"/>
      <c r="G6" s="464"/>
      <c r="H6" s="464"/>
      <c r="I6" s="464"/>
      <c r="J6" s="464"/>
      <c r="K6" s="464"/>
      <c r="L6" s="464"/>
      <c r="M6" s="464"/>
      <c r="N6" s="464"/>
      <c r="O6" s="464"/>
      <c r="P6" s="464"/>
      <c r="Q6" s="464"/>
      <c r="R6" s="464"/>
    </row>
    <row r="7" spans="1:18" s="448" customFormat="1" ht="14.85" customHeight="1">
      <c r="A7" s="1261" t="s">
        <v>961</v>
      </c>
      <c r="B7" s="1259"/>
      <c r="C7" s="447"/>
      <c r="D7" s="447"/>
      <c r="E7" s="447"/>
      <c r="F7" s="447"/>
      <c r="G7" s="447"/>
      <c r="H7" s="447"/>
      <c r="I7" s="447"/>
      <c r="J7" s="447"/>
      <c r="K7" s="447"/>
      <c r="L7" s="447"/>
      <c r="M7" s="447"/>
      <c r="N7" s="447"/>
      <c r="O7" s="447"/>
      <c r="P7" s="447"/>
      <c r="Q7" s="447"/>
      <c r="R7" s="810" t="s">
        <v>962</v>
      </c>
    </row>
    <row r="8" spans="1:18" s="468" customFormat="1" ht="14.55" customHeight="1">
      <c r="A8" s="465"/>
      <c r="B8" s="466"/>
      <c r="C8" s="1262" t="s">
        <v>386</v>
      </c>
      <c r="D8" s="1266"/>
      <c r="E8" s="1266"/>
      <c r="F8" s="1263"/>
      <c r="G8" s="1262" t="s">
        <v>1105</v>
      </c>
      <c r="H8" s="1266"/>
      <c r="I8" s="1266"/>
      <c r="J8" s="1263"/>
      <c r="K8" s="1262" t="s">
        <v>1106</v>
      </c>
      <c r="L8" s="1266"/>
      <c r="M8" s="1266"/>
      <c r="N8" s="1263"/>
      <c r="O8" s="1262" t="s">
        <v>1107</v>
      </c>
      <c r="P8" s="1266"/>
      <c r="Q8" s="1266"/>
      <c r="R8" s="1263"/>
    </row>
    <row r="9" spans="1:18" s="468" customFormat="1" ht="14.25" customHeight="1">
      <c r="A9" s="811"/>
      <c r="B9" s="812"/>
      <c r="C9" s="1253" t="s">
        <v>1108</v>
      </c>
      <c r="D9" s="1267"/>
      <c r="E9" s="1267"/>
      <c r="F9" s="1254"/>
      <c r="G9" s="1253" t="s">
        <v>1109</v>
      </c>
      <c r="H9" s="1267"/>
      <c r="I9" s="1267"/>
      <c r="J9" s="1254"/>
      <c r="K9" s="1253" t="s">
        <v>1110</v>
      </c>
      <c r="L9" s="1267"/>
      <c r="M9" s="1267"/>
      <c r="N9" s="1254"/>
      <c r="O9" s="1253" t="s">
        <v>1111</v>
      </c>
      <c r="P9" s="1267" t="s">
        <v>1111</v>
      </c>
      <c r="Q9" s="1267"/>
      <c r="R9" s="1254"/>
    </row>
    <row r="10" spans="1:18" s="468" customFormat="1" ht="51" customHeight="1">
      <c r="A10" s="811" t="s">
        <v>379</v>
      </c>
      <c r="B10" s="812"/>
      <c r="C10" s="1268" t="s">
        <v>1112</v>
      </c>
      <c r="D10" s="1269"/>
      <c r="E10" s="1268" t="s">
        <v>1113</v>
      </c>
      <c r="F10" s="1269"/>
      <c r="G10" s="1268" t="s">
        <v>1114</v>
      </c>
      <c r="H10" s="1269"/>
      <c r="I10" s="1268" t="s">
        <v>1115</v>
      </c>
      <c r="J10" s="1269"/>
      <c r="K10" s="1268" t="s">
        <v>1136</v>
      </c>
      <c r="L10" s="1269"/>
      <c r="M10" s="1268" t="s">
        <v>1117</v>
      </c>
      <c r="N10" s="1269"/>
      <c r="O10" s="1268" t="s">
        <v>1118</v>
      </c>
      <c r="P10" s="1269"/>
      <c r="Q10" s="1268" t="s">
        <v>1119</v>
      </c>
      <c r="R10" s="1269"/>
    </row>
    <row r="11" spans="1:18" s="482" customFormat="1" ht="31.5" customHeight="1">
      <c r="A11" s="813" t="s">
        <v>387</v>
      </c>
      <c r="B11" s="814"/>
      <c r="C11" s="1270" t="s">
        <v>1120</v>
      </c>
      <c r="D11" s="1271"/>
      <c r="E11" s="1270" t="s">
        <v>1121</v>
      </c>
      <c r="F11" s="1271"/>
      <c r="G11" s="1270" t="s">
        <v>1122</v>
      </c>
      <c r="H11" s="1271"/>
      <c r="I11" s="1270" t="s">
        <v>1123</v>
      </c>
      <c r="J11" s="1271"/>
      <c r="K11" s="1270" t="s">
        <v>1124</v>
      </c>
      <c r="L11" s="1271"/>
      <c r="M11" s="1270" t="s">
        <v>1125</v>
      </c>
      <c r="N11" s="1271"/>
      <c r="O11" s="1272" t="s">
        <v>1126</v>
      </c>
      <c r="P11" s="1273"/>
      <c r="Q11" s="1272" t="s">
        <v>1127</v>
      </c>
      <c r="R11" s="1273"/>
    </row>
    <row r="12" spans="1:18" s="482" customFormat="1" ht="15.6">
      <c r="A12" s="813"/>
      <c r="B12" s="814"/>
      <c r="C12" s="473" t="s">
        <v>1137</v>
      </c>
      <c r="D12" s="474" t="s">
        <v>1138</v>
      </c>
      <c r="E12" s="473" t="s">
        <v>1137</v>
      </c>
      <c r="F12" s="474" t="s">
        <v>1138</v>
      </c>
      <c r="G12" s="473" t="s">
        <v>1137</v>
      </c>
      <c r="H12" s="474" t="s">
        <v>1138</v>
      </c>
      <c r="I12" s="473" t="s">
        <v>1137</v>
      </c>
      <c r="J12" s="474" t="s">
        <v>1138</v>
      </c>
      <c r="K12" s="473" t="s">
        <v>1137</v>
      </c>
      <c r="L12" s="474" t="s">
        <v>1138</v>
      </c>
      <c r="M12" s="473" t="s">
        <v>1137</v>
      </c>
      <c r="N12" s="474" t="s">
        <v>1138</v>
      </c>
      <c r="O12" s="473" t="s">
        <v>1137</v>
      </c>
      <c r="P12" s="474" t="s">
        <v>1138</v>
      </c>
      <c r="Q12" s="473" t="s">
        <v>1137</v>
      </c>
      <c r="R12" s="474" t="s">
        <v>1138</v>
      </c>
    </row>
    <row r="13" spans="1:18" s="482" customFormat="1" ht="13.8">
      <c r="A13" s="476"/>
      <c r="B13" s="477"/>
      <c r="C13" s="514" t="s">
        <v>502</v>
      </c>
      <c r="D13" s="515" t="s">
        <v>1139</v>
      </c>
      <c r="E13" s="514" t="s">
        <v>502</v>
      </c>
      <c r="F13" s="515" t="s">
        <v>1139</v>
      </c>
      <c r="G13" s="514" t="s">
        <v>502</v>
      </c>
      <c r="H13" s="515" t="s">
        <v>1139</v>
      </c>
      <c r="I13" s="514" t="s">
        <v>502</v>
      </c>
      <c r="J13" s="515" t="s">
        <v>1139</v>
      </c>
      <c r="K13" s="514" t="s">
        <v>502</v>
      </c>
      <c r="L13" s="515" t="s">
        <v>1139</v>
      </c>
      <c r="M13" s="514" t="s">
        <v>502</v>
      </c>
      <c r="N13" s="515" t="s">
        <v>1139</v>
      </c>
      <c r="O13" s="514" t="s">
        <v>502</v>
      </c>
      <c r="P13" s="515" t="s">
        <v>1139</v>
      </c>
      <c r="Q13" s="514" t="s">
        <v>502</v>
      </c>
      <c r="R13" s="515" t="s">
        <v>1139</v>
      </c>
    </row>
    <row r="14" spans="1:18" s="468" customFormat="1" ht="20.25" customHeight="1">
      <c r="A14" s="816">
        <v>2015</v>
      </c>
      <c r="B14" s="495"/>
      <c r="C14" s="817">
        <v>15.866674999204399</v>
      </c>
      <c r="D14" s="817">
        <v>20.653148923608512</v>
      </c>
      <c r="E14" s="817">
        <v>13.688763867893289</v>
      </c>
      <c r="F14" s="817">
        <v>20.124081212441915</v>
      </c>
      <c r="G14" s="817">
        <v>11.998646386462864</v>
      </c>
      <c r="H14" s="817">
        <v>4.6153306132940806</v>
      </c>
      <c r="I14" s="817">
        <v>39.571990435885354</v>
      </c>
      <c r="J14" s="817">
        <v>81.197252147161763</v>
      </c>
      <c r="K14" s="817">
        <v>0.18822912640583137</v>
      </c>
      <c r="L14" s="817">
        <v>-0.50760509587381952</v>
      </c>
      <c r="M14" s="817">
        <v>1.4393591464685849</v>
      </c>
      <c r="N14" s="817">
        <v>-3.3881915176292567</v>
      </c>
      <c r="O14" s="817">
        <v>9.9088814254713213</v>
      </c>
      <c r="P14" s="817">
        <v>20.794402618314141</v>
      </c>
      <c r="Q14" s="817">
        <v>77.996852868137296</v>
      </c>
      <c r="R14" s="817">
        <v>61.764121864178712</v>
      </c>
    </row>
    <row r="15" spans="1:18" s="468" customFormat="1" ht="16.05" customHeight="1">
      <c r="A15" s="816">
        <v>2016</v>
      </c>
      <c r="B15" s="495"/>
      <c r="C15" s="817">
        <v>17.235010613901544</v>
      </c>
      <c r="D15" s="817">
        <v>19.195597694432092</v>
      </c>
      <c r="E15" s="817">
        <v>15.200791663737846</v>
      </c>
      <c r="F15" s="817">
        <v>18.573701670315472</v>
      </c>
      <c r="G15" s="817">
        <v>11.421567325948594</v>
      </c>
      <c r="H15" s="817">
        <v>3.6854713826939078</v>
      </c>
      <c r="I15" s="817">
        <v>40.088893374435472</v>
      </c>
      <c r="J15" s="817">
        <v>81.42067251375633</v>
      </c>
      <c r="K15" s="817">
        <v>0.39021737603055284</v>
      </c>
      <c r="L15" s="817">
        <v>1.0753047579929509</v>
      </c>
      <c r="M15" s="817">
        <v>3.2030190190818222</v>
      </c>
      <c r="N15" s="817">
        <v>7.2424147601870752</v>
      </c>
      <c r="O15" s="817">
        <v>13.63983692123395</v>
      </c>
      <c r="P15" s="817">
        <v>17.702170846722652</v>
      </c>
      <c r="Q15" s="817">
        <v>78.655391286876878</v>
      </c>
      <c r="R15" s="817">
        <v>59.486552984480824</v>
      </c>
    </row>
    <row r="16" spans="1:18" s="468" customFormat="1" ht="16.05" customHeight="1">
      <c r="A16" s="816">
        <v>2017</v>
      </c>
      <c r="B16" s="495"/>
      <c r="C16" s="817">
        <v>18.597231289337422</v>
      </c>
      <c r="D16" s="817">
        <v>18.256519584134733</v>
      </c>
      <c r="E16" s="817">
        <v>15.489628314855583</v>
      </c>
      <c r="F16" s="817">
        <v>17.665646107729323</v>
      </c>
      <c r="G16" s="817">
        <v>10.001790659536855</v>
      </c>
      <c r="H16" s="817">
        <v>2.5504962755369753</v>
      </c>
      <c r="I16" s="817">
        <v>35.892064303069681</v>
      </c>
      <c r="J16" s="817">
        <v>86.467674417408233</v>
      </c>
      <c r="K16" s="817">
        <v>0.60140260754106067</v>
      </c>
      <c r="L16" s="817">
        <v>0.9041736033411083</v>
      </c>
      <c r="M16" s="817">
        <v>6.1433541797606832</v>
      </c>
      <c r="N16" s="817">
        <v>6.2411490755842713</v>
      </c>
      <c r="O16" s="817">
        <v>11.984584750580849</v>
      </c>
      <c r="P16" s="817">
        <v>22.386654156278023</v>
      </c>
      <c r="Q16" s="817">
        <v>89.757001255076247</v>
      </c>
      <c r="R16" s="817">
        <v>60.439351421679909</v>
      </c>
    </row>
    <row r="17" spans="1:27" s="468" customFormat="1" ht="16.5" customHeight="1">
      <c r="A17" s="816">
        <v>2018</v>
      </c>
      <c r="B17" s="823"/>
      <c r="C17" s="817">
        <v>17.820521748592487</v>
      </c>
      <c r="D17" s="817">
        <v>17.912539877450765</v>
      </c>
      <c r="E17" s="817">
        <v>14.894230734552643</v>
      </c>
      <c r="F17" s="817">
        <v>16.875409007939091</v>
      </c>
      <c r="G17" s="817">
        <v>9.4648173983528459</v>
      </c>
      <c r="H17" s="817">
        <v>1.3227958000890094</v>
      </c>
      <c r="I17" s="817">
        <v>39.393036203526087</v>
      </c>
      <c r="J17" s="817">
        <v>79.569502273446403</v>
      </c>
      <c r="K17" s="817">
        <v>0.58109528168399305</v>
      </c>
      <c r="L17" s="817">
        <v>0.93238599218401996</v>
      </c>
      <c r="M17" s="817">
        <v>6.6578710751986501</v>
      </c>
      <c r="N17" s="817">
        <v>6.8950305444323128</v>
      </c>
      <c r="O17" s="817">
        <v>14.056915885673401</v>
      </c>
      <c r="P17" s="817">
        <v>12.639113874506464</v>
      </c>
      <c r="Q17" s="817">
        <v>94.753776689689857</v>
      </c>
      <c r="R17" s="817">
        <v>75.077777735309525</v>
      </c>
      <c r="S17" s="821"/>
      <c r="T17" s="822"/>
      <c r="U17" s="822"/>
      <c r="V17" s="822"/>
      <c r="W17" s="822"/>
      <c r="X17" s="822"/>
      <c r="Y17" s="822"/>
      <c r="Z17" s="822"/>
      <c r="AA17" s="822"/>
    </row>
    <row r="18" spans="1:27" s="468" customFormat="1" ht="16.5" customHeight="1">
      <c r="A18" s="816">
        <v>2019</v>
      </c>
      <c r="B18" s="823"/>
      <c r="C18" s="817">
        <v>18.340711061670319</v>
      </c>
      <c r="D18" s="817">
        <v>18.241260544476891</v>
      </c>
      <c r="E18" s="817">
        <v>15.697184529076132</v>
      </c>
      <c r="F18" s="817">
        <v>17.057813825756334</v>
      </c>
      <c r="G18" s="817">
        <v>10.370949634544392</v>
      </c>
      <c r="H18" s="817">
        <v>1.088783107661631</v>
      </c>
      <c r="I18" s="817">
        <v>36.707832703131707</v>
      </c>
      <c r="J18" s="817">
        <v>93.816035393565073</v>
      </c>
      <c r="K18" s="817">
        <v>0.40894190584099016</v>
      </c>
      <c r="L18" s="817">
        <v>0.71816166462051856</v>
      </c>
      <c r="M18" s="817">
        <v>4.727663523231489</v>
      </c>
      <c r="N18" s="817">
        <v>6.3630287865944881</v>
      </c>
      <c r="O18" s="817">
        <v>17.538120373357387</v>
      </c>
      <c r="P18" s="817">
        <v>17.906429891400368</v>
      </c>
      <c r="Q18" s="817">
        <v>68.583320088437233</v>
      </c>
      <c r="R18" s="817">
        <v>66.508123690860927</v>
      </c>
      <c r="S18" s="821"/>
      <c r="T18" s="822"/>
      <c r="U18" s="822"/>
      <c r="V18" s="822"/>
      <c r="W18" s="822"/>
      <c r="X18" s="822"/>
      <c r="Y18" s="822"/>
      <c r="Z18" s="822"/>
      <c r="AA18" s="822"/>
    </row>
    <row r="19" spans="1:27" s="468" customFormat="1" ht="16.5" customHeight="1">
      <c r="A19" s="816">
        <v>2020</v>
      </c>
      <c r="B19" s="823"/>
      <c r="C19" s="817">
        <v>20.277029178404224</v>
      </c>
      <c r="D19" s="817">
        <v>16.442431637949369</v>
      </c>
      <c r="E19" s="817">
        <v>17.905600095545804</v>
      </c>
      <c r="F19" s="817">
        <v>14.995063273494255</v>
      </c>
      <c r="G19" s="817">
        <v>6.5237763766196473</v>
      </c>
      <c r="H19" s="817">
        <v>1.5887339029211744</v>
      </c>
      <c r="I19" s="817">
        <v>42.862850198424226</v>
      </c>
      <c r="J19" s="817">
        <v>87.633001068496782</v>
      </c>
      <c r="K19" s="817">
        <v>0.18761111530486138</v>
      </c>
      <c r="L19" s="817">
        <v>0.29496733733199393</v>
      </c>
      <c r="M19" s="817">
        <v>2.1365809718669677</v>
      </c>
      <c r="N19" s="817">
        <v>3.1131464350149702</v>
      </c>
      <c r="O19" s="817">
        <v>17.807608970237069</v>
      </c>
      <c r="P19" s="817">
        <v>14.595868815949952</v>
      </c>
      <c r="Q19" s="817">
        <v>67.041587948333444</v>
      </c>
      <c r="R19" s="817">
        <v>59.299880688588068</v>
      </c>
      <c r="S19" s="821"/>
      <c r="T19" s="822"/>
      <c r="U19" s="822"/>
      <c r="V19" s="822"/>
      <c r="W19" s="822"/>
      <c r="X19" s="822"/>
      <c r="Y19" s="822"/>
      <c r="Z19" s="822"/>
      <c r="AA19" s="822"/>
    </row>
    <row r="20" spans="1:27" s="468" customFormat="1" ht="16.5" customHeight="1">
      <c r="A20" s="816">
        <v>2021</v>
      </c>
      <c r="B20" s="823"/>
      <c r="C20" s="817">
        <v>21.738638233407805</v>
      </c>
      <c r="D20" s="817">
        <v>15.786312819327787</v>
      </c>
      <c r="E20" s="817">
        <v>19.934081000208469</v>
      </c>
      <c r="F20" s="817">
        <v>14.436404508225973</v>
      </c>
      <c r="G20" s="817">
        <v>5.0492545987225697</v>
      </c>
      <c r="H20" s="817">
        <v>0.70145334119164737</v>
      </c>
      <c r="I20" s="817">
        <v>56.436486221906158</v>
      </c>
      <c r="J20" s="817">
        <v>91.952521887944656</v>
      </c>
      <c r="K20" s="817">
        <v>0.61178484989441873</v>
      </c>
      <c r="L20" s="817">
        <v>0.82133737162927156</v>
      </c>
      <c r="M20" s="817">
        <v>7.3183452808895382</v>
      </c>
      <c r="N20" s="817">
        <v>9.9919341223515232</v>
      </c>
      <c r="O20" s="817">
        <v>19.459308228380714</v>
      </c>
      <c r="P20" s="817">
        <v>17.986290751259389</v>
      </c>
      <c r="Q20" s="817">
        <v>64.270420008560237</v>
      </c>
      <c r="R20" s="817">
        <v>59.370045630243375</v>
      </c>
      <c r="S20" s="821"/>
      <c r="T20" s="822"/>
      <c r="U20" s="822"/>
      <c r="V20" s="822"/>
      <c r="W20" s="822"/>
      <c r="X20" s="822"/>
      <c r="Y20" s="822"/>
      <c r="Z20" s="822"/>
      <c r="AA20" s="822"/>
    </row>
    <row r="21" spans="1:27" s="468" customFormat="1" ht="16.5" customHeight="1">
      <c r="A21" s="816">
        <v>2022</v>
      </c>
      <c r="B21" s="823"/>
      <c r="C21" s="817">
        <f t="shared" ref="C21:R21" si="0">C32</f>
        <v>21.204814675250162</v>
      </c>
      <c r="D21" s="817">
        <f t="shared" si="0"/>
        <v>16.905150123165441</v>
      </c>
      <c r="E21" s="817">
        <f t="shared" si="0"/>
        <v>19.70261638468326</v>
      </c>
      <c r="F21" s="817">
        <f t="shared" si="0"/>
        <v>16.180489072230692</v>
      </c>
      <c r="G21" s="817">
        <f t="shared" si="0"/>
        <v>4.8093161737589858</v>
      </c>
      <c r="H21" s="817">
        <f t="shared" si="0"/>
        <v>4.7559375447699637</v>
      </c>
      <c r="I21" s="817">
        <f t="shared" si="0"/>
        <v>54.768042702269028</v>
      </c>
      <c r="J21" s="817">
        <f t="shared" si="0"/>
        <v>94.902974678441836</v>
      </c>
      <c r="K21" s="817">
        <f t="shared" si="0"/>
        <v>0.87595227018522537</v>
      </c>
      <c r="L21" s="817">
        <f t="shared" si="0"/>
        <v>1.100102681681584</v>
      </c>
      <c r="M21" s="817">
        <f t="shared" si="0"/>
        <v>10.617069117244164</v>
      </c>
      <c r="N21" s="817">
        <f t="shared" si="0"/>
        <v>10.270111723584328</v>
      </c>
      <c r="O21" s="817">
        <f t="shared" si="0"/>
        <v>17.002769647396214</v>
      </c>
      <c r="P21" s="817">
        <f t="shared" si="0"/>
        <v>13.787628081342373</v>
      </c>
      <c r="Q21" s="817">
        <f t="shared" si="0"/>
        <v>62.14686370019303</v>
      </c>
      <c r="R21" s="817">
        <f t="shared" si="0"/>
        <v>24.958679427474355</v>
      </c>
      <c r="S21" s="821"/>
      <c r="T21" s="822"/>
      <c r="U21" s="822"/>
      <c r="V21" s="822"/>
      <c r="W21" s="822"/>
      <c r="X21" s="822"/>
      <c r="Y21" s="822"/>
      <c r="Z21" s="822"/>
      <c r="AA21" s="822"/>
    </row>
    <row r="22" spans="1:27" s="468" customFormat="1" ht="16.5" customHeight="1">
      <c r="A22" s="816">
        <v>2023</v>
      </c>
      <c r="B22" s="823"/>
      <c r="C22" s="817">
        <f t="shared" ref="C22:R22" si="1">C36</f>
        <v>19.96305153756693</v>
      </c>
      <c r="D22" s="817">
        <f t="shared" si="1"/>
        <v>17.378854683113332</v>
      </c>
      <c r="E22" s="817">
        <f t="shared" si="1"/>
        <v>18.245928283180287</v>
      </c>
      <c r="F22" s="817">
        <f t="shared" si="1"/>
        <v>16.531807790188662</v>
      </c>
      <c r="G22" s="817">
        <f t="shared" si="1"/>
        <v>4.9295077007297978</v>
      </c>
      <c r="H22" s="817">
        <f t="shared" si="1"/>
        <v>0.99112401615405099</v>
      </c>
      <c r="I22" s="817">
        <f t="shared" si="1"/>
        <v>40.510930108623803</v>
      </c>
      <c r="J22" s="817">
        <f t="shared" si="1"/>
        <v>87.51046908990962</v>
      </c>
      <c r="K22" s="817">
        <f t="shared" si="1"/>
        <v>0.60608117266301587</v>
      </c>
      <c r="L22" s="817">
        <f t="shared" si="1"/>
        <v>1.2840845161266219</v>
      </c>
      <c r="M22" s="817">
        <f t="shared" si="1"/>
        <v>8.1738970833670184</v>
      </c>
      <c r="N22" s="817">
        <f t="shared" si="1"/>
        <v>9.9930881596790204</v>
      </c>
      <c r="O22" s="817">
        <f t="shared" si="1"/>
        <v>17.733423357233622</v>
      </c>
      <c r="P22" s="817">
        <f t="shared" si="1"/>
        <v>19.927673120983716</v>
      </c>
      <c r="Q22" s="817">
        <f t="shared" si="1"/>
        <v>61.43289413689056</v>
      </c>
      <c r="R22" s="817">
        <f t="shared" si="1"/>
        <v>30.403678580265925</v>
      </c>
      <c r="S22" s="821"/>
      <c r="T22" s="822"/>
      <c r="U22" s="822"/>
      <c r="V22" s="822"/>
      <c r="W22" s="822"/>
      <c r="X22" s="822"/>
      <c r="Y22" s="822"/>
      <c r="Z22" s="822"/>
      <c r="AA22" s="822"/>
    </row>
    <row r="23" spans="1:27" s="468" customFormat="1" ht="16.5" customHeight="1">
      <c r="A23" s="816">
        <v>2024</v>
      </c>
      <c r="B23" s="823"/>
      <c r="C23" s="817">
        <f t="shared" ref="C23:R23" si="2">C40</f>
        <v>24.6</v>
      </c>
      <c r="D23" s="817">
        <f t="shared" si="2"/>
        <v>19.600000000000001</v>
      </c>
      <c r="E23" s="817">
        <f t="shared" si="2"/>
        <v>23</v>
      </c>
      <c r="F23" s="817">
        <f t="shared" si="2"/>
        <v>18.899999999999999</v>
      </c>
      <c r="G23" s="817">
        <f t="shared" si="2"/>
        <v>4.3</v>
      </c>
      <c r="H23" s="817">
        <f t="shared" si="2"/>
        <v>1.1000000000000001</v>
      </c>
      <c r="I23" s="817">
        <f t="shared" si="2"/>
        <v>42.8</v>
      </c>
      <c r="J23" s="817">
        <f t="shared" si="2"/>
        <v>43.9</v>
      </c>
      <c r="K23" s="817">
        <f t="shared" si="2"/>
        <v>1.5</v>
      </c>
      <c r="L23" s="817">
        <f t="shared" si="2"/>
        <v>1.3</v>
      </c>
      <c r="M23" s="817">
        <f t="shared" si="2"/>
        <v>16.5</v>
      </c>
      <c r="N23" s="817">
        <f t="shared" si="2"/>
        <v>13.1</v>
      </c>
      <c r="O23" s="817">
        <f t="shared" si="2"/>
        <v>24.8</v>
      </c>
      <c r="P23" s="817">
        <f t="shared" si="2"/>
        <v>23.8</v>
      </c>
      <c r="Q23" s="817">
        <f t="shared" si="2"/>
        <v>56.1</v>
      </c>
      <c r="R23" s="817">
        <f t="shared" si="2"/>
        <v>29.3</v>
      </c>
      <c r="S23" s="821"/>
      <c r="T23" s="822"/>
      <c r="U23" s="822"/>
      <c r="V23" s="822"/>
      <c r="W23" s="822"/>
      <c r="X23" s="822"/>
      <c r="Y23" s="822"/>
      <c r="Z23" s="822"/>
      <c r="AA23" s="822"/>
    </row>
    <row r="24" spans="1:27" s="468" customFormat="1" ht="16.5" customHeight="1">
      <c r="A24" s="819">
        <v>2025</v>
      </c>
      <c r="B24" s="820"/>
      <c r="C24" s="827">
        <f t="shared" ref="C24:R24" si="3">C44</f>
        <v>27.7</v>
      </c>
      <c r="D24" s="827">
        <f t="shared" si="3"/>
        <v>19.7</v>
      </c>
      <c r="E24" s="827">
        <f t="shared" si="3"/>
        <v>25.9</v>
      </c>
      <c r="F24" s="827">
        <f t="shared" si="3"/>
        <v>19</v>
      </c>
      <c r="G24" s="827">
        <f t="shared" si="3"/>
        <v>4</v>
      </c>
      <c r="H24" s="827">
        <f t="shared" si="3"/>
        <v>1</v>
      </c>
      <c r="I24" s="827">
        <f t="shared" si="3"/>
        <v>50.7</v>
      </c>
      <c r="J24" s="827">
        <f t="shared" si="3"/>
        <v>110.6</v>
      </c>
      <c r="K24" s="827">
        <f t="shared" si="3"/>
        <v>1.5</v>
      </c>
      <c r="L24" s="827">
        <f t="shared" si="3"/>
        <v>1.2</v>
      </c>
      <c r="M24" s="827">
        <f t="shared" si="3"/>
        <v>13.2</v>
      </c>
      <c r="N24" s="827">
        <f t="shared" si="3"/>
        <v>13.7</v>
      </c>
      <c r="O24" s="827">
        <f t="shared" si="3"/>
        <v>23.6</v>
      </c>
      <c r="P24" s="827">
        <f t="shared" si="3"/>
        <v>17.600000000000001</v>
      </c>
      <c r="Q24" s="827">
        <f t="shared" si="3"/>
        <v>57.3</v>
      </c>
      <c r="R24" s="827">
        <f t="shared" si="3"/>
        <v>30.5</v>
      </c>
      <c r="S24" s="822"/>
      <c r="T24" s="822"/>
      <c r="U24" s="822"/>
      <c r="V24" s="822"/>
      <c r="W24" s="822"/>
      <c r="X24" s="822"/>
      <c r="Y24" s="822"/>
      <c r="Z24" s="822"/>
      <c r="AA24" s="822"/>
    </row>
    <row r="25" spans="1:27" s="822" customFormat="1" ht="21.3" customHeight="1">
      <c r="A25" s="824">
        <v>2021</v>
      </c>
      <c r="B25" s="825" t="s">
        <v>239</v>
      </c>
      <c r="C25" s="817">
        <v>19.986897178279239</v>
      </c>
      <c r="D25" s="817">
        <v>16.175265895231014</v>
      </c>
      <c r="E25" s="817">
        <v>17.934192047625601</v>
      </c>
      <c r="F25" s="817">
        <v>14.89194292544834</v>
      </c>
      <c r="G25" s="817">
        <v>5.9742815219412044</v>
      </c>
      <c r="H25" s="817">
        <v>1.7717186340222193</v>
      </c>
      <c r="I25" s="817">
        <v>48.767217557226203</v>
      </c>
      <c r="J25" s="817">
        <v>78.637021471604768</v>
      </c>
      <c r="K25" s="817">
        <v>0.18818556020999577</v>
      </c>
      <c r="L25" s="817">
        <v>0.26090648699960972</v>
      </c>
      <c r="M25" s="817">
        <v>2.2299612290608515</v>
      </c>
      <c r="N25" s="817">
        <v>2.7464582915074129</v>
      </c>
      <c r="O25" s="817">
        <v>16.193630792429907</v>
      </c>
      <c r="P25" s="817">
        <v>19.256924911159494</v>
      </c>
      <c r="Q25" s="817">
        <v>66.417764141933944</v>
      </c>
      <c r="R25" s="817">
        <v>62.320103951104677</v>
      </c>
    </row>
    <row r="26" spans="1:27" s="822" customFormat="1" ht="16.5" customHeight="1">
      <c r="A26" s="824"/>
      <c r="B26" s="825" t="s">
        <v>240</v>
      </c>
      <c r="C26" s="817">
        <v>21.590405591043446</v>
      </c>
      <c r="D26" s="817">
        <v>16.132151841233963</v>
      </c>
      <c r="E26" s="817">
        <v>19.647145713692222</v>
      </c>
      <c r="F26" s="817">
        <v>14.988832081023752</v>
      </c>
      <c r="G26" s="817">
        <v>5.5434703161048295</v>
      </c>
      <c r="H26" s="817">
        <v>1.7082217871144507</v>
      </c>
      <c r="I26" s="817">
        <v>51.833086647995508</v>
      </c>
      <c r="J26" s="817">
        <v>79.437412557436403</v>
      </c>
      <c r="K26" s="817">
        <v>0.31051145367329264</v>
      </c>
      <c r="L26" s="817">
        <v>0.3888958309128201</v>
      </c>
      <c r="M26" s="817">
        <v>3.5597068978993645</v>
      </c>
      <c r="N26" s="817">
        <v>4.2562403133519133</v>
      </c>
      <c r="O26" s="817">
        <v>19.166447909043903</v>
      </c>
      <c r="P26" s="817">
        <v>18.968409661223095</v>
      </c>
      <c r="Q26" s="817">
        <v>65.132026488373143</v>
      </c>
      <c r="R26" s="817">
        <v>60.085941971021583</v>
      </c>
    </row>
    <row r="27" spans="1:27" s="822" customFormat="1" ht="16.5" customHeight="1">
      <c r="A27" s="824"/>
      <c r="B27" s="825" t="s">
        <v>237</v>
      </c>
      <c r="C27" s="817">
        <v>21.44129993320043</v>
      </c>
      <c r="D27" s="817">
        <v>15.506505838202466</v>
      </c>
      <c r="E27" s="817">
        <v>19.574163076833546</v>
      </c>
      <c r="F27" s="817">
        <v>14.211294408837421</v>
      </c>
      <c r="G27" s="817">
        <v>5.375648521047367</v>
      </c>
      <c r="H27" s="817">
        <v>0.67820106856615503</v>
      </c>
      <c r="I27" s="817">
        <v>53.464868402047351</v>
      </c>
      <c r="J27" s="817">
        <v>93.716866196112008</v>
      </c>
      <c r="K27" s="817">
        <v>0.44714748740221233</v>
      </c>
      <c r="L27" s="817">
        <v>0.6683692455998218</v>
      </c>
      <c r="M27" s="817">
        <v>5.1398526083204761</v>
      </c>
      <c r="N27" s="817">
        <v>8.3304100460945794</v>
      </c>
      <c r="O27" s="817">
        <v>18.561938187768828</v>
      </c>
      <c r="P27" s="817">
        <v>20.262299452955279</v>
      </c>
      <c r="Q27" s="817">
        <v>65.480297193332561</v>
      </c>
      <c r="R27" s="817">
        <v>57.919710401365599</v>
      </c>
    </row>
    <row r="28" spans="1:27" s="822" customFormat="1" ht="16.5" customHeight="1">
      <c r="A28" s="824"/>
      <c r="B28" s="825" t="s">
        <v>238</v>
      </c>
      <c r="C28" s="817">
        <v>21.738638233407805</v>
      </c>
      <c r="D28" s="817">
        <v>15.786312819327787</v>
      </c>
      <c r="E28" s="817">
        <v>19.934081000208469</v>
      </c>
      <c r="F28" s="817">
        <v>14.436404508225973</v>
      </c>
      <c r="G28" s="817">
        <v>5.0492545987225697</v>
      </c>
      <c r="H28" s="817">
        <v>0.70145334119164737</v>
      </c>
      <c r="I28" s="817">
        <v>56.436486221906158</v>
      </c>
      <c r="J28" s="817">
        <v>91.952521887944656</v>
      </c>
      <c r="K28" s="817">
        <v>0.61178484989441873</v>
      </c>
      <c r="L28" s="817">
        <v>0.82133737162927156</v>
      </c>
      <c r="M28" s="817">
        <v>7.3183452808895382</v>
      </c>
      <c r="N28" s="817">
        <v>9.9919341223515232</v>
      </c>
      <c r="O28" s="817">
        <v>19.459308228380714</v>
      </c>
      <c r="P28" s="817">
        <v>17.986290751259389</v>
      </c>
      <c r="Q28" s="817">
        <v>64.270420008560237</v>
      </c>
      <c r="R28" s="817">
        <v>59.370045630243375</v>
      </c>
    </row>
    <row r="29" spans="1:27" s="822" customFormat="1" ht="20.25" customHeight="1">
      <c r="A29" s="824">
        <v>2022</v>
      </c>
      <c r="B29" s="825" t="s">
        <v>239</v>
      </c>
      <c r="C29" s="817">
        <v>21.35972303294864</v>
      </c>
      <c r="D29" s="817">
        <v>15.830032889595458</v>
      </c>
      <c r="E29" s="817">
        <v>19.6553891856272</v>
      </c>
      <c r="F29" s="817">
        <v>15.171637689152664</v>
      </c>
      <c r="G29" s="817">
        <v>4.8581114660203868</v>
      </c>
      <c r="H29" s="817">
        <v>4.6063285345453879</v>
      </c>
      <c r="I29" s="817">
        <v>57.018833138914907</v>
      </c>
      <c r="J29" s="817">
        <v>99.883605280599554</v>
      </c>
      <c r="K29" s="817">
        <v>0.22114106726012239</v>
      </c>
      <c r="L29" s="817">
        <v>0.29802227667436149</v>
      </c>
      <c r="M29" s="817">
        <v>2.7083940010920249</v>
      </c>
      <c r="N29" s="817">
        <v>2.5129129075690559</v>
      </c>
      <c r="O29" s="817">
        <v>18.997011470619547</v>
      </c>
      <c r="P29" s="817">
        <v>22.674018328435363</v>
      </c>
      <c r="Q29" s="817">
        <v>63.879310284471956</v>
      </c>
      <c r="R29" s="817">
        <v>30.930311573809828</v>
      </c>
    </row>
    <row r="30" spans="1:27" s="822" customFormat="1" ht="16.5" customHeight="1">
      <c r="A30" s="824"/>
      <c r="B30" s="825" t="s">
        <v>240</v>
      </c>
      <c r="C30" s="817">
        <v>21.53118502355585</v>
      </c>
      <c r="D30" s="817">
        <v>15.304776964724418</v>
      </c>
      <c r="E30" s="817">
        <v>19.927797221200549</v>
      </c>
      <c r="F30" s="817">
        <v>14.708188481809822</v>
      </c>
      <c r="G30" s="817">
        <v>4.442580358863701</v>
      </c>
      <c r="H30" s="817">
        <v>6.2702723280730357</v>
      </c>
      <c r="I30" s="817">
        <v>58.964434761471566</v>
      </c>
      <c r="J30" s="817">
        <v>86.705004582379615</v>
      </c>
      <c r="K30" s="817">
        <v>0.43825304122199388</v>
      </c>
      <c r="L30" s="817">
        <v>0.55636578125652192</v>
      </c>
      <c r="M30" s="817">
        <v>5.4160283401158864</v>
      </c>
      <c r="N30" s="817">
        <v>5.0004153461711418</v>
      </c>
      <c r="O30" s="817">
        <v>18.939864481012222</v>
      </c>
      <c r="P30" s="817">
        <v>17.375993928868333</v>
      </c>
      <c r="Q30" s="817">
        <v>65.122665789298964</v>
      </c>
      <c r="R30" s="817">
        <v>25.386432466975194</v>
      </c>
    </row>
    <row r="31" spans="1:27" s="822" customFormat="1" ht="16.5" customHeight="1">
      <c r="A31" s="824"/>
      <c r="B31" s="1089" t="s">
        <v>237</v>
      </c>
      <c r="C31" s="817">
        <v>21.009492386619655</v>
      </c>
      <c r="D31" s="817">
        <v>15.410065728393604</v>
      </c>
      <c r="E31" s="817">
        <v>19.420792516885889</v>
      </c>
      <c r="F31" s="817">
        <v>14.742945142382771</v>
      </c>
      <c r="G31" s="817">
        <v>4.2397966936980644</v>
      </c>
      <c r="H31" s="817">
        <v>4.8281035053288823</v>
      </c>
      <c r="I31" s="817">
        <v>50.166413342213211</v>
      </c>
      <c r="J31" s="817">
        <v>100.40058541954305</v>
      </c>
      <c r="K31" s="817">
        <v>0.70938387032798378</v>
      </c>
      <c r="L31" s="817">
        <v>0.8383711908964836</v>
      </c>
      <c r="M31" s="817">
        <v>8.7827384618717161</v>
      </c>
      <c r="N31" s="817">
        <v>7.6174285313884686</v>
      </c>
      <c r="O31" s="817">
        <v>17.441710014928024</v>
      </c>
      <c r="P31" s="817">
        <v>13.717221496191787</v>
      </c>
      <c r="Q31" s="817">
        <v>63.637809242099699</v>
      </c>
      <c r="R31" s="817">
        <v>27.07675907890648</v>
      </c>
    </row>
    <row r="32" spans="1:27" s="822" customFormat="1" ht="16.5" customHeight="1">
      <c r="A32" s="824"/>
      <c r="B32" s="1089" t="s">
        <v>238</v>
      </c>
      <c r="C32" s="817">
        <v>21.204814675250162</v>
      </c>
      <c r="D32" s="817">
        <v>16.905150123165441</v>
      </c>
      <c r="E32" s="817">
        <v>19.70261638468326</v>
      </c>
      <c r="F32" s="817">
        <v>16.180489072230692</v>
      </c>
      <c r="G32" s="817">
        <v>4.8093161737589858</v>
      </c>
      <c r="H32" s="817">
        <v>4.7559375447699637</v>
      </c>
      <c r="I32" s="817">
        <v>54.768042702269028</v>
      </c>
      <c r="J32" s="817">
        <v>94.902974678441836</v>
      </c>
      <c r="K32" s="817">
        <v>0.87595227018522537</v>
      </c>
      <c r="L32" s="817">
        <v>1.100102681681584</v>
      </c>
      <c r="M32" s="817">
        <v>10.617069117244164</v>
      </c>
      <c r="N32" s="817">
        <v>10.270111723584328</v>
      </c>
      <c r="O32" s="817">
        <v>17.002769647396214</v>
      </c>
      <c r="P32" s="817">
        <v>13.787628081342373</v>
      </c>
      <c r="Q32" s="817">
        <v>62.14686370019303</v>
      </c>
      <c r="R32" s="817">
        <v>24.958679427474355</v>
      </c>
    </row>
    <row r="33" spans="1:18" s="822" customFormat="1" ht="20.25" customHeight="1">
      <c r="A33" s="824">
        <v>2023</v>
      </c>
      <c r="B33" s="825" t="s">
        <v>239</v>
      </c>
      <c r="C33" s="817">
        <v>21.310277177302968</v>
      </c>
      <c r="D33" s="817">
        <v>16.137585162337416</v>
      </c>
      <c r="E33" s="817">
        <v>19.405064601018196</v>
      </c>
      <c r="F33" s="817">
        <v>15.366514224111427</v>
      </c>
      <c r="G33" s="817">
        <v>4.7019457333677783</v>
      </c>
      <c r="H33" s="817">
        <v>4.5277793528069186</v>
      </c>
      <c r="I33" s="817">
        <v>51.867748573746866</v>
      </c>
      <c r="J33" s="817">
        <v>93.564836928692387</v>
      </c>
      <c r="K33" s="817">
        <v>0.18921665918092345</v>
      </c>
      <c r="L33" s="817">
        <v>0.34523020491805279</v>
      </c>
      <c r="M33" s="817">
        <v>2.3793358162469214</v>
      </c>
      <c r="N33" s="817">
        <v>3.5214767385287273</v>
      </c>
      <c r="O33" s="817">
        <v>16.522011234148692</v>
      </c>
      <c r="P33" s="817">
        <v>16.426682601443162</v>
      </c>
      <c r="Q33" s="817">
        <v>62.361057455247895</v>
      </c>
      <c r="R33" s="817">
        <v>27.297417783632927</v>
      </c>
    </row>
    <row r="34" spans="1:18" s="822" customFormat="1" ht="16.5" customHeight="1">
      <c r="A34" s="824"/>
      <c r="B34" s="1089" t="s">
        <v>240</v>
      </c>
      <c r="C34" s="817">
        <v>21.371895802926492</v>
      </c>
      <c r="D34" s="817">
        <v>17.163634694359768</v>
      </c>
      <c r="E34" s="817">
        <v>19.490867427051558</v>
      </c>
      <c r="F34" s="817">
        <v>16.312670743730912</v>
      </c>
      <c r="G34" s="817">
        <v>4.9586754958028392</v>
      </c>
      <c r="H34" s="817">
        <v>5.3081118481121781</v>
      </c>
      <c r="I34" s="817">
        <v>49.581559491020187</v>
      </c>
      <c r="J34" s="817">
        <v>81.535115913596215</v>
      </c>
      <c r="K34" s="817">
        <v>0.36209209848454421</v>
      </c>
      <c r="L34" s="817">
        <v>0.70782647951027633</v>
      </c>
      <c r="M34" s="817">
        <v>4.9431350053528655</v>
      </c>
      <c r="N34" s="817">
        <v>5.83705148779719</v>
      </c>
      <c r="O34" s="817">
        <v>19.073280469309303</v>
      </c>
      <c r="P34" s="817">
        <v>20.227435514951502</v>
      </c>
      <c r="Q34" s="817">
        <v>63.009014731974908</v>
      </c>
      <c r="R34" s="817">
        <v>24.836845625085001</v>
      </c>
    </row>
    <row r="35" spans="1:18" s="822" customFormat="1" ht="16.5" customHeight="1">
      <c r="A35" s="824"/>
      <c r="B35" s="1089" t="s">
        <v>237</v>
      </c>
      <c r="C35" s="817">
        <v>20.499192622850895</v>
      </c>
      <c r="D35" s="817">
        <v>17.98510033289449</v>
      </c>
      <c r="E35" s="817">
        <v>18.725725953451544</v>
      </c>
      <c r="F35" s="817">
        <v>17.094213646008647</v>
      </c>
      <c r="G35" s="817">
        <v>5.7069549453640303</v>
      </c>
      <c r="H35" s="817">
        <v>0.88835918208184894</v>
      </c>
      <c r="I35" s="817">
        <v>40.429908653164425</v>
      </c>
      <c r="J35" s="817">
        <v>88.663954505668556</v>
      </c>
      <c r="K35" s="817">
        <v>0.52804110338470789</v>
      </c>
      <c r="L35" s="817">
        <v>1.1601363144545458</v>
      </c>
      <c r="M35" s="817">
        <v>7.0293605558842769</v>
      </c>
      <c r="N35" s="817">
        <v>9.160220389996816</v>
      </c>
      <c r="O35" s="817">
        <v>19.150510812278469</v>
      </c>
      <c r="P35" s="817">
        <v>19.550030324183904</v>
      </c>
      <c r="Q35" s="817">
        <v>61.327838803257741</v>
      </c>
      <c r="R35" s="817">
        <v>30.69812144518178</v>
      </c>
    </row>
    <row r="36" spans="1:18" s="822" customFormat="1" ht="16.5" customHeight="1">
      <c r="A36" s="824"/>
      <c r="B36" s="1089" t="s">
        <v>238</v>
      </c>
      <c r="C36" s="817">
        <v>19.96305153756693</v>
      </c>
      <c r="D36" s="817">
        <v>17.378854683113332</v>
      </c>
      <c r="E36" s="817">
        <v>18.245928283180287</v>
      </c>
      <c r="F36" s="817">
        <v>16.531807790188662</v>
      </c>
      <c r="G36" s="817">
        <v>4.9295077007297978</v>
      </c>
      <c r="H36" s="817">
        <v>0.99112401615405099</v>
      </c>
      <c r="I36" s="817">
        <v>40.510930108623803</v>
      </c>
      <c r="J36" s="817">
        <v>87.51046908990962</v>
      </c>
      <c r="K36" s="817">
        <v>0.60608117266301587</v>
      </c>
      <c r="L36" s="817">
        <v>1.2840845161266219</v>
      </c>
      <c r="M36" s="817">
        <v>8.1738970833670184</v>
      </c>
      <c r="N36" s="817">
        <v>9.9930881596790204</v>
      </c>
      <c r="O36" s="817">
        <v>17.733423357233622</v>
      </c>
      <c r="P36" s="817">
        <v>19.927673120983716</v>
      </c>
      <c r="Q36" s="817">
        <v>61.43289413689056</v>
      </c>
      <c r="R36" s="817">
        <v>30.403678580265925</v>
      </c>
    </row>
    <row r="37" spans="1:18" s="822" customFormat="1" ht="20.25" customHeight="1">
      <c r="A37" s="824">
        <v>2024</v>
      </c>
      <c r="B37" s="825" t="s">
        <v>239</v>
      </c>
      <c r="C37" s="817">
        <v>25</v>
      </c>
      <c r="D37" s="817">
        <v>22</v>
      </c>
      <c r="E37" s="817">
        <v>23.1</v>
      </c>
      <c r="F37" s="817">
        <v>20.8</v>
      </c>
      <c r="G37" s="817">
        <v>3.9</v>
      </c>
      <c r="H37" s="817">
        <v>1.2</v>
      </c>
      <c r="I37" s="817">
        <v>48.6</v>
      </c>
      <c r="J37" s="817">
        <v>80.400000000000006</v>
      </c>
      <c r="K37" s="817">
        <v>0.5</v>
      </c>
      <c r="L37" s="817">
        <v>0.4</v>
      </c>
      <c r="M37" s="817">
        <v>5.2</v>
      </c>
      <c r="N37" s="817">
        <v>3.3</v>
      </c>
      <c r="O37" s="817">
        <v>24.3</v>
      </c>
      <c r="P37" s="817">
        <v>17</v>
      </c>
      <c r="Q37" s="817">
        <v>62</v>
      </c>
      <c r="R37" s="817">
        <v>32.700000000000003</v>
      </c>
    </row>
    <row r="38" spans="1:18" s="822" customFormat="1" ht="16.5" customHeight="1">
      <c r="A38" s="824"/>
      <c r="B38" s="1089" t="s">
        <v>240</v>
      </c>
      <c r="C38" s="817">
        <v>21.3</v>
      </c>
      <c r="D38" s="817">
        <v>20.8</v>
      </c>
      <c r="E38" s="817">
        <v>19.7</v>
      </c>
      <c r="F38" s="817">
        <v>19.600000000000001</v>
      </c>
      <c r="G38" s="817">
        <v>4.7</v>
      </c>
      <c r="H38" s="817">
        <v>0.8</v>
      </c>
      <c r="I38" s="817">
        <v>51.5</v>
      </c>
      <c r="J38" s="817">
        <v>50.9</v>
      </c>
      <c r="K38" s="817">
        <v>0.8</v>
      </c>
      <c r="L38" s="817">
        <v>0.7</v>
      </c>
      <c r="M38" s="817">
        <v>9.9</v>
      </c>
      <c r="N38" s="817">
        <v>6.9</v>
      </c>
      <c r="O38" s="817">
        <v>27.2</v>
      </c>
      <c r="P38" s="817">
        <v>18.100000000000001</v>
      </c>
      <c r="Q38" s="817">
        <v>48.8</v>
      </c>
      <c r="R38" s="817">
        <v>27.1</v>
      </c>
    </row>
    <row r="39" spans="1:18" s="822" customFormat="1" ht="16.5" customHeight="1">
      <c r="A39" s="824"/>
      <c r="B39" s="1089" t="s">
        <v>237</v>
      </c>
      <c r="C39" s="817">
        <v>23.5</v>
      </c>
      <c r="D39" s="817">
        <v>19.8</v>
      </c>
      <c r="E39" s="817">
        <v>21.9</v>
      </c>
      <c r="F39" s="817">
        <v>18.8</v>
      </c>
      <c r="G39" s="817">
        <v>4.7</v>
      </c>
      <c r="H39" s="817">
        <v>1</v>
      </c>
      <c r="I39" s="817">
        <v>46</v>
      </c>
      <c r="J39" s="817">
        <v>47.6</v>
      </c>
      <c r="K39" s="817">
        <v>1.2</v>
      </c>
      <c r="L39" s="817">
        <v>1.4</v>
      </c>
      <c r="M39" s="817">
        <v>14</v>
      </c>
      <c r="N39" s="817">
        <v>10</v>
      </c>
      <c r="O39" s="817">
        <v>26.9</v>
      </c>
      <c r="P39" s="817">
        <v>20.2</v>
      </c>
      <c r="Q39" s="817">
        <v>55</v>
      </c>
      <c r="R39" s="817">
        <v>29.8</v>
      </c>
    </row>
    <row r="40" spans="1:18" s="822" customFormat="1" ht="16.5" customHeight="1">
      <c r="A40" s="824"/>
      <c r="B40" s="1089" t="s">
        <v>238</v>
      </c>
      <c r="C40" s="817">
        <v>24.6</v>
      </c>
      <c r="D40" s="817">
        <v>19.600000000000001</v>
      </c>
      <c r="E40" s="817">
        <v>23</v>
      </c>
      <c r="F40" s="817">
        <v>18.899999999999999</v>
      </c>
      <c r="G40" s="817">
        <v>4.3</v>
      </c>
      <c r="H40" s="817">
        <v>1.1000000000000001</v>
      </c>
      <c r="I40" s="817">
        <v>42.8</v>
      </c>
      <c r="J40" s="817">
        <v>43.9</v>
      </c>
      <c r="K40" s="817">
        <v>1.5</v>
      </c>
      <c r="L40" s="817">
        <v>1.3</v>
      </c>
      <c r="M40" s="817">
        <v>16.5</v>
      </c>
      <c r="N40" s="817">
        <v>13.1</v>
      </c>
      <c r="O40" s="817">
        <v>24.8</v>
      </c>
      <c r="P40" s="817">
        <v>23.8</v>
      </c>
      <c r="Q40" s="817">
        <v>56.1</v>
      </c>
      <c r="R40" s="817">
        <v>29.3</v>
      </c>
    </row>
    <row r="41" spans="1:18" s="822" customFormat="1" ht="20.25" customHeight="1">
      <c r="A41" s="824">
        <v>2025</v>
      </c>
      <c r="B41" s="1201" t="s">
        <v>239</v>
      </c>
      <c r="C41" s="817">
        <v>23.8</v>
      </c>
      <c r="D41" s="817">
        <v>21.1</v>
      </c>
      <c r="E41" s="817">
        <v>22.1</v>
      </c>
      <c r="F41" s="817">
        <v>20.399999999999999</v>
      </c>
      <c r="G41" s="817">
        <v>4.5999999999999996</v>
      </c>
      <c r="H41" s="817">
        <v>0.8</v>
      </c>
      <c r="I41" s="817">
        <v>47</v>
      </c>
      <c r="J41" s="817">
        <v>44.3</v>
      </c>
      <c r="K41" s="817">
        <v>0.4</v>
      </c>
      <c r="L41" s="817">
        <v>1</v>
      </c>
      <c r="M41" s="817">
        <v>4</v>
      </c>
      <c r="N41" s="817">
        <v>2.9</v>
      </c>
      <c r="O41" s="817">
        <v>26.7</v>
      </c>
      <c r="P41" s="817">
        <v>20.2</v>
      </c>
      <c r="Q41" s="817">
        <v>57</v>
      </c>
      <c r="R41" s="817">
        <v>35.1</v>
      </c>
    </row>
    <row r="42" spans="1:18" s="822" customFormat="1" ht="16.5" customHeight="1">
      <c r="A42" s="824"/>
      <c r="B42" s="1200" t="s">
        <v>240</v>
      </c>
      <c r="C42" s="817">
        <v>23.6</v>
      </c>
      <c r="D42" s="817">
        <v>20</v>
      </c>
      <c r="E42" s="817">
        <v>21.7</v>
      </c>
      <c r="F42" s="817">
        <v>19.399999999999999</v>
      </c>
      <c r="G42" s="817">
        <v>4.5</v>
      </c>
      <c r="H42" s="817">
        <v>0.9</v>
      </c>
      <c r="I42" s="817">
        <v>45.8</v>
      </c>
      <c r="J42" s="817">
        <v>45.4</v>
      </c>
      <c r="K42" s="817">
        <v>0.7</v>
      </c>
      <c r="L42" s="817">
        <v>0.7</v>
      </c>
      <c r="M42" s="817">
        <v>8.3000000000000007</v>
      </c>
      <c r="N42" s="817">
        <v>6.8</v>
      </c>
      <c r="O42" s="817">
        <v>24.8</v>
      </c>
      <c r="P42" s="817">
        <v>22.1</v>
      </c>
      <c r="Q42" s="817">
        <v>55.9</v>
      </c>
      <c r="R42" s="817">
        <v>31.7</v>
      </c>
    </row>
    <row r="43" spans="1:18" s="822" customFormat="1" ht="16.5" customHeight="1">
      <c r="A43" s="824"/>
      <c r="B43" s="1200" t="s">
        <v>237</v>
      </c>
      <c r="C43" s="817">
        <v>25.2</v>
      </c>
      <c r="D43" s="817">
        <v>20</v>
      </c>
      <c r="E43" s="817">
        <v>23.3</v>
      </c>
      <c r="F43" s="817">
        <v>19.399999999999999</v>
      </c>
      <c r="G43" s="817">
        <v>4.4000000000000004</v>
      </c>
      <c r="H43" s="817">
        <v>0.7</v>
      </c>
      <c r="I43" s="817">
        <v>48.3</v>
      </c>
      <c r="J43" s="817">
        <v>45.6</v>
      </c>
      <c r="K43" s="817">
        <v>1.1000000000000001</v>
      </c>
      <c r="L43" s="817">
        <v>0.8</v>
      </c>
      <c r="M43" s="817">
        <v>11.9</v>
      </c>
      <c r="N43" s="817">
        <v>10.199999999999999</v>
      </c>
      <c r="O43" s="817">
        <v>26.1</v>
      </c>
      <c r="P43" s="817">
        <v>16.2</v>
      </c>
      <c r="Q43" s="817">
        <v>56.4</v>
      </c>
      <c r="R43" s="817">
        <v>33.799999999999997</v>
      </c>
    </row>
    <row r="44" spans="1:18" s="822" customFormat="1" ht="16.5" customHeight="1">
      <c r="A44" s="824"/>
      <c r="B44" s="1200" t="s">
        <v>238</v>
      </c>
      <c r="C44" s="817">
        <v>27.7</v>
      </c>
      <c r="D44" s="817">
        <v>19.7</v>
      </c>
      <c r="E44" s="817">
        <v>25.9</v>
      </c>
      <c r="F44" s="817">
        <v>19</v>
      </c>
      <c r="G44" s="817">
        <v>4</v>
      </c>
      <c r="H44" s="817">
        <v>1</v>
      </c>
      <c r="I44" s="817">
        <v>50.7</v>
      </c>
      <c r="J44" s="817">
        <v>110.6</v>
      </c>
      <c r="K44" s="817">
        <v>1.5</v>
      </c>
      <c r="L44" s="817">
        <v>1.2</v>
      </c>
      <c r="M44" s="817">
        <v>13.2</v>
      </c>
      <c r="N44" s="817">
        <v>13.7</v>
      </c>
      <c r="O44" s="817">
        <v>23.6</v>
      </c>
      <c r="P44" s="817">
        <v>17.600000000000001</v>
      </c>
      <c r="Q44" s="817">
        <v>57.3</v>
      </c>
      <c r="R44" s="817">
        <v>30.5</v>
      </c>
    </row>
    <row r="45" spans="1:18" s="822" customFormat="1" ht="20.100000000000001" customHeight="1">
      <c r="A45" s="824">
        <v>2026</v>
      </c>
      <c r="B45" s="1201" t="s">
        <v>239</v>
      </c>
      <c r="C45" s="817">
        <v>25.7</v>
      </c>
      <c r="D45" s="817">
        <v>17.3</v>
      </c>
      <c r="E45" s="817">
        <v>23.9</v>
      </c>
      <c r="F45" s="817">
        <v>16.5</v>
      </c>
      <c r="G45" s="817">
        <v>4.3</v>
      </c>
      <c r="H45" s="817">
        <v>0.8</v>
      </c>
      <c r="I45" s="817">
        <v>48</v>
      </c>
      <c r="J45" s="817">
        <v>117.7</v>
      </c>
      <c r="K45" s="817">
        <v>0.3</v>
      </c>
      <c r="L45" s="817">
        <v>0.2</v>
      </c>
      <c r="M45" s="817">
        <v>2.8</v>
      </c>
      <c r="N45" s="817">
        <v>3.1</v>
      </c>
      <c r="O45" s="817">
        <v>22.3</v>
      </c>
      <c r="P45" s="817">
        <v>15.9</v>
      </c>
      <c r="Q45" s="817">
        <v>56.7</v>
      </c>
      <c r="R45" s="817">
        <v>32.1</v>
      </c>
    </row>
    <row r="46" spans="1:18" s="822" customFormat="1" ht="16.5" customHeight="1">
      <c r="A46" s="824"/>
      <c r="B46" s="1200" t="s">
        <v>240</v>
      </c>
      <c r="C46" s="817">
        <v>25.5</v>
      </c>
      <c r="D46" s="817">
        <v>16.2</v>
      </c>
      <c r="E46" s="817">
        <v>23.9</v>
      </c>
      <c r="F46" s="817">
        <v>15.6</v>
      </c>
      <c r="G46" s="817">
        <v>4.3</v>
      </c>
      <c r="H46" s="817">
        <v>1</v>
      </c>
      <c r="I46" s="817">
        <v>48.1</v>
      </c>
      <c r="J46" s="817">
        <v>79.099999999999994</v>
      </c>
      <c r="K46" s="817">
        <v>0.6</v>
      </c>
      <c r="L46" s="817">
        <v>0.5</v>
      </c>
      <c r="M46" s="817">
        <v>5.6</v>
      </c>
      <c r="N46" s="817">
        <v>6.4</v>
      </c>
      <c r="O46" s="817">
        <v>23.9</v>
      </c>
      <c r="P46" s="817">
        <v>15</v>
      </c>
      <c r="Q46" s="817">
        <v>57.6</v>
      </c>
      <c r="R46" s="817">
        <v>32.200000000000003</v>
      </c>
    </row>
    <row r="47" spans="1:18" ht="21.3" customHeight="1">
      <c r="A47" s="462" t="s">
        <v>1128</v>
      </c>
      <c r="B47" s="462"/>
      <c r="C47" s="462"/>
      <c r="D47" s="462"/>
      <c r="E47" s="462"/>
      <c r="F47" s="462"/>
      <c r="G47" s="462"/>
      <c r="H47" s="462"/>
      <c r="I47" s="462"/>
      <c r="J47" s="462"/>
      <c r="K47" s="462"/>
      <c r="L47" s="462"/>
      <c r="M47" s="462"/>
      <c r="N47" s="462"/>
      <c r="O47" s="462"/>
      <c r="P47" s="462"/>
      <c r="Q47" s="826"/>
      <c r="R47" s="834" t="s">
        <v>1129</v>
      </c>
    </row>
    <row r="48" spans="1:18" ht="13.8" customHeight="1">
      <c r="A48" s="445" t="s">
        <v>1130</v>
      </c>
      <c r="C48" s="832"/>
      <c r="D48" s="832"/>
      <c r="E48" s="832"/>
      <c r="F48" s="832"/>
      <c r="G48" s="832"/>
      <c r="H48" s="832"/>
      <c r="I48" s="832"/>
      <c r="J48" s="832"/>
      <c r="K48" s="832"/>
      <c r="L48" s="832"/>
      <c r="M48" s="832"/>
      <c r="N48" s="832"/>
      <c r="O48" s="832"/>
      <c r="P48" s="832"/>
      <c r="Q48" s="832"/>
      <c r="R48" s="831" t="s">
        <v>1131</v>
      </c>
    </row>
    <row r="49" spans="1:18" ht="13.8" customHeight="1">
      <c r="C49" s="832"/>
      <c r="D49" s="832"/>
      <c r="E49" s="832"/>
      <c r="F49" s="832"/>
      <c r="G49" s="832"/>
      <c r="H49" s="832"/>
      <c r="I49" s="832"/>
      <c r="J49" s="832"/>
      <c r="K49" s="832"/>
      <c r="L49" s="832"/>
      <c r="M49" s="832"/>
      <c r="N49" s="832"/>
      <c r="O49" s="832"/>
      <c r="P49" s="832"/>
      <c r="Q49" s="832"/>
      <c r="R49" s="831"/>
    </row>
    <row r="50" spans="1:18" ht="13.8">
      <c r="A50" s="1653" t="s">
        <v>1143</v>
      </c>
      <c r="B50" s="444"/>
      <c r="C50" s="444"/>
      <c r="D50" s="444"/>
      <c r="E50" s="444"/>
      <c r="F50" s="444"/>
      <c r="G50" s="444"/>
      <c r="H50" s="444"/>
      <c r="I50" s="444"/>
      <c r="J50" s="444"/>
      <c r="K50" s="444"/>
      <c r="L50" s="444"/>
      <c r="M50" s="444"/>
      <c r="N50" s="444"/>
      <c r="O50" s="444"/>
      <c r="P50" s="444"/>
      <c r="Q50" s="444"/>
      <c r="R50" s="444"/>
    </row>
    <row r="51" spans="1:18" ht="13.8">
      <c r="A51" s="495"/>
      <c r="B51" s="444"/>
      <c r="C51" s="444"/>
      <c r="D51" s="444"/>
      <c r="E51" s="444"/>
      <c r="F51" s="444"/>
      <c r="G51" s="444"/>
      <c r="H51" s="444"/>
      <c r="I51" s="444"/>
      <c r="J51" s="444"/>
      <c r="K51" s="444"/>
      <c r="L51" s="444"/>
      <c r="M51" s="444"/>
      <c r="N51" s="444"/>
      <c r="O51" s="444"/>
      <c r="P51" s="444"/>
      <c r="Q51" s="444"/>
      <c r="R51" s="444"/>
    </row>
  </sheetData>
  <mergeCells count="27">
    <mergeCell ref="M11:N11"/>
    <mergeCell ref="O11:P11"/>
    <mergeCell ref="Q11:R11"/>
    <mergeCell ref="C11:D11"/>
    <mergeCell ref="E11:F11"/>
    <mergeCell ref="G11:H11"/>
    <mergeCell ref="I11:J11"/>
    <mergeCell ref="K11:L11"/>
    <mergeCell ref="C9:F9"/>
    <mergeCell ref="G9:J9"/>
    <mergeCell ref="K9:N9"/>
    <mergeCell ref="O9:R9"/>
    <mergeCell ref="C10:D10"/>
    <mergeCell ref="E10:F10"/>
    <mergeCell ref="G10:H10"/>
    <mergeCell ref="I10:J10"/>
    <mergeCell ref="K10:L10"/>
    <mergeCell ref="M10:N10"/>
    <mergeCell ref="O10:P10"/>
    <mergeCell ref="Q10:R10"/>
    <mergeCell ref="A4:R4"/>
    <mergeCell ref="A5:R5"/>
    <mergeCell ref="A7:B7"/>
    <mergeCell ref="C8:F8"/>
    <mergeCell ref="G8:J8"/>
    <mergeCell ref="K8:N8"/>
    <mergeCell ref="O8:R8"/>
  </mergeCells>
  <printOptions horizontalCentered="1"/>
  <pageMargins left="0.4" right="0.4" top="0.5" bottom="0.5" header="0.3" footer="0.3"/>
  <pageSetup paperSize="9" scale="62"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6">
    <pageSetUpPr fitToPage="1"/>
  </sheetPr>
  <dimension ref="A1:W48"/>
  <sheetViews>
    <sheetView zoomScale="75" zoomScaleNormal="75" workbookViewId="0">
      <pane ySplit="10" topLeftCell="A38" activePane="bottomLeft" state="frozen"/>
      <selection activeCell="B2" sqref="B2"/>
      <selection pane="bottomLeft" activeCell="B2" sqref="B2"/>
    </sheetView>
  </sheetViews>
  <sheetFormatPr defaultColWidth="9.21875" defaultRowHeight="15"/>
  <cols>
    <col min="1" max="2" width="9.77734375" style="686" customWidth="1"/>
    <col min="3" max="3" width="10.21875" style="686" bestFit="1" customWidth="1"/>
    <col min="4" max="4" width="18" style="686" customWidth="1"/>
    <col min="5" max="6" width="12" style="686" bestFit="1" customWidth="1"/>
    <col min="7" max="7" width="11.21875" style="686" customWidth="1"/>
    <col min="8" max="9" width="14.77734375" style="686" customWidth="1"/>
    <col min="10" max="11" width="12" style="686" bestFit="1" customWidth="1"/>
    <col min="12" max="12" width="11.77734375" style="686" customWidth="1"/>
    <col min="13" max="13" width="14.77734375" style="686" customWidth="1"/>
    <col min="14" max="14" width="15.77734375" style="686" customWidth="1"/>
    <col min="15" max="15" width="10.44140625" style="686" bestFit="1" customWidth="1"/>
    <col min="16" max="16" width="16.44140625" style="686" customWidth="1"/>
    <col min="17" max="17" width="12" style="686" bestFit="1" customWidth="1"/>
    <col min="18" max="19" width="12.5546875" style="686" customWidth="1"/>
    <col min="20" max="20" width="17" style="686" customWidth="1"/>
    <col min="21" max="21" width="14.77734375" style="686" customWidth="1"/>
    <col min="22" max="16384" width="9.21875" style="686"/>
  </cols>
  <sheetData>
    <row r="1" spans="1:23" s="1624" customFormat="1" ht="18" customHeight="1">
      <c r="A1" s="1622" t="s">
        <v>1144</v>
      </c>
      <c r="B1" s="1623"/>
      <c r="C1" s="1623"/>
      <c r="D1" s="1623"/>
      <c r="E1" s="1623"/>
      <c r="F1" s="1623"/>
      <c r="G1" s="1623"/>
      <c r="H1" s="1623"/>
      <c r="I1" s="1623"/>
      <c r="J1" s="1623"/>
      <c r="K1" s="1623"/>
      <c r="L1" s="1623"/>
      <c r="M1" s="1623"/>
      <c r="N1" s="1623"/>
      <c r="O1" s="1623"/>
      <c r="P1" s="1623"/>
      <c r="Q1" s="1623"/>
      <c r="R1" s="1623"/>
      <c r="S1" s="1623"/>
      <c r="T1" s="1623"/>
      <c r="U1" s="1623"/>
    </row>
    <row r="2" spans="1:23" s="1624" customFormat="1" ht="18" customHeight="1">
      <c r="A2" s="1625" t="s">
        <v>74</v>
      </c>
      <c r="B2" s="1625"/>
      <c r="C2" s="1625"/>
      <c r="D2" s="1625"/>
      <c r="E2" s="1625"/>
      <c r="F2" s="1625"/>
      <c r="G2" s="1625"/>
      <c r="H2" s="1625"/>
      <c r="I2" s="1625"/>
      <c r="J2" s="1625"/>
      <c r="K2" s="1625"/>
      <c r="L2" s="1625"/>
      <c r="M2" s="1625"/>
      <c r="N2" s="1625"/>
      <c r="O2" s="1625"/>
      <c r="P2" s="1625"/>
      <c r="Q2" s="1625"/>
      <c r="R2" s="1625"/>
      <c r="S2" s="1625"/>
      <c r="T2" s="1625"/>
      <c r="U2" s="1625"/>
    </row>
    <row r="3" spans="1:23" s="1624" customFormat="1" ht="18" customHeight="1">
      <c r="A3" s="1625" t="s">
        <v>73</v>
      </c>
      <c r="B3" s="1625"/>
      <c r="C3" s="1625"/>
      <c r="D3" s="1625"/>
      <c r="E3" s="1625"/>
      <c r="F3" s="1625"/>
      <c r="G3" s="1625"/>
      <c r="H3" s="1625"/>
      <c r="I3" s="1625"/>
      <c r="J3" s="1625"/>
      <c r="K3" s="1625"/>
      <c r="L3" s="1625"/>
      <c r="M3" s="1625"/>
      <c r="N3" s="1625"/>
      <c r="O3" s="1625"/>
      <c r="P3" s="1625"/>
      <c r="Q3" s="1625"/>
      <c r="R3" s="1625"/>
      <c r="S3" s="1625"/>
      <c r="T3" s="1625"/>
      <c r="U3" s="1625"/>
    </row>
    <row r="4" spans="1:23">
      <c r="A4" s="686" t="s">
        <v>1145</v>
      </c>
      <c r="U4" s="686" t="s">
        <v>1146</v>
      </c>
    </row>
    <row r="5" spans="1:23" s="693" customFormat="1" ht="18.600000000000001" customHeight="1">
      <c r="A5" s="1281" t="s">
        <v>1147</v>
      </c>
      <c r="B5" s="1282"/>
      <c r="C5" s="687" t="s">
        <v>1148</v>
      </c>
      <c r="D5" s="688"/>
      <c r="E5" s="688"/>
      <c r="F5" s="688"/>
      <c r="G5" s="688"/>
      <c r="H5" s="689"/>
      <c r="I5" s="687" t="s">
        <v>1149</v>
      </c>
      <c r="J5" s="688"/>
      <c r="K5" s="688"/>
      <c r="L5" s="688"/>
      <c r="M5" s="690"/>
      <c r="N5" s="691" t="s">
        <v>1150</v>
      </c>
      <c r="O5" s="1278" t="s">
        <v>1661</v>
      </c>
      <c r="P5" s="1626"/>
      <c r="Q5" s="1626"/>
      <c r="R5" s="1626"/>
      <c r="S5" s="1626"/>
      <c r="T5" s="1627"/>
      <c r="U5" s="692" t="s">
        <v>1151</v>
      </c>
    </row>
    <row r="6" spans="1:23" s="693" customFormat="1" ht="16.2">
      <c r="A6" s="1283"/>
      <c r="B6" s="1284"/>
      <c r="C6" s="694" t="s">
        <v>1152</v>
      </c>
      <c r="D6" s="695"/>
      <c r="E6" s="695"/>
      <c r="F6" s="695"/>
      <c r="G6" s="695"/>
      <c r="H6" s="695"/>
      <c r="I6" s="696" t="s">
        <v>1153</v>
      </c>
      <c r="J6" s="695"/>
      <c r="K6" s="695"/>
      <c r="L6" s="695"/>
      <c r="M6" s="697"/>
      <c r="N6" s="698" t="s">
        <v>1154</v>
      </c>
      <c r="O6" s="1279" t="s">
        <v>1662</v>
      </c>
      <c r="P6" s="1628"/>
      <c r="Q6" s="1628"/>
      <c r="R6" s="1628"/>
      <c r="S6" s="1628"/>
      <c r="T6" s="1629"/>
      <c r="U6" s="699" t="s">
        <v>1155</v>
      </c>
    </row>
    <row r="7" spans="1:23" s="693" customFormat="1" ht="16.2">
      <c r="A7" s="1283"/>
      <c r="B7" s="1284"/>
      <c r="C7" s="700" t="s">
        <v>1156</v>
      </c>
      <c r="D7" s="701"/>
      <c r="E7" s="702" t="s">
        <v>1157</v>
      </c>
      <c r="F7" s="701"/>
      <c r="G7" s="690"/>
      <c r="H7" s="1277" t="s">
        <v>1158</v>
      </c>
      <c r="I7" s="1277" t="s">
        <v>1156</v>
      </c>
      <c r="J7" s="702" t="s">
        <v>1157</v>
      </c>
      <c r="K7" s="701"/>
      <c r="L7" s="690"/>
      <c r="M7" s="1277" t="s">
        <v>1158</v>
      </c>
      <c r="N7" s="1277" t="s">
        <v>1156</v>
      </c>
      <c r="O7" s="1280" t="s">
        <v>1156</v>
      </c>
      <c r="P7" s="1630"/>
      <c r="Q7" s="1278" t="s">
        <v>1157</v>
      </c>
      <c r="R7" s="1626"/>
      <c r="S7" s="1627"/>
      <c r="T7" s="1277" t="s">
        <v>1158</v>
      </c>
      <c r="U7" s="1277" t="s">
        <v>1058</v>
      </c>
    </row>
    <row r="8" spans="1:23" s="693" customFormat="1" ht="32.4">
      <c r="A8" s="1283"/>
      <c r="B8" s="1284"/>
      <c r="C8" s="703" t="s">
        <v>1159</v>
      </c>
      <c r="D8" s="704"/>
      <c r="E8" s="703" t="s">
        <v>1160</v>
      </c>
      <c r="F8" s="704"/>
      <c r="G8" s="705"/>
      <c r="H8" s="1275"/>
      <c r="I8" s="1275"/>
      <c r="J8" s="703" t="s">
        <v>1160</v>
      </c>
      <c r="K8" s="704"/>
      <c r="L8" s="705"/>
      <c r="M8" s="1275"/>
      <c r="N8" s="1275"/>
      <c r="O8" s="1274" t="s">
        <v>1159</v>
      </c>
      <c r="P8" s="1631"/>
      <c r="Q8" s="1274" t="s">
        <v>1160</v>
      </c>
      <c r="R8" s="1632"/>
      <c r="S8" s="1631"/>
      <c r="T8" s="1275"/>
      <c r="U8" s="1275"/>
    </row>
    <row r="9" spans="1:23" s="693" customFormat="1" ht="81">
      <c r="A9" s="1633" t="s">
        <v>387</v>
      </c>
      <c r="B9" s="1634"/>
      <c r="C9" s="706" t="s">
        <v>382</v>
      </c>
      <c r="D9" s="707" t="s">
        <v>1161</v>
      </c>
      <c r="E9" s="708" t="s">
        <v>1063</v>
      </c>
      <c r="F9" s="708" t="s">
        <v>1064</v>
      </c>
      <c r="G9" s="708" t="s">
        <v>382</v>
      </c>
      <c r="H9" s="1275" t="s">
        <v>1162</v>
      </c>
      <c r="I9" s="1275" t="s">
        <v>1163</v>
      </c>
      <c r="J9" s="708" t="s">
        <v>1063</v>
      </c>
      <c r="K9" s="708" t="s">
        <v>1064</v>
      </c>
      <c r="L9" s="708" t="s">
        <v>382</v>
      </c>
      <c r="M9" s="1275" t="s">
        <v>1164</v>
      </c>
      <c r="N9" s="1275" t="s">
        <v>1165</v>
      </c>
      <c r="O9" s="706" t="s">
        <v>382</v>
      </c>
      <c r="P9" s="707" t="s">
        <v>1161</v>
      </c>
      <c r="Q9" s="708" t="s">
        <v>1063</v>
      </c>
      <c r="R9" s="708" t="s">
        <v>1064</v>
      </c>
      <c r="S9" s="708" t="s">
        <v>382</v>
      </c>
      <c r="T9" s="1275" t="s">
        <v>1663</v>
      </c>
      <c r="U9" s="1275" t="s">
        <v>1666</v>
      </c>
    </row>
    <row r="10" spans="1:23" s="693" customFormat="1" ht="64.8">
      <c r="A10" s="1635"/>
      <c r="B10" s="1636"/>
      <c r="C10" s="709" t="s">
        <v>1166</v>
      </c>
      <c r="D10" s="862" t="s">
        <v>1167</v>
      </c>
      <c r="E10" s="710" t="s">
        <v>1065</v>
      </c>
      <c r="F10" s="711" t="s">
        <v>1066</v>
      </c>
      <c r="G10" s="711" t="s">
        <v>1168</v>
      </c>
      <c r="H10" s="1276"/>
      <c r="I10" s="1276"/>
      <c r="J10" s="710" t="s">
        <v>1065</v>
      </c>
      <c r="K10" s="711" t="s">
        <v>1066</v>
      </c>
      <c r="L10" s="711" t="s">
        <v>1169</v>
      </c>
      <c r="M10" s="1276"/>
      <c r="N10" s="1276"/>
      <c r="O10" s="709" t="s">
        <v>1664</v>
      </c>
      <c r="P10" s="862" t="s">
        <v>1167</v>
      </c>
      <c r="Q10" s="710" t="s">
        <v>1065</v>
      </c>
      <c r="R10" s="711" t="s">
        <v>1066</v>
      </c>
      <c r="S10" s="711" t="s">
        <v>1665</v>
      </c>
      <c r="T10" s="1637"/>
      <c r="U10" s="1276"/>
      <c r="V10" s="712"/>
      <c r="W10" s="712"/>
    </row>
    <row r="11" spans="1:23" s="1647" customFormat="1" ht="14.25" customHeight="1">
      <c r="A11" s="1638">
        <v>2017</v>
      </c>
      <c r="B11" s="1639" t="s">
        <v>240</v>
      </c>
      <c r="C11" s="1640">
        <v>289.25799999999998</v>
      </c>
      <c r="D11" s="1640">
        <v>57.895000000000003</v>
      </c>
      <c r="E11" s="1640">
        <v>3781.3429999999998</v>
      </c>
      <c r="F11" s="1640">
        <v>959.23400000000004</v>
      </c>
      <c r="G11" s="1640">
        <v>4740.5780000000004</v>
      </c>
      <c r="H11" s="1641">
        <v>5029.8360000000002</v>
      </c>
      <c r="I11" s="1642">
        <v>35.08</v>
      </c>
      <c r="J11" s="1640">
        <v>1809.6420000000001</v>
      </c>
      <c r="K11" s="1640">
        <v>694.65800000000002</v>
      </c>
      <c r="L11" s="1640">
        <v>2504.3000000000002</v>
      </c>
      <c r="M11" s="1641">
        <v>2539.38</v>
      </c>
      <c r="N11" s="1643">
        <v>8.5869999999999997</v>
      </c>
      <c r="O11" s="1644"/>
      <c r="P11" s="1644"/>
      <c r="Q11" s="1644"/>
      <c r="R11" s="1644"/>
      <c r="S11" s="1644"/>
      <c r="T11" s="1644"/>
      <c r="U11" s="1645">
        <f>H11+M11+N11</f>
        <v>7577.8030000000008</v>
      </c>
      <c r="V11" s="1646"/>
      <c r="W11" s="1646"/>
    </row>
    <row r="12" spans="1:23" s="1647" customFormat="1" ht="14.25" customHeight="1">
      <c r="A12" s="1638"/>
      <c r="B12" s="1639" t="s">
        <v>237</v>
      </c>
      <c r="C12" s="1640">
        <v>291.5</v>
      </c>
      <c r="D12" s="1640">
        <v>58.6</v>
      </c>
      <c r="E12" s="1640">
        <v>3821.9</v>
      </c>
      <c r="F12" s="1640">
        <v>986.1</v>
      </c>
      <c r="G12" s="1640">
        <v>4808</v>
      </c>
      <c r="H12" s="1641">
        <v>5099.5</v>
      </c>
      <c r="I12" s="1642">
        <v>38.299999999999997</v>
      </c>
      <c r="J12" s="1640">
        <v>1797.2</v>
      </c>
      <c r="K12" s="1640">
        <v>742.9</v>
      </c>
      <c r="L12" s="1640">
        <v>2540</v>
      </c>
      <c r="M12" s="1641">
        <v>2578.3000000000002</v>
      </c>
      <c r="N12" s="1643">
        <v>8.3000000000000007</v>
      </c>
      <c r="O12" s="1644"/>
      <c r="P12" s="1644"/>
      <c r="Q12" s="1644"/>
      <c r="R12" s="1644"/>
      <c r="S12" s="1644"/>
      <c r="T12" s="1644"/>
      <c r="U12" s="1645">
        <v>7686.1</v>
      </c>
      <c r="V12" s="1646"/>
      <c r="W12" s="1646"/>
    </row>
    <row r="13" spans="1:23" s="1647" customFormat="1" ht="14.25" customHeight="1">
      <c r="A13" s="1638"/>
      <c r="B13" s="1639" t="s">
        <v>238</v>
      </c>
      <c r="C13" s="1640">
        <v>291.10000000000002</v>
      </c>
      <c r="D13" s="1640">
        <v>51.57</v>
      </c>
      <c r="E13" s="1640">
        <v>3854.95</v>
      </c>
      <c r="F13" s="1640">
        <v>942.2</v>
      </c>
      <c r="G13" s="1640">
        <v>4794.2</v>
      </c>
      <c r="H13" s="1641">
        <v>5085.3</v>
      </c>
      <c r="I13" s="1642">
        <v>36.69</v>
      </c>
      <c r="J13" s="1640">
        <v>1767.49</v>
      </c>
      <c r="K13" s="1640">
        <v>730.35</v>
      </c>
      <c r="L13" s="1640">
        <v>2497.8000000000002</v>
      </c>
      <c r="M13" s="1641">
        <v>2534.5</v>
      </c>
      <c r="N13" s="1643">
        <v>8.6999999999999993</v>
      </c>
      <c r="O13" s="1205"/>
      <c r="P13" s="1205"/>
      <c r="Q13" s="1205"/>
      <c r="R13" s="1205"/>
      <c r="S13" s="1205"/>
      <c r="T13" s="1205"/>
      <c r="U13" s="1645">
        <v>7628.5</v>
      </c>
      <c r="V13" s="1646"/>
      <c r="W13" s="1646"/>
    </row>
    <row r="14" spans="1:23" s="1651" customFormat="1" ht="20.25" customHeight="1">
      <c r="A14" s="1648">
        <v>2018</v>
      </c>
      <c r="B14" s="1649" t="s">
        <v>239</v>
      </c>
      <c r="C14" s="934">
        <v>281.00400000000002</v>
      </c>
      <c r="D14" s="934">
        <v>59.970999999999997</v>
      </c>
      <c r="E14" s="934">
        <v>3894.6579999999999</v>
      </c>
      <c r="F14" s="934">
        <v>902.78499999999997</v>
      </c>
      <c r="G14" s="934">
        <f>+F14+E14</f>
        <v>4797.4430000000002</v>
      </c>
      <c r="H14" s="935">
        <f>+C14+G14</f>
        <v>5078.4470000000001</v>
      </c>
      <c r="I14" s="936">
        <v>39.543999999999997</v>
      </c>
      <c r="J14" s="934">
        <v>1869.028</v>
      </c>
      <c r="K14" s="934">
        <v>746.67100000000005</v>
      </c>
      <c r="L14" s="934">
        <f>+J14+K14</f>
        <v>2615.6990000000001</v>
      </c>
      <c r="M14" s="935">
        <f>+I14+L14</f>
        <v>2655.2429999999999</v>
      </c>
      <c r="N14" s="937">
        <v>8.4260000000000002</v>
      </c>
      <c r="O14" s="1644"/>
      <c r="P14" s="1644"/>
      <c r="Q14" s="1644"/>
      <c r="R14" s="1644"/>
      <c r="S14" s="1644"/>
      <c r="T14" s="1644"/>
      <c r="U14" s="938">
        <f>+H14+M14+N14</f>
        <v>7742.1160000000009</v>
      </c>
      <c r="V14" s="1650"/>
      <c r="W14" s="1650"/>
    </row>
    <row r="15" spans="1:23" s="1647" customFormat="1" ht="14.25" customHeight="1">
      <c r="A15" s="1638"/>
      <c r="B15" s="1639" t="s">
        <v>240</v>
      </c>
      <c r="C15" s="1640">
        <v>286.05</v>
      </c>
      <c r="D15" s="1640">
        <v>57.78</v>
      </c>
      <c r="E15" s="1640">
        <v>3877.75</v>
      </c>
      <c r="F15" s="1640">
        <v>928.89</v>
      </c>
      <c r="G15" s="1640">
        <v>4806.68</v>
      </c>
      <c r="H15" s="935">
        <f>+C15+G15</f>
        <v>5092.7300000000005</v>
      </c>
      <c r="I15" s="1642">
        <v>37.6</v>
      </c>
      <c r="J15" s="1640">
        <v>1899.8</v>
      </c>
      <c r="K15" s="1640">
        <v>734.6</v>
      </c>
      <c r="L15" s="1640">
        <v>2634.48</v>
      </c>
      <c r="M15" s="935">
        <f>+I15+L15</f>
        <v>2672.08</v>
      </c>
      <c r="N15" s="1643">
        <v>7.45</v>
      </c>
      <c r="O15" s="1644"/>
      <c r="P15" s="1644"/>
      <c r="Q15" s="1644"/>
      <c r="R15" s="1644"/>
      <c r="S15" s="1644"/>
      <c r="T15" s="1644"/>
      <c r="U15" s="938">
        <f>+H15+M15+N15</f>
        <v>7772.26</v>
      </c>
      <c r="V15" s="1646"/>
      <c r="W15" s="1646"/>
    </row>
    <row r="16" spans="1:23" s="1647" customFormat="1" ht="14.25" customHeight="1">
      <c r="A16" s="1638"/>
      <c r="B16" s="1639" t="s">
        <v>237</v>
      </c>
      <c r="C16" s="1640">
        <v>291.85500000000002</v>
      </c>
      <c r="D16" s="1640">
        <v>67.680000000000007</v>
      </c>
      <c r="E16" s="1640">
        <v>3900.3670000000002</v>
      </c>
      <c r="F16" s="1640">
        <v>909.26099999999997</v>
      </c>
      <c r="G16" s="1640">
        <v>4809.6499999999996</v>
      </c>
      <c r="H16" s="935">
        <v>5101.5049999999992</v>
      </c>
      <c r="I16" s="1642">
        <v>43.344000000000001</v>
      </c>
      <c r="J16" s="1640">
        <v>1967.3610000000001</v>
      </c>
      <c r="K16" s="1640">
        <v>739.7</v>
      </c>
      <c r="L16" s="1640">
        <v>2707.65</v>
      </c>
      <c r="M16" s="935">
        <v>2750.9940000000001</v>
      </c>
      <c r="N16" s="1643">
        <v>7.4130000000000003</v>
      </c>
      <c r="O16" s="1644"/>
      <c r="P16" s="1644"/>
      <c r="Q16" s="1644"/>
      <c r="R16" s="1644"/>
      <c r="S16" s="1644"/>
      <c r="T16" s="1644"/>
      <c r="U16" s="938">
        <v>7859.9119999999994</v>
      </c>
      <c r="V16" s="1646"/>
      <c r="W16" s="1646"/>
    </row>
    <row r="17" spans="1:23" s="1647" customFormat="1" ht="15.75" customHeight="1">
      <c r="A17" s="1638"/>
      <c r="B17" s="1639" t="s">
        <v>238</v>
      </c>
      <c r="C17" s="1640">
        <v>266.27</v>
      </c>
      <c r="D17" s="1640">
        <v>68.150000000000006</v>
      </c>
      <c r="E17" s="1640">
        <v>3841.6</v>
      </c>
      <c r="F17" s="1640">
        <v>900.24</v>
      </c>
      <c r="G17" s="1640">
        <v>4741.8</v>
      </c>
      <c r="H17" s="935">
        <f>C17+G17</f>
        <v>5008.07</v>
      </c>
      <c r="I17" s="1642">
        <v>40.081000000000003</v>
      </c>
      <c r="J17" s="1640">
        <v>2058.65</v>
      </c>
      <c r="K17" s="1640">
        <v>624.41999999999996</v>
      </c>
      <c r="L17" s="1640">
        <v>2683.087</v>
      </c>
      <c r="M17" s="935">
        <f>I17+L17</f>
        <v>2723.1680000000001</v>
      </c>
      <c r="N17" s="1643">
        <v>7.5819999999999999</v>
      </c>
      <c r="O17" s="1205"/>
      <c r="P17" s="1205"/>
      <c r="Q17" s="1205"/>
      <c r="R17" s="1205"/>
      <c r="S17" s="1205"/>
      <c r="T17" s="1205"/>
      <c r="U17" s="938">
        <f>H17+M17+N17</f>
        <v>7738.82</v>
      </c>
      <c r="V17" s="1646"/>
      <c r="W17" s="1646"/>
    </row>
    <row r="18" spans="1:23" s="1651" customFormat="1" ht="20.25" customHeight="1">
      <c r="A18" s="1648">
        <v>2019</v>
      </c>
      <c r="B18" s="1649" t="s">
        <v>239</v>
      </c>
      <c r="C18" s="934">
        <v>254.21600000000001</v>
      </c>
      <c r="D18" s="934">
        <v>109.64400000000001</v>
      </c>
      <c r="E18" s="934">
        <v>4029.7339999999999</v>
      </c>
      <c r="F18" s="934">
        <v>874.36900000000003</v>
      </c>
      <c r="G18" s="934">
        <f>+F18+E18</f>
        <v>4904.1030000000001</v>
      </c>
      <c r="H18" s="935">
        <f>C18+G18</f>
        <v>5158.3190000000004</v>
      </c>
      <c r="I18" s="936">
        <v>41.886000000000003</v>
      </c>
      <c r="J18" s="934">
        <v>1917.7919999999999</v>
      </c>
      <c r="K18" s="934">
        <v>1109.703</v>
      </c>
      <c r="L18" s="934">
        <f>J18+K18</f>
        <v>3027.4949999999999</v>
      </c>
      <c r="M18" s="935">
        <f>I18+L18</f>
        <v>3069.3809999999999</v>
      </c>
      <c r="N18" s="937">
        <v>7.3789999999999996</v>
      </c>
      <c r="O18" s="1644"/>
      <c r="P18" s="1644"/>
      <c r="Q18" s="1644"/>
      <c r="R18" s="1644"/>
      <c r="S18" s="1644"/>
      <c r="T18" s="1644"/>
      <c r="U18" s="938">
        <f>H18+M18+N18</f>
        <v>8235.0790000000015</v>
      </c>
      <c r="V18" s="1650"/>
      <c r="W18" s="1650"/>
    </row>
    <row r="19" spans="1:23" s="1647" customFormat="1" ht="14.25" customHeight="1">
      <c r="A19" s="1638"/>
      <c r="B19" s="1639" t="s">
        <v>240</v>
      </c>
      <c r="C19" s="1640">
        <v>289.3</v>
      </c>
      <c r="D19" s="1640">
        <v>121.3</v>
      </c>
      <c r="E19" s="1640">
        <v>3897.6</v>
      </c>
      <c r="F19" s="1640">
        <v>857.4</v>
      </c>
      <c r="G19" s="1640">
        <f>+F19+E19</f>
        <v>4755</v>
      </c>
      <c r="H19" s="1641">
        <f>C19+G19</f>
        <v>5044.3</v>
      </c>
      <c r="I19" s="1642">
        <v>40.299999999999997</v>
      </c>
      <c r="J19" s="1640">
        <v>1985.7</v>
      </c>
      <c r="K19" s="1640">
        <v>1266.2</v>
      </c>
      <c r="L19" s="1640">
        <f>J19+K19</f>
        <v>3251.9</v>
      </c>
      <c r="M19" s="1641">
        <f>L19+I19</f>
        <v>3292.2000000000003</v>
      </c>
      <c r="N19" s="1643">
        <v>7.4</v>
      </c>
      <c r="O19" s="1644"/>
      <c r="P19" s="1644"/>
      <c r="Q19" s="1644"/>
      <c r="R19" s="1644"/>
      <c r="S19" s="1644"/>
      <c r="T19" s="1644"/>
      <c r="U19" s="1645">
        <f>H19+M19+N19</f>
        <v>8343.9</v>
      </c>
      <c r="V19" s="1646"/>
      <c r="W19" s="1646"/>
    </row>
    <row r="20" spans="1:23" s="1647" customFormat="1" ht="14.25" customHeight="1">
      <c r="A20" s="1638"/>
      <c r="B20" s="1639" t="s">
        <v>237</v>
      </c>
      <c r="C20" s="1640">
        <v>386.3</v>
      </c>
      <c r="D20" s="1640">
        <v>111.5</v>
      </c>
      <c r="E20" s="1640">
        <v>3960.4</v>
      </c>
      <c r="F20" s="1640">
        <v>3316.2</v>
      </c>
      <c r="G20" s="1640">
        <f>+F20+E20</f>
        <v>7276.6</v>
      </c>
      <c r="H20" s="935">
        <f>C20+G20</f>
        <v>7662.9000000000005</v>
      </c>
      <c r="I20" s="1642">
        <v>47.9</v>
      </c>
      <c r="J20" s="1640">
        <v>2037.8</v>
      </c>
      <c r="K20" s="1640">
        <v>1235.0999999999999</v>
      </c>
      <c r="L20" s="1640">
        <f>J20+K20</f>
        <v>3272.8999999999996</v>
      </c>
      <c r="M20" s="935">
        <f>L20+I20</f>
        <v>3320.7999999999997</v>
      </c>
      <c r="N20" s="1643">
        <v>6</v>
      </c>
      <c r="O20" s="1644"/>
      <c r="P20" s="1644"/>
      <c r="Q20" s="1644"/>
      <c r="R20" s="1644"/>
      <c r="S20" s="1644"/>
      <c r="T20" s="1644"/>
      <c r="U20" s="938">
        <f>H20+M20+N20</f>
        <v>10989.7</v>
      </c>
      <c r="V20" s="1646"/>
      <c r="W20" s="1646"/>
    </row>
    <row r="21" spans="1:23" s="1647" customFormat="1" ht="15.75" customHeight="1">
      <c r="A21" s="1638"/>
      <c r="B21" s="1639" t="s">
        <v>238</v>
      </c>
      <c r="C21" s="1640">
        <v>252.3</v>
      </c>
      <c r="D21" s="1640">
        <v>134.30000000000001</v>
      </c>
      <c r="E21" s="1640">
        <v>4087.9</v>
      </c>
      <c r="F21" s="1640">
        <v>886.9</v>
      </c>
      <c r="G21" s="1640">
        <v>4974.8</v>
      </c>
      <c r="H21" s="935">
        <v>5227.1000000000004</v>
      </c>
      <c r="I21" s="1642">
        <v>39.799999999999997</v>
      </c>
      <c r="J21" s="1640">
        <v>2533.6</v>
      </c>
      <c r="K21" s="1640">
        <v>849.8</v>
      </c>
      <c r="L21" s="1640">
        <v>3383.3999999999996</v>
      </c>
      <c r="M21" s="935">
        <v>3423.2</v>
      </c>
      <c r="N21" s="1643">
        <v>7.9</v>
      </c>
      <c r="O21" s="1205"/>
      <c r="P21" s="1205"/>
      <c r="Q21" s="1205"/>
      <c r="R21" s="1205"/>
      <c r="S21" s="1205"/>
      <c r="T21" s="1205"/>
      <c r="U21" s="938">
        <v>8658.1999999999989</v>
      </c>
      <c r="V21" s="1646"/>
      <c r="W21" s="1646"/>
    </row>
    <row r="22" spans="1:23" s="1651" customFormat="1" ht="19.5" customHeight="1">
      <c r="A22" s="1648">
        <v>2020</v>
      </c>
      <c r="B22" s="1649" t="s">
        <v>239</v>
      </c>
      <c r="C22" s="934">
        <v>368.2</v>
      </c>
      <c r="D22" s="934">
        <v>175.3</v>
      </c>
      <c r="E22" s="934">
        <v>3700.8</v>
      </c>
      <c r="F22" s="934">
        <v>3130</v>
      </c>
      <c r="G22" s="934">
        <v>6830.8</v>
      </c>
      <c r="H22" s="935">
        <v>7199</v>
      </c>
      <c r="I22" s="936">
        <v>43.4</v>
      </c>
      <c r="J22" s="934">
        <v>2256.5</v>
      </c>
      <c r="K22" s="934">
        <v>628.29999999999995</v>
      </c>
      <c r="L22" s="934">
        <v>2884.8</v>
      </c>
      <c r="M22" s="935">
        <v>2928.2000000000003</v>
      </c>
      <c r="N22" s="937">
        <v>8.3000000000000007</v>
      </c>
      <c r="O22" s="1644"/>
      <c r="P22" s="1644"/>
      <c r="Q22" s="1644"/>
      <c r="R22" s="1644"/>
      <c r="S22" s="1644"/>
      <c r="T22" s="1644"/>
      <c r="U22" s="938">
        <v>10135.5</v>
      </c>
      <c r="V22" s="1650"/>
      <c r="W22" s="1650"/>
    </row>
    <row r="23" spans="1:23" s="1647" customFormat="1" ht="14.25" customHeight="1">
      <c r="A23" s="1638"/>
      <c r="B23" s="1639" t="s">
        <v>240</v>
      </c>
      <c r="C23" s="1640">
        <v>364.4</v>
      </c>
      <c r="D23" s="1640">
        <v>162.595</v>
      </c>
      <c r="E23" s="1640">
        <v>3580.2</v>
      </c>
      <c r="F23" s="1640">
        <v>3129.69</v>
      </c>
      <c r="G23" s="1640">
        <v>6709.9441999999999</v>
      </c>
      <c r="H23" s="1641">
        <v>7074.3441999999995</v>
      </c>
      <c r="I23" s="1642">
        <v>35.700000000000003</v>
      </c>
      <c r="J23" s="1640">
        <v>1949.67</v>
      </c>
      <c r="K23" s="1640">
        <v>1189.7940000000001</v>
      </c>
      <c r="L23" s="1640">
        <v>3139.4639999999999</v>
      </c>
      <c r="M23" s="1641">
        <v>3175.1639999999998</v>
      </c>
      <c r="N23" s="1643">
        <v>10.08</v>
      </c>
      <c r="O23" s="1644"/>
      <c r="P23" s="1644"/>
      <c r="Q23" s="1644"/>
      <c r="R23" s="1644"/>
      <c r="S23" s="1644"/>
      <c r="T23" s="1644"/>
      <c r="U23" s="1645">
        <v>10259.5882</v>
      </c>
      <c r="V23" s="1646"/>
      <c r="W23" s="1646"/>
    </row>
    <row r="24" spans="1:23" s="1647" customFormat="1" ht="14.25" customHeight="1">
      <c r="A24" s="1638"/>
      <c r="B24" s="1639" t="s">
        <v>237</v>
      </c>
      <c r="C24" s="1640">
        <v>333</v>
      </c>
      <c r="D24" s="1640">
        <v>150.6</v>
      </c>
      <c r="E24" s="1640">
        <v>3674</v>
      </c>
      <c r="F24" s="1640">
        <v>3000.4</v>
      </c>
      <c r="G24" s="1640">
        <v>6671.4</v>
      </c>
      <c r="H24" s="1641">
        <v>7004.4</v>
      </c>
      <c r="I24" s="1642">
        <v>40</v>
      </c>
      <c r="J24" s="1640">
        <v>2502.4</v>
      </c>
      <c r="K24" s="1640">
        <v>899.6</v>
      </c>
      <c r="L24" s="1640">
        <v>3389.7</v>
      </c>
      <c r="M24" s="1641">
        <v>3429.7</v>
      </c>
      <c r="N24" s="1643">
        <v>8</v>
      </c>
      <c r="O24" s="1644"/>
      <c r="P24" s="1644"/>
      <c r="Q24" s="1644"/>
      <c r="R24" s="1644"/>
      <c r="S24" s="1644"/>
      <c r="T24" s="1644"/>
      <c r="U24" s="1645">
        <v>10442.099999999999</v>
      </c>
      <c r="V24" s="1646"/>
      <c r="W24" s="1646"/>
    </row>
    <row r="25" spans="1:23" s="1647" customFormat="1" ht="15.75" customHeight="1">
      <c r="A25" s="1638"/>
      <c r="B25" s="1639" t="s">
        <v>238</v>
      </c>
      <c r="C25" s="1640">
        <v>400.06</v>
      </c>
      <c r="D25" s="1640">
        <v>201.61</v>
      </c>
      <c r="E25" s="1640">
        <v>4136</v>
      </c>
      <c r="F25" s="1640">
        <v>3074</v>
      </c>
      <c r="G25" s="1640">
        <v>7210</v>
      </c>
      <c r="H25" s="1641">
        <f>+C25+G25</f>
        <v>7610.06</v>
      </c>
      <c r="I25" s="1642">
        <v>39.164999999999999</v>
      </c>
      <c r="J25" s="1640">
        <v>3030.8</v>
      </c>
      <c r="K25" s="1640">
        <v>592.11699999999996</v>
      </c>
      <c r="L25" s="1640">
        <f>+J25+K25</f>
        <v>3622.9170000000004</v>
      </c>
      <c r="M25" s="1641">
        <f>+I25+L25</f>
        <v>3662.0820000000003</v>
      </c>
      <c r="N25" s="1643">
        <v>8.1940000000000008</v>
      </c>
      <c r="O25" s="1205"/>
      <c r="P25" s="1205"/>
      <c r="Q25" s="1205"/>
      <c r="R25" s="1205"/>
      <c r="S25" s="1205"/>
      <c r="T25" s="1205"/>
      <c r="U25" s="1645">
        <f>+N25+M25+H25</f>
        <v>11280.336000000001</v>
      </c>
      <c r="V25" s="1646"/>
      <c r="W25" s="1646"/>
    </row>
    <row r="26" spans="1:23" s="1651" customFormat="1" ht="20.25" customHeight="1">
      <c r="A26" s="1648">
        <v>2021</v>
      </c>
      <c r="B26" s="1649" t="s">
        <v>239</v>
      </c>
      <c r="C26" s="934">
        <v>395.1</v>
      </c>
      <c r="D26" s="934">
        <v>193.18</v>
      </c>
      <c r="E26" s="934">
        <v>4015.9</v>
      </c>
      <c r="F26" s="934">
        <v>3095.9</v>
      </c>
      <c r="G26" s="934">
        <v>7111.9</v>
      </c>
      <c r="H26" s="935">
        <f>C26+G26</f>
        <v>7507</v>
      </c>
      <c r="I26" s="936">
        <v>41.05</v>
      </c>
      <c r="J26" s="934">
        <v>2202.9499999999998</v>
      </c>
      <c r="K26" s="934">
        <v>1456.3</v>
      </c>
      <c r="L26" s="934">
        <v>3659.3</v>
      </c>
      <c r="M26" s="935">
        <f>I26+L26</f>
        <v>3700.3500000000004</v>
      </c>
      <c r="N26" s="937">
        <v>8.3970000000000002</v>
      </c>
      <c r="O26" s="1205"/>
      <c r="P26" s="1205"/>
      <c r="Q26" s="1205"/>
      <c r="R26" s="1205"/>
      <c r="S26" s="1205"/>
      <c r="T26" s="1205"/>
      <c r="U26" s="938">
        <f>H26+M26+N26</f>
        <v>11215.747000000001</v>
      </c>
      <c r="V26" s="1650"/>
      <c r="W26" s="1650"/>
    </row>
    <row r="27" spans="1:23" s="1651" customFormat="1" ht="14.25" customHeight="1">
      <c r="A27" s="1648"/>
      <c r="B27" s="1649" t="s">
        <v>240</v>
      </c>
      <c r="C27" s="934">
        <v>404.18</v>
      </c>
      <c r="D27" s="934">
        <v>190.95699999999999</v>
      </c>
      <c r="E27" s="934">
        <v>4078.9</v>
      </c>
      <c r="F27" s="934">
        <v>3259.9</v>
      </c>
      <c r="G27" s="934">
        <v>7338.7</v>
      </c>
      <c r="H27" s="935">
        <f>C27+G27</f>
        <v>7742.88</v>
      </c>
      <c r="I27" s="936">
        <v>41.14</v>
      </c>
      <c r="J27" s="934">
        <v>2328.6999999999998</v>
      </c>
      <c r="K27" s="934">
        <v>1512.8</v>
      </c>
      <c r="L27" s="934">
        <v>3841.5</v>
      </c>
      <c r="M27" s="935">
        <f>I27+L27</f>
        <v>3882.64</v>
      </c>
      <c r="N27" s="937">
        <v>7.17</v>
      </c>
      <c r="O27" s="1205"/>
      <c r="P27" s="1205"/>
      <c r="Q27" s="1205"/>
      <c r="R27" s="1205"/>
      <c r="S27" s="1205"/>
      <c r="T27" s="1205"/>
      <c r="U27" s="938">
        <f>H27+M27+N27</f>
        <v>11632.69</v>
      </c>
      <c r="V27" s="1650"/>
      <c r="W27" s="1650"/>
    </row>
    <row r="28" spans="1:23" s="1651" customFormat="1" ht="14.25" customHeight="1">
      <c r="A28" s="1648"/>
      <c r="B28" s="1649" t="s">
        <v>237</v>
      </c>
      <c r="C28" s="934">
        <v>414.9</v>
      </c>
      <c r="D28" s="934">
        <v>141.1</v>
      </c>
      <c r="E28" s="934">
        <v>4069.7</v>
      </c>
      <c r="F28" s="934">
        <v>3425</v>
      </c>
      <c r="G28" s="934">
        <f>+E28+F28</f>
        <v>7494.7</v>
      </c>
      <c r="H28" s="935">
        <f>+C28+G28</f>
        <v>7909.5999999999995</v>
      </c>
      <c r="I28" s="936">
        <v>44.1</v>
      </c>
      <c r="J28" s="934">
        <v>2701.3</v>
      </c>
      <c r="K28" s="934">
        <v>1087.2</v>
      </c>
      <c r="L28" s="934">
        <f>+J28+K28</f>
        <v>3788.5</v>
      </c>
      <c r="M28" s="935">
        <f>+L28+I28</f>
        <v>3832.6</v>
      </c>
      <c r="N28" s="937">
        <v>9</v>
      </c>
      <c r="O28" s="1205"/>
      <c r="P28" s="1205"/>
      <c r="Q28" s="1205"/>
      <c r="R28" s="1205"/>
      <c r="S28" s="1205"/>
      <c r="T28" s="1205"/>
      <c r="U28" s="938">
        <f>+N28+M28+H28</f>
        <v>11751.199999999999</v>
      </c>
      <c r="V28" s="1650"/>
      <c r="W28" s="1650"/>
    </row>
    <row r="29" spans="1:23" s="1651" customFormat="1" ht="14.25" customHeight="1">
      <c r="A29" s="1648"/>
      <c r="B29" s="1649" t="s">
        <v>238</v>
      </c>
      <c r="C29" s="934">
        <v>367.12700000000001</v>
      </c>
      <c r="D29" s="934">
        <v>139.88</v>
      </c>
      <c r="E29" s="934">
        <v>4101.0249999999996</v>
      </c>
      <c r="F29" s="934">
        <f>3314.626+0.03</f>
        <v>3314.6560000000004</v>
      </c>
      <c r="G29" s="934">
        <f>+E29+F29</f>
        <v>7415.6810000000005</v>
      </c>
      <c r="H29" s="935">
        <f>+C29+G29</f>
        <v>7782.8080000000009</v>
      </c>
      <c r="I29" s="936">
        <v>45.77</v>
      </c>
      <c r="J29" s="934">
        <v>2430.5459999999998</v>
      </c>
      <c r="K29" s="934">
        <v>1473.9059999999999</v>
      </c>
      <c r="L29" s="934">
        <f>+J29+K29-0.01</f>
        <v>3904.4419999999996</v>
      </c>
      <c r="M29" s="935">
        <f>+L29+I29</f>
        <v>3950.2119999999995</v>
      </c>
      <c r="N29" s="937">
        <v>8.7080000000000002</v>
      </c>
      <c r="O29" s="1205"/>
      <c r="P29" s="1205"/>
      <c r="Q29" s="1205"/>
      <c r="R29" s="1205"/>
      <c r="S29" s="1205"/>
      <c r="T29" s="1205"/>
      <c r="U29" s="938">
        <f>+N29+M29+H29</f>
        <v>11741.728000000001</v>
      </c>
      <c r="V29" s="1650"/>
      <c r="W29" s="1650"/>
    </row>
    <row r="30" spans="1:23" s="1651" customFormat="1" ht="20.25" customHeight="1">
      <c r="A30" s="1648">
        <v>2022</v>
      </c>
      <c r="B30" s="1649" t="s">
        <v>239</v>
      </c>
      <c r="C30" s="934">
        <v>755</v>
      </c>
      <c r="D30" s="934">
        <v>276.89999999999998</v>
      </c>
      <c r="E30" s="934">
        <v>4161.3</v>
      </c>
      <c r="F30" s="934">
        <v>3265.6</v>
      </c>
      <c r="G30" s="934">
        <f>+E30+F30</f>
        <v>7426.9</v>
      </c>
      <c r="H30" s="935">
        <f>+C30+G30</f>
        <v>8181.9</v>
      </c>
      <c r="I30" s="936">
        <v>47.2</v>
      </c>
      <c r="J30" s="934">
        <v>2835.8</v>
      </c>
      <c r="K30" s="934">
        <v>1102.5999999999999</v>
      </c>
      <c r="L30" s="934">
        <f>+J30+K30</f>
        <v>3938.4</v>
      </c>
      <c r="M30" s="935">
        <f>+L30+I30</f>
        <v>3985.6</v>
      </c>
      <c r="N30" s="937">
        <v>7.5</v>
      </c>
      <c r="O30" s="1205"/>
      <c r="P30" s="1205"/>
      <c r="Q30" s="1205"/>
      <c r="R30" s="1205"/>
      <c r="S30" s="1205"/>
      <c r="T30" s="1205"/>
      <c r="U30" s="938">
        <f>+N30+M30+H30</f>
        <v>12175</v>
      </c>
      <c r="V30" s="1650"/>
      <c r="W30" s="1650"/>
    </row>
    <row r="31" spans="1:23" s="1651" customFormat="1" ht="14.25" customHeight="1">
      <c r="A31" s="1648"/>
      <c r="B31" s="1649" t="s">
        <v>240</v>
      </c>
      <c r="C31" s="934">
        <v>686.2</v>
      </c>
      <c r="D31" s="934">
        <v>595.79999999999995</v>
      </c>
      <c r="E31" s="934">
        <v>3808.9</v>
      </c>
      <c r="F31" s="934">
        <v>3491.2</v>
      </c>
      <c r="G31" s="934">
        <v>7300.1</v>
      </c>
      <c r="H31" s="935">
        <v>7986.3</v>
      </c>
      <c r="I31" s="936">
        <v>30.1</v>
      </c>
      <c r="J31" s="934">
        <v>2489.4</v>
      </c>
      <c r="K31" s="934">
        <v>960.2</v>
      </c>
      <c r="L31" s="934">
        <v>3449.6000000000004</v>
      </c>
      <c r="M31" s="935">
        <v>3479.7000000000003</v>
      </c>
      <c r="N31" s="937">
        <v>7.3</v>
      </c>
      <c r="O31" s="1205"/>
      <c r="P31" s="1205"/>
      <c r="Q31" s="1205"/>
      <c r="R31" s="1205"/>
      <c r="S31" s="1205"/>
      <c r="T31" s="1205"/>
      <c r="U31" s="938">
        <v>11473.300000000001</v>
      </c>
      <c r="V31" s="1650"/>
      <c r="W31" s="1650"/>
    </row>
    <row r="32" spans="1:23" s="1651" customFormat="1" ht="14.25" customHeight="1">
      <c r="A32" s="1648"/>
      <c r="B32" s="1649" t="s">
        <v>237</v>
      </c>
      <c r="C32" s="934">
        <v>747.3</v>
      </c>
      <c r="D32" s="934">
        <v>543.5</v>
      </c>
      <c r="E32" s="934">
        <v>3552.3</v>
      </c>
      <c r="F32" s="934">
        <v>3430.1</v>
      </c>
      <c r="G32" s="934">
        <f t="shared" ref="G32:G37" si="0">SUM(E32:F32)</f>
        <v>6982.4</v>
      </c>
      <c r="H32" s="935">
        <f t="shared" ref="H32:H43" si="1">C32+G32</f>
        <v>7729.7</v>
      </c>
      <c r="I32" s="936">
        <v>47.4</v>
      </c>
      <c r="J32" s="934">
        <v>2523.6</v>
      </c>
      <c r="K32" s="934">
        <v>916.5</v>
      </c>
      <c r="L32" s="934">
        <f t="shared" ref="L32:L37" si="2">SUM(J32:K32)</f>
        <v>3440.1</v>
      </c>
      <c r="M32" s="935">
        <f t="shared" ref="M32:M43" si="3">I32+L32</f>
        <v>3487.5</v>
      </c>
      <c r="N32" s="937">
        <v>7.1</v>
      </c>
      <c r="O32" s="1205"/>
      <c r="P32" s="1205"/>
      <c r="Q32" s="1205"/>
      <c r="R32" s="1205"/>
      <c r="S32" s="1205"/>
      <c r="T32" s="1205"/>
      <c r="U32" s="938">
        <f t="shared" ref="U32:U43" si="4">H32+M32+N32</f>
        <v>11224.300000000001</v>
      </c>
      <c r="V32" s="1650"/>
      <c r="W32" s="1650"/>
    </row>
    <row r="33" spans="1:23" s="1651" customFormat="1" ht="15.75" customHeight="1">
      <c r="A33" s="1648"/>
      <c r="B33" s="1649" t="s">
        <v>238</v>
      </c>
      <c r="C33" s="934">
        <v>713.5</v>
      </c>
      <c r="D33" s="934">
        <v>538.70000000000005</v>
      </c>
      <c r="E33" s="934">
        <v>3578.6</v>
      </c>
      <c r="F33" s="934">
        <v>3371.6</v>
      </c>
      <c r="G33" s="934">
        <f t="shared" si="0"/>
        <v>6950.2</v>
      </c>
      <c r="H33" s="935">
        <f t="shared" si="1"/>
        <v>7663.7</v>
      </c>
      <c r="I33" s="936">
        <v>46.4</v>
      </c>
      <c r="J33" s="934">
        <v>2757</v>
      </c>
      <c r="K33" s="934">
        <v>1171.3</v>
      </c>
      <c r="L33" s="934">
        <f t="shared" si="2"/>
        <v>3928.3</v>
      </c>
      <c r="M33" s="935">
        <f t="shared" si="3"/>
        <v>3974.7000000000003</v>
      </c>
      <c r="N33" s="937">
        <v>7.2</v>
      </c>
      <c r="O33" s="1205"/>
      <c r="P33" s="1205"/>
      <c r="Q33" s="1205"/>
      <c r="R33" s="1205"/>
      <c r="S33" s="1205"/>
      <c r="T33" s="1205"/>
      <c r="U33" s="938">
        <f t="shared" si="4"/>
        <v>11645.6</v>
      </c>
      <c r="V33" s="1650"/>
      <c r="W33" s="1650"/>
    </row>
    <row r="34" spans="1:23" s="1651" customFormat="1" ht="20.25" customHeight="1">
      <c r="A34" s="1648">
        <v>2023</v>
      </c>
      <c r="B34" s="1649" t="s">
        <v>239</v>
      </c>
      <c r="C34" s="934">
        <v>711.9</v>
      </c>
      <c r="D34" s="934">
        <v>545.6</v>
      </c>
      <c r="E34" s="934">
        <v>3552.2</v>
      </c>
      <c r="F34" s="934">
        <v>3730.1</v>
      </c>
      <c r="G34" s="934">
        <f t="shared" si="0"/>
        <v>7282.2999999999993</v>
      </c>
      <c r="H34" s="935">
        <f t="shared" si="1"/>
        <v>7994.1999999999989</v>
      </c>
      <c r="I34" s="936">
        <v>47.1</v>
      </c>
      <c r="J34" s="934">
        <v>2465.5</v>
      </c>
      <c r="K34" s="934">
        <v>1226.4000000000001</v>
      </c>
      <c r="L34" s="934">
        <f t="shared" si="2"/>
        <v>3691.9</v>
      </c>
      <c r="M34" s="935">
        <f t="shared" si="3"/>
        <v>3739</v>
      </c>
      <c r="N34" s="937">
        <v>7.4</v>
      </c>
      <c r="O34" s="1205"/>
      <c r="P34" s="1205"/>
      <c r="Q34" s="1205"/>
      <c r="R34" s="1205"/>
      <c r="S34" s="1205"/>
      <c r="T34" s="1205"/>
      <c r="U34" s="938">
        <f t="shared" si="4"/>
        <v>11740.599999999999</v>
      </c>
      <c r="V34" s="1650"/>
      <c r="W34" s="1650"/>
    </row>
    <row r="35" spans="1:23" s="1651" customFormat="1" ht="14.25" customHeight="1">
      <c r="A35" s="1648"/>
      <c r="B35" s="1649" t="s">
        <v>240</v>
      </c>
      <c r="C35" s="934">
        <v>732.2</v>
      </c>
      <c r="D35" s="934">
        <v>553.9</v>
      </c>
      <c r="E35" s="934">
        <v>3510.1</v>
      </c>
      <c r="F35" s="934">
        <v>3790.5</v>
      </c>
      <c r="G35" s="934">
        <f t="shared" si="0"/>
        <v>7300.6</v>
      </c>
      <c r="H35" s="935">
        <f t="shared" si="1"/>
        <v>8032.8</v>
      </c>
      <c r="I35" s="936">
        <v>46.9</v>
      </c>
      <c r="J35" s="934">
        <v>2670.7</v>
      </c>
      <c r="K35" s="934">
        <v>1384.8</v>
      </c>
      <c r="L35" s="934">
        <f t="shared" si="2"/>
        <v>4055.5</v>
      </c>
      <c r="M35" s="935">
        <f t="shared" si="3"/>
        <v>4102.3999999999996</v>
      </c>
      <c r="N35" s="937">
        <v>5.5</v>
      </c>
      <c r="O35" s="1205"/>
      <c r="P35" s="1205"/>
      <c r="Q35" s="1205"/>
      <c r="R35" s="1205"/>
      <c r="S35" s="1205"/>
      <c r="T35" s="1205"/>
      <c r="U35" s="938">
        <f t="shared" si="4"/>
        <v>12140.7</v>
      </c>
      <c r="V35" s="1650"/>
      <c r="W35" s="1650"/>
    </row>
    <row r="36" spans="1:23" s="1651" customFormat="1" ht="14.25" customHeight="1">
      <c r="A36" s="1648"/>
      <c r="B36" s="1649" t="s">
        <v>237</v>
      </c>
      <c r="C36" s="934">
        <v>719.3</v>
      </c>
      <c r="D36" s="934">
        <v>550.9</v>
      </c>
      <c r="E36" s="934">
        <v>3402.4</v>
      </c>
      <c r="F36" s="934">
        <v>3865.4</v>
      </c>
      <c r="G36" s="934">
        <f t="shared" si="0"/>
        <v>7267.8</v>
      </c>
      <c r="H36" s="935">
        <f t="shared" si="1"/>
        <v>7987.1</v>
      </c>
      <c r="I36" s="936">
        <v>48.6</v>
      </c>
      <c r="J36" s="934">
        <v>2649.5</v>
      </c>
      <c r="K36" s="934">
        <v>1348.4</v>
      </c>
      <c r="L36" s="934">
        <f t="shared" si="2"/>
        <v>3997.9</v>
      </c>
      <c r="M36" s="935">
        <f t="shared" si="3"/>
        <v>4046.5</v>
      </c>
      <c r="N36" s="937">
        <v>5.6</v>
      </c>
      <c r="O36" s="1205"/>
      <c r="P36" s="1205"/>
      <c r="Q36" s="1205"/>
      <c r="R36" s="1205"/>
      <c r="S36" s="1205"/>
      <c r="T36" s="1205"/>
      <c r="U36" s="938">
        <f t="shared" si="4"/>
        <v>12039.2</v>
      </c>
      <c r="V36" s="1650"/>
      <c r="W36" s="1650"/>
    </row>
    <row r="37" spans="1:23" s="1651" customFormat="1" ht="15.75" customHeight="1">
      <c r="A37" s="1648"/>
      <c r="B37" s="1649" t="s">
        <v>238</v>
      </c>
      <c r="C37" s="934">
        <v>716.8</v>
      </c>
      <c r="D37" s="934">
        <v>543.1</v>
      </c>
      <c r="E37" s="934">
        <v>3307.6</v>
      </c>
      <c r="F37" s="934">
        <v>3867</v>
      </c>
      <c r="G37" s="934">
        <f t="shared" si="0"/>
        <v>7174.6</v>
      </c>
      <c r="H37" s="935">
        <f t="shared" si="1"/>
        <v>7891.4000000000005</v>
      </c>
      <c r="I37" s="936">
        <v>48.9</v>
      </c>
      <c r="J37" s="934">
        <v>2650.1</v>
      </c>
      <c r="K37" s="934">
        <v>1333.8</v>
      </c>
      <c r="L37" s="934">
        <f t="shared" si="2"/>
        <v>3983.8999999999996</v>
      </c>
      <c r="M37" s="935">
        <f t="shared" si="3"/>
        <v>4032.7999999999997</v>
      </c>
      <c r="N37" s="937">
        <v>5.5</v>
      </c>
      <c r="O37" s="1205"/>
      <c r="P37" s="1205"/>
      <c r="Q37" s="1205"/>
      <c r="R37" s="1205"/>
      <c r="S37" s="1205"/>
      <c r="T37" s="1205"/>
      <c r="U37" s="938">
        <f t="shared" si="4"/>
        <v>11929.7</v>
      </c>
      <c r="V37" s="1650"/>
      <c r="W37" s="1650"/>
    </row>
    <row r="38" spans="1:23" s="1651" customFormat="1" ht="20.25" customHeight="1">
      <c r="A38" s="1648">
        <v>2024</v>
      </c>
      <c r="B38" s="1649" t="s">
        <v>239</v>
      </c>
      <c r="C38" s="934">
        <v>704.9</v>
      </c>
      <c r="D38" s="934">
        <v>530.5</v>
      </c>
      <c r="E38" s="934">
        <v>3301.4</v>
      </c>
      <c r="F38" s="934">
        <v>3866.8</v>
      </c>
      <c r="G38" s="934">
        <f t="shared" ref="G38:G43" si="5">SUM(E38:F38)</f>
        <v>7168.2000000000007</v>
      </c>
      <c r="H38" s="935">
        <f t="shared" si="1"/>
        <v>7873.1</v>
      </c>
      <c r="I38" s="936">
        <v>49.2</v>
      </c>
      <c r="J38" s="934">
        <v>2784.3</v>
      </c>
      <c r="K38" s="934">
        <v>1408.2</v>
      </c>
      <c r="L38" s="934">
        <f t="shared" ref="L38:L43" si="6">SUM(J38:K38)</f>
        <v>4192.5</v>
      </c>
      <c r="M38" s="935">
        <f t="shared" si="3"/>
        <v>4241.7</v>
      </c>
      <c r="N38" s="937">
        <v>5.6</v>
      </c>
      <c r="O38" s="1205"/>
      <c r="P38" s="1205"/>
      <c r="Q38" s="1205"/>
      <c r="R38" s="1205"/>
      <c r="S38" s="1205"/>
      <c r="T38" s="1205"/>
      <c r="U38" s="938">
        <f t="shared" si="4"/>
        <v>12120.4</v>
      </c>
      <c r="V38" s="1650"/>
      <c r="W38" s="1650"/>
    </row>
    <row r="39" spans="1:23" s="1651" customFormat="1" ht="14.25" customHeight="1">
      <c r="A39" s="1648"/>
      <c r="B39" s="1649" t="s">
        <v>240</v>
      </c>
      <c r="C39" s="934">
        <v>712.8</v>
      </c>
      <c r="D39" s="934">
        <v>545</v>
      </c>
      <c r="E39" s="934">
        <v>3243.9</v>
      </c>
      <c r="F39" s="934">
        <v>3969.7</v>
      </c>
      <c r="G39" s="934">
        <f t="shared" si="5"/>
        <v>7213.6</v>
      </c>
      <c r="H39" s="935">
        <f t="shared" si="1"/>
        <v>7926.4000000000005</v>
      </c>
      <c r="I39" s="936">
        <v>49.4</v>
      </c>
      <c r="J39" s="934">
        <v>2794.6</v>
      </c>
      <c r="K39" s="934">
        <v>2140.9</v>
      </c>
      <c r="L39" s="934">
        <f t="shared" si="6"/>
        <v>4935.5</v>
      </c>
      <c r="M39" s="935">
        <f t="shared" si="3"/>
        <v>4984.8999999999996</v>
      </c>
      <c r="N39" s="937">
        <v>5.2</v>
      </c>
      <c r="O39" s="1205"/>
      <c r="P39" s="1205"/>
      <c r="Q39" s="1205"/>
      <c r="R39" s="1205"/>
      <c r="S39" s="1205"/>
      <c r="T39" s="1205"/>
      <c r="U39" s="938">
        <f t="shared" si="4"/>
        <v>12916.5</v>
      </c>
      <c r="V39" s="1650"/>
      <c r="W39" s="1650"/>
    </row>
    <row r="40" spans="1:23" s="1651" customFormat="1" ht="14.25" customHeight="1">
      <c r="A40" s="1648"/>
      <c r="B40" s="1649" t="s">
        <v>237</v>
      </c>
      <c r="C40" s="934">
        <v>709.5</v>
      </c>
      <c r="D40" s="934">
        <v>555.29999999999995</v>
      </c>
      <c r="E40" s="934">
        <v>3089.3</v>
      </c>
      <c r="F40" s="934">
        <v>3993.7</v>
      </c>
      <c r="G40" s="934">
        <f t="shared" si="5"/>
        <v>7083</v>
      </c>
      <c r="H40" s="935">
        <f t="shared" si="1"/>
        <v>7792.5</v>
      </c>
      <c r="I40" s="936">
        <v>50.8</v>
      </c>
      <c r="J40" s="934">
        <v>2709.2</v>
      </c>
      <c r="K40" s="934">
        <v>2124</v>
      </c>
      <c r="L40" s="934">
        <f t="shared" si="6"/>
        <v>4833.2</v>
      </c>
      <c r="M40" s="935">
        <f t="shared" si="3"/>
        <v>4884</v>
      </c>
      <c r="N40" s="937">
        <v>5.0999999999999996</v>
      </c>
      <c r="O40" s="1205"/>
      <c r="P40" s="1205"/>
      <c r="Q40" s="1205"/>
      <c r="R40" s="1205"/>
      <c r="S40" s="1205"/>
      <c r="T40" s="1205"/>
      <c r="U40" s="938">
        <f t="shared" si="4"/>
        <v>12681.6</v>
      </c>
      <c r="V40" s="1650"/>
      <c r="W40" s="1650"/>
    </row>
    <row r="41" spans="1:23" s="1651" customFormat="1" ht="15.75" customHeight="1">
      <c r="A41" s="1648"/>
      <c r="B41" s="1649" t="s">
        <v>238</v>
      </c>
      <c r="C41" s="934">
        <v>704</v>
      </c>
      <c r="D41" s="934">
        <v>548.70000000000005</v>
      </c>
      <c r="E41" s="934">
        <v>3155.5</v>
      </c>
      <c r="F41" s="934">
        <v>4521.2</v>
      </c>
      <c r="G41" s="934">
        <f t="shared" si="5"/>
        <v>7676.7</v>
      </c>
      <c r="H41" s="935">
        <f t="shared" si="1"/>
        <v>8380.7000000000007</v>
      </c>
      <c r="I41" s="936">
        <v>43.5</v>
      </c>
      <c r="J41" s="934">
        <v>588.9</v>
      </c>
      <c r="K41" s="934">
        <v>1738.8</v>
      </c>
      <c r="L41" s="934">
        <f t="shared" si="6"/>
        <v>2327.6999999999998</v>
      </c>
      <c r="M41" s="935">
        <f t="shared" si="3"/>
        <v>2371.1999999999998</v>
      </c>
      <c r="N41" s="937">
        <v>6.1</v>
      </c>
      <c r="O41" s="937"/>
      <c r="P41" s="937"/>
      <c r="Q41" s="937"/>
      <c r="R41" s="937"/>
      <c r="S41" s="937"/>
      <c r="T41" s="937"/>
      <c r="U41" s="938">
        <f t="shared" si="4"/>
        <v>10758.000000000002</v>
      </c>
      <c r="V41" s="1650"/>
      <c r="W41" s="1650"/>
    </row>
    <row r="42" spans="1:23" s="1651" customFormat="1" ht="20.25" customHeight="1">
      <c r="A42" s="1648">
        <v>2025</v>
      </c>
      <c r="B42" s="1649" t="s">
        <v>239</v>
      </c>
      <c r="C42" s="934">
        <v>715.9</v>
      </c>
      <c r="D42" s="934">
        <v>552.9</v>
      </c>
      <c r="E42" s="934">
        <v>3187.1</v>
      </c>
      <c r="F42" s="934">
        <v>5154.3999999999996</v>
      </c>
      <c r="G42" s="934">
        <f t="shared" si="5"/>
        <v>8341.5</v>
      </c>
      <c r="H42" s="935">
        <f t="shared" si="1"/>
        <v>9057.4</v>
      </c>
      <c r="I42" s="936">
        <v>34.4</v>
      </c>
      <c r="J42" s="934">
        <v>585</v>
      </c>
      <c r="K42" s="934">
        <v>1209.8</v>
      </c>
      <c r="L42" s="934">
        <f t="shared" si="6"/>
        <v>1794.8</v>
      </c>
      <c r="M42" s="935">
        <f t="shared" si="3"/>
        <v>1829.2</v>
      </c>
      <c r="N42" s="937">
        <v>6.1</v>
      </c>
      <c r="O42" s="937"/>
      <c r="P42" s="937"/>
      <c r="Q42" s="937"/>
      <c r="R42" s="937"/>
      <c r="S42" s="937"/>
      <c r="T42" s="937"/>
      <c r="U42" s="938">
        <f t="shared" si="4"/>
        <v>10892.7</v>
      </c>
      <c r="V42" s="1650"/>
      <c r="W42" s="1650"/>
    </row>
    <row r="43" spans="1:23" s="1651" customFormat="1" ht="14.25" customHeight="1">
      <c r="A43" s="1648"/>
      <c r="B43" s="1649" t="s">
        <v>240</v>
      </c>
      <c r="C43" s="934">
        <v>731.1</v>
      </c>
      <c r="D43" s="934">
        <v>568.9</v>
      </c>
      <c r="E43" s="934">
        <v>3175.2</v>
      </c>
      <c r="F43" s="934">
        <v>5299</v>
      </c>
      <c r="G43" s="934">
        <f t="shared" si="5"/>
        <v>8474.2000000000007</v>
      </c>
      <c r="H43" s="935">
        <f t="shared" si="1"/>
        <v>9205.3000000000011</v>
      </c>
      <c r="I43" s="936">
        <v>35</v>
      </c>
      <c r="J43" s="934">
        <v>492.6</v>
      </c>
      <c r="K43" s="934">
        <v>1433.4</v>
      </c>
      <c r="L43" s="934">
        <f t="shared" si="6"/>
        <v>1926</v>
      </c>
      <c r="M43" s="935">
        <f t="shared" si="3"/>
        <v>1961</v>
      </c>
      <c r="N43" s="937">
        <v>6.3</v>
      </c>
      <c r="O43" s="937"/>
      <c r="P43" s="937"/>
      <c r="Q43" s="937"/>
      <c r="R43" s="937"/>
      <c r="S43" s="937"/>
      <c r="T43" s="937"/>
      <c r="U43" s="938">
        <f t="shared" si="4"/>
        <v>11172.6</v>
      </c>
      <c r="V43" s="1650"/>
      <c r="W43" s="1650"/>
    </row>
    <row r="44" spans="1:23" s="1651" customFormat="1" ht="14.25" customHeight="1">
      <c r="A44" s="1648"/>
      <c r="B44" s="1649" t="s">
        <v>237</v>
      </c>
      <c r="C44" s="934">
        <v>735.8</v>
      </c>
      <c r="D44" s="934">
        <v>570.1</v>
      </c>
      <c r="E44" s="934">
        <v>3280.5</v>
      </c>
      <c r="F44" s="934">
        <v>5318.1</v>
      </c>
      <c r="G44" s="934">
        <f t="shared" ref="G44:G45" si="7">SUM(E44:F44)</f>
        <v>8598.6</v>
      </c>
      <c r="H44" s="935">
        <f t="shared" ref="H44:H45" si="8">C44+G44</f>
        <v>9334.4</v>
      </c>
      <c r="I44" s="936">
        <v>35</v>
      </c>
      <c r="J44" s="934">
        <v>480.2</v>
      </c>
      <c r="K44" s="934">
        <v>1390.2</v>
      </c>
      <c r="L44" s="934">
        <f t="shared" ref="L44:L45" si="9">SUM(J44:K44)</f>
        <v>1870.4</v>
      </c>
      <c r="M44" s="935">
        <f t="shared" ref="M44" si="10">I44+L44</f>
        <v>1905.4</v>
      </c>
      <c r="N44" s="937">
        <v>6</v>
      </c>
      <c r="O44" s="937"/>
      <c r="P44" s="937"/>
      <c r="Q44" s="937"/>
      <c r="R44" s="937"/>
      <c r="S44" s="937"/>
      <c r="T44" s="937"/>
      <c r="U44" s="938">
        <f t="shared" ref="U44" si="11">H44+M44+N44</f>
        <v>11245.8</v>
      </c>
      <c r="V44" s="1650"/>
      <c r="W44" s="1650"/>
    </row>
    <row r="45" spans="1:23" s="1651" customFormat="1" ht="14.25" customHeight="1">
      <c r="A45" s="1648"/>
      <c r="B45" s="1649" t="s">
        <v>238</v>
      </c>
      <c r="C45" s="934">
        <v>724.3</v>
      </c>
      <c r="D45" s="934">
        <v>559.5</v>
      </c>
      <c r="E45" s="934">
        <v>3324.8</v>
      </c>
      <c r="F45" s="934">
        <v>5376.1</v>
      </c>
      <c r="G45" s="934">
        <f t="shared" si="7"/>
        <v>8700.9000000000015</v>
      </c>
      <c r="H45" s="935">
        <f t="shared" si="8"/>
        <v>9425.2000000000007</v>
      </c>
      <c r="I45" s="936">
        <v>21.1</v>
      </c>
      <c r="J45" s="934">
        <v>467.7</v>
      </c>
      <c r="K45" s="934">
        <v>961.7</v>
      </c>
      <c r="L45" s="934">
        <f t="shared" si="9"/>
        <v>1429.4</v>
      </c>
      <c r="M45" s="935">
        <f>I45+L45</f>
        <v>1450.5</v>
      </c>
      <c r="N45" s="937">
        <v>6.2</v>
      </c>
      <c r="O45" s="936">
        <v>8.52</v>
      </c>
      <c r="P45" s="936">
        <v>0.48</v>
      </c>
      <c r="Q45" s="936">
        <v>11.2</v>
      </c>
      <c r="R45" s="936">
        <v>182.9</v>
      </c>
      <c r="S45" s="937">
        <f>Q45+R45</f>
        <v>194.1</v>
      </c>
      <c r="T45" s="937">
        <f>O45+S45</f>
        <v>202.62</v>
      </c>
      <c r="U45" s="935">
        <f>H45+M45+N45+T45</f>
        <v>11084.520000000002</v>
      </c>
      <c r="V45" s="1650"/>
      <c r="W45" s="1650"/>
    </row>
    <row r="46" spans="1:23" s="1651" customFormat="1" ht="20.25" customHeight="1">
      <c r="A46" s="1648">
        <v>2026</v>
      </c>
      <c r="B46" s="1649" t="s">
        <v>239</v>
      </c>
      <c r="C46" s="1223">
        <v>738.7</v>
      </c>
      <c r="D46" s="1223">
        <v>573.29999999999995</v>
      </c>
      <c r="E46" s="1223">
        <v>3245.6</v>
      </c>
      <c r="F46" s="1223">
        <v>5223.3</v>
      </c>
      <c r="G46" s="1220">
        <f>SUM(E46:F46)</f>
        <v>8468.9</v>
      </c>
      <c r="H46" s="1222">
        <v>9207.6</v>
      </c>
      <c r="I46" s="1224">
        <v>20.3</v>
      </c>
      <c r="J46" s="1223">
        <v>446.9</v>
      </c>
      <c r="K46" s="1223">
        <v>954.7</v>
      </c>
      <c r="L46" s="1220">
        <f>SUM(J46:K46)</f>
        <v>1401.6</v>
      </c>
      <c r="M46" s="1222">
        <v>1421.8999999999999</v>
      </c>
      <c r="N46" s="1221">
        <v>6</v>
      </c>
      <c r="O46" s="1224">
        <v>9</v>
      </c>
      <c r="P46" s="1224">
        <v>6.4000000000000003E-3</v>
      </c>
      <c r="Q46" s="1224">
        <v>11.1</v>
      </c>
      <c r="R46" s="1224">
        <v>185.1</v>
      </c>
      <c r="S46" s="1221">
        <v>196.2</v>
      </c>
      <c r="T46" s="1221">
        <v>205.2</v>
      </c>
      <c r="U46" s="1222">
        <v>10840.7</v>
      </c>
      <c r="V46" s="1650"/>
      <c r="W46" s="1650"/>
    </row>
    <row r="47" spans="1:23">
      <c r="A47" s="1652"/>
      <c r="B47" s="1652"/>
      <c r="C47" s="1652"/>
      <c r="D47" s="1652"/>
      <c r="E47" s="1652"/>
      <c r="F47" s="1652"/>
      <c r="G47" s="1652"/>
      <c r="H47" s="1652"/>
      <c r="I47" s="1652"/>
      <c r="J47" s="1652"/>
      <c r="K47" s="1652"/>
      <c r="L47" s="1652"/>
      <c r="M47" s="1652"/>
      <c r="N47" s="1652"/>
      <c r="O47" s="1652"/>
      <c r="P47" s="1652"/>
      <c r="Q47" s="1652"/>
      <c r="R47" s="1652"/>
      <c r="S47" s="1652"/>
      <c r="T47" s="1652"/>
      <c r="U47" s="1652"/>
    </row>
    <row r="48" spans="1:23" s="1413" customFormat="1" ht="13.2">
      <c r="A48" s="382" t="s">
        <v>1170</v>
      </c>
      <c r="B48" s="1414"/>
      <c r="C48" s="1414"/>
      <c r="D48" s="1414"/>
      <c r="E48" s="1414"/>
      <c r="F48" s="1414"/>
      <c r="G48" s="1414"/>
      <c r="H48" s="1414"/>
      <c r="I48" s="1414"/>
      <c r="J48" s="1414"/>
      <c r="K48" s="1414"/>
      <c r="L48" s="1414"/>
      <c r="M48" s="1414"/>
      <c r="N48" s="1414"/>
      <c r="O48" s="1414"/>
      <c r="P48" s="1414"/>
      <c r="Q48" s="1414"/>
      <c r="R48" s="1414"/>
      <c r="S48" s="1414"/>
      <c r="T48" s="1414"/>
      <c r="U48" s="1414"/>
      <c r="V48" s="1414"/>
    </row>
  </sheetData>
  <mergeCells count="20">
    <mergeCell ref="A5:B8"/>
    <mergeCell ref="H7:H8"/>
    <mergeCell ref="I7:I8"/>
    <mergeCell ref="M7:M8"/>
    <mergeCell ref="N7:N8"/>
    <mergeCell ref="A9:B10"/>
    <mergeCell ref="H9:H10"/>
    <mergeCell ref="I9:I10"/>
    <mergeCell ref="M9:M10"/>
    <mergeCell ref="N9:N10"/>
    <mergeCell ref="Q8:S8"/>
    <mergeCell ref="T9:T10"/>
    <mergeCell ref="U9:U10"/>
    <mergeCell ref="U7:U8"/>
    <mergeCell ref="O5:T5"/>
    <mergeCell ref="O6:T6"/>
    <mergeCell ref="O7:P7"/>
    <mergeCell ref="Q7:S7"/>
    <mergeCell ref="T7:T8"/>
    <mergeCell ref="O8:P8"/>
  </mergeCells>
  <printOptions horizontalCentered="1" verticalCentered="1"/>
  <pageMargins left="0" right="0" top="0" bottom="0" header="0.3" footer="0.3"/>
  <pageSetup paperSize="9" scale="5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pageSetUpPr fitToPage="1"/>
  </sheetPr>
  <dimension ref="A1:P50"/>
  <sheetViews>
    <sheetView zoomScale="80" zoomScaleNormal="80" workbookViewId="0">
      <pane ySplit="10" topLeftCell="A45" activePane="bottomLeft" state="frozen"/>
      <selection activeCell="B2" sqref="B2"/>
      <selection pane="bottomLeft" activeCell="D53" sqref="D53"/>
    </sheetView>
  </sheetViews>
  <sheetFormatPr defaultColWidth="7.77734375" defaultRowHeight="15"/>
  <cols>
    <col min="1" max="2" width="9.77734375" style="8" customWidth="1"/>
    <col min="3" max="3" width="11.77734375" style="8" customWidth="1"/>
    <col min="4" max="4" width="14.21875" style="8" bestFit="1" customWidth="1"/>
    <col min="5" max="5" width="11.21875" style="8" bestFit="1" customWidth="1"/>
    <col min="6" max="6" width="11.21875" style="8" customWidth="1"/>
    <col min="7" max="7" width="11.77734375" style="8" customWidth="1"/>
    <col min="8" max="8" width="12.77734375" style="8" customWidth="1"/>
    <col min="9" max="9" width="13" style="8" customWidth="1"/>
    <col min="10" max="10" width="14.21875" style="8" customWidth="1"/>
    <col min="11" max="11" width="11.21875" style="8" customWidth="1"/>
    <col min="12" max="12" width="12" style="8" customWidth="1"/>
    <col min="13" max="13" width="11.77734375" style="8" bestFit="1" customWidth="1"/>
    <col min="14" max="14" width="12.77734375" style="8" bestFit="1" customWidth="1"/>
    <col min="15" max="15" width="12.21875" style="8" customWidth="1"/>
    <col min="16" max="16" width="11.44140625" style="8" customWidth="1"/>
    <col min="17" max="16384" width="7.77734375" style="8"/>
  </cols>
  <sheetData>
    <row r="1" spans="1:16" ht="18" customHeight="1">
      <c r="A1" s="16" t="s">
        <v>1750</v>
      </c>
      <c r="B1" s="10"/>
      <c r="C1" s="10"/>
      <c r="D1" s="10"/>
      <c r="E1" s="10"/>
      <c r="F1" s="10"/>
      <c r="G1" s="10"/>
      <c r="H1" s="10"/>
      <c r="I1" s="10"/>
      <c r="J1" s="10"/>
      <c r="K1" s="10"/>
      <c r="L1" s="10"/>
      <c r="M1" s="10"/>
      <c r="N1" s="10"/>
      <c r="O1" s="10"/>
    </row>
    <row r="2" spans="1:16" ht="18" customHeight="1">
      <c r="A2" s="1574" t="s">
        <v>76</v>
      </c>
      <c r="B2" s="10"/>
      <c r="C2" s="10"/>
      <c r="D2" s="10"/>
      <c r="E2" s="10"/>
      <c r="F2" s="10"/>
      <c r="G2" s="10"/>
      <c r="H2" s="10"/>
      <c r="I2" s="10"/>
      <c r="J2" s="10"/>
      <c r="K2" s="10"/>
      <c r="L2" s="10"/>
      <c r="M2" s="10"/>
      <c r="N2" s="10"/>
      <c r="O2" s="10"/>
    </row>
    <row r="3" spans="1:16" ht="18" customHeight="1">
      <c r="A3" s="16" t="s">
        <v>75</v>
      </c>
      <c r="B3" s="10"/>
      <c r="C3" s="10"/>
      <c r="D3" s="10"/>
      <c r="E3" s="10"/>
      <c r="F3" s="10"/>
      <c r="G3" s="10"/>
      <c r="H3" s="10"/>
      <c r="I3" s="10"/>
      <c r="J3" s="10"/>
      <c r="K3" s="10"/>
      <c r="L3" s="10"/>
      <c r="M3" s="10"/>
      <c r="N3" s="10"/>
      <c r="O3" s="10"/>
    </row>
    <row r="4" spans="1:16" s="1580" customFormat="1" ht="14.25" customHeight="1">
      <c r="A4" s="1575" t="s">
        <v>1171</v>
      </c>
      <c r="B4" s="1576"/>
      <c r="C4" s="1577"/>
      <c r="D4" s="1577"/>
      <c r="E4" s="1577"/>
      <c r="F4" s="1577"/>
      <c r="G4" s="1577"/>
      <c r="H4" s="1577"/>
      <c r="I4" s="1577"/>
      <c r="J4" s="1577"/>
      <c r="K4" s="1577"/>
      <c r="L4" s="1578"/>
      <c r="M4" s="1578"/>
      <c r="N4" s="1578"/>
      <c r="O4" s="1579" t="s">
        <v>1172</v>
      </c>
    </row>
    <row r="5" spans="1:16" s="1580" customFormat="1" ht="18" customHeight="1">
      <c r="A5" s="1230" t="s">
        <v>379</v>
      </c>
      <c r="B5" s="1231"/>
      <c r="C5" s="1581" t="s">
        <v>371</v>
      </c>
      <c r="D5" s="1582"/>
      <c r="E5" s="1583"/>
      <c r="F5" s="1577"/>
      <c r="G5" s="1584"/>
      <c r="H5" s="1585" t="s">
        <v>372</v>
      </c>
      <c r="I5" s="1586"/>
      <c r="J5" s="1587" t="s">
        <v>373</v>
      </c>
      <c r="K5" s="1584"/>
      <c r="L5" s="1588"/>
      <c r="M5" s="1589"/>
      <c r="N5" s="1584"/>
      <c r="O5" s="301" t="s">
        <v>374</v>
      </c>
    </row>
    <row r="6" spans="1:16" s="50" customFormat="1" ht="18" customHeight="1">
      <c r="A6" s="1590"/>
      <c r="B6" s="1591"/>
      <c r="C6" s="1592" t="s">
        <v>754</v>
      </c>
      <c r="D6" s="572"/>
      <c r="E6" s="1593"/>
      <c r="F6" s="1594"/>
      <c r="G6" s="1595" t="s">
        <v>377</v>
      </c>
      <c r="H6" s="887"/>
      <c r="I6" s="1596"/>
      <c r="J6" s="1587" t="s">
        <v>754</v>
      </c>
      <c r="K6" s="1597"/>
      <c r="L6" s="122"/>
      <c r="M6" s="122"/>
      <c r="N6" s="296" t="s">
        <v>377</v>
      </c>
      <c r="O6" s="187"/>
    </row>
    <row r="7" spans="1:16" s="50" customFormat="1" ht="18" customHeight="1">
      <c r="A7" s="1590"/>
      <c r="B7" s="1591"/>
      <c r="C7" s="1598"/>
      <c r="D7" s="1599" t="s">
        <v>1173</v>
      </c>
      <c r="E7" s="84" t="s">
        <v>1174</v>
      </c>
      <c r="F7" s="1599" t="s">
        <v>1175</v>
      </c>
      <c r="G7" s="83"/>
      <c r="H7" s="1600" t="s">
        <v>1176</v>
      </c>
      <c r="I7" s="1596" t="s">
        <v>382</v>
      </c>
      <c r="J7" s="1599" t="s">
        <v>1177</v>
      </c>
      <c r="K7" s="84" t="s">
        <v>1178</v>
      </c>
      <c r="L7" s="1601" t="s">
        <v>383</v>
      </c>
      <c r="M7" s="95" t="s">
        <v>386</v>
      </c>
      <c r="N7" s="83"/>
      <c r="O7" s="1602" t="s">
        <v>383</v>
      </c>
    </row>
    <row r="8" spans="1:16" s="50" customFormat="1" ht="18" customHeight="1">
      <c r="A8" s="1603" t="s">
        <v>387</v>
      </c>
      <c r="B8" s="1604"/>
      <c r="C8" s="1605" t="s">
        <v>7</v>
      </c>
      <c r="D8" s="1599" t="s">
        <v>431</v>
      </c>
      <c r="E8" s="1605" t="s">
        <v>1179</v>
      </c>
      <c r="F8" s="1600" t="s">
        <v>756</v>
      </c>
      <c r="G8" s="1606" t="s">
        <v>382</v>
      </c>
      <c r="H8" s="1600" t="s">
        <v>1180</v>
      </c>
      <c r="I8" s="173" t="s">
        <v>392</v>
      </c>
      <c r="J8" s="1599" t="s">
        <v>431</v>
      </c>
      <c r="K8" s="1607" t="s">
        <v>1179</v>
      </c>
      <c r="L8" s="1601" t="s">
        <v>756</v>
      </c>
      <c r="M8" s="95" t="s">
        <v>796</v>
      </c>
      <c r="N8" s="1608" t="s">
        <v>382</v>
      </c>
      <c r="O8" s="1602" t="s">
        <v>1180</v>
      </c>
    </row>
    <row r="9" spans="1:16" s="50" customFormat="1" ht="18" customHeight="1">
      <c r="A9" s="1603"/>
      <c r="B9" s="1604"/>
      <c r="C9" s="63" t="s">
        <v>774</v>
      </c>
      <c r="D9" s="1599" t="s">
        <v>1181</v>
      </c>
      <c r="E9" s="1599" t="s">
        <v>1182</v>
      </c>
      <c r="F9" s="1609" t="s">
        <v>399</v>
      </c>
      <c r="G9" s="63" t="s">
        <v>392</v>
      </c>
      <c r="H9" s="60" t="s">
        <v>380</v>
      </c>
      <c r="I9" s="173"/>
      <c r="J9" s="1599" t="s">
        <v>1183</v>
      </c>
      <c r="K9" s="1599" t="s">
        <v>1184</v>
      </c>
      <c r="L9" s="63" t="s">
        <v>399</v>
      </c>
      <c r="M9" s="226" t="s">
        <v>1185</v>
      </c>
      <c r="N9" s="63" t="s">
        <v>392</v>
      </c>
      <c r="O9" s="51" t="s">
        <v>380</v>
      </c>
      <c r="P9" s="1610"/>
    </row>
    <row r="10" spans="1:16" s="39" customFormat="1" ht="18" customHeight="1">
      <c r="A10" s="1611"/>
      <c r="B10" s="1612"/>
      <c r="C10" s="130"/>
      <c r="D10" s="1613" t="s">
        <v>405</v>
      </c>
      <c r="E10" s="89" t="s">
        <v>1186</v>
      </c>
      <c r="F10" s="1614" t="s">
        <v>371</v>
      </c>
      <c r="G10" s="116"/>
      <c r="H10" s="1615" t="s">
        <v>371</v>
      </c>
      <c r="I10" s="1616"/>
      <c r="J10" s="1613" t="s">
        <v>405</v>
      </c>
      <c r="K10" s="89" t="s">
        <v>1186</v>
      </c>
      <c r="L10" s="49" t="s">
        <v>373</v>
      </c>
      <c r="M10" s="49" t="s">
        <v>410</v>
      </c>
      <c r="N10" s="130"/>
      <c r="O10" s="52" t="s">
        <v>373</v>
      </c>
      <c r="P10" s="1610"/>
    </row>
    <row r="11" spans="1:16" s="321" customFormat="1" ht="20.25" customHeight="1">
      <c r="A11" s="747">
        <v>2017</v>
      </c>
      <c r="B11" s="899" t="s">
        <v>239</v>
      </c>
      <c r="C11" s="640">
        <v>48566.319000000003</v>
      </c>
      <c r="D11" s="640">
        <v>4923.9269999999997</v>
      </c>
      <c r="E11" s="640">
        <v>1338.7750000000001</v>
      </c>
      <c r="F11" s="640">
        <v>27137.902999999998</v>
      </c>
      <c r="G11" s="640">
        <f t="shared" ref="G11" si="0">SUM(C11:F11)</f>
        <v>81966.923999999999</v>
      </c>
      <c r="H11" s="1617">
        <v>38733.561000000002</v>
      </c>
      <c r="I11" s="925">
        <f t="shared" ref="I11" si="1">SUM(G11:H11)</f>
        <v>120700.485</v>
      </c>
      <c r="J11" s="1618">
        <v>30327.949000000001</v>
      </c>
      <c r="K11" s="640">
        <v>175.63399999999999</v>
      </c>
      <c r="L11" s="640">
        <v>11563.821</v>
      </c>
      <c r="M11" s="640">
        <v>65158.478999999999</v>
      </c>
      <c r="N11" s="640">
        <f t="shared" ref="N11" si="2">SUM(J11:M11)</f>
        <v>107225.883</v>
      </c>
      <c r="O11" s="640">
        <v>13474.602000000001</v>
      </c>
      <c r="P11" s="770"/>
    </row>
    <row r="12" spans="1:16" s="321" customFormat="1" ht="14.25" customHeight="1">
      <c r="A12" s="356"/>
      <c r="B12" s="899" t="s">
        <v>240</v>
      </c>
      <c r="C12" s="640">
        <v>57826.665999999997</v>
      </c>
      <c r="D12" s="640">
        <v>4823.0469999999996</v>
      </c>
      <c r="E12" s="640">
        <v>1755.8720000000001</v>
      </c>
      <c r="F12" s="640">
        <v>27842.030999999999</v>
      </c>
      <c r="G12" s="640">
        <f t="shared" ref="G12:G18" si="3">SUM(C12:F12)</f>
        <v>92247.615999999995</v>
      </c>
      <c r="H12" s="1617">
        <v>40646.851000000002</v>
      </c>
      <c r="I12" s="925">
        <f t="shared" ref="I12:I18" si="4">SUM(G12:H12)</f>
        <v>132894.467</v>
      </c>
      <c r="J12" s="1618">
        <v>38837.875</v>
      </c>
      <c r="K12" s="640">
        <v>76.688999999999993</v>
      </c>
      <c r="L12" s="640">
        <v>12300.843999999999</v>
      </c>
      <c r="M12" s="640">
        <v>68781.760999999999</v>
      </c>
      <c r="N12" s="640">
        <f t="shared" ref="N12:N18" si="5">SUM(J12:M12)</f>
        <v>119997.16899999999</v>
      </c>
      <c r="O12" s="640">
        <v>12897.298000000001</v>
      </c>
      <c r="P12" s="770"/>
    </row>
    <row r="13" spans="1:16" s="321" customFormat="1" ht="14.25" customHeight="1">
      <c r="A13" s="356"/>
      <c r="B13" s="899" t="s">
        <v>237</v>
      </c>
      <c r="C13" s="640">
        <v>76983.077999999994</v>
      </c>
      <c r="D13" s="640">
        <v>4830.2389999999996</v>
      </c>
      <c r="E13" s="640">
        <v>6438.692</v>
      </c>
      <c r="F13" s="640">
        <v>28938.654999999999</v>
      </c>
      <c r="G13" s="640">
        <f t="shared" si="3"/>
        <v>117190.66399999999</v>
      </c>
      <c r="H13" s="1617">
        <v>28773.835999999999</v>
      </c>
      <c r="I13" s="925">
        <f t="shared" si="4"/>
        <v>145964.5</v>
      </c>
      <c r="J13" s="1618">
        <v>34033.040999999997</v>
      </c>
      <c r="K13" s="640">
        <v>72.972999999999999</v>
      </c>
      <c r="L13" s="640">
        <v>12888.214</v>
      </c>
      <c r="M13" s="640">
        <v>70575.596000000005</v>
      </c>
      <c r="N13" s="640">
        <f t="shared" si="5"/>
        <v>117569.82399999999</v>
      </c>
      <c r="O13" s="640">
        <v>28394.674999999999</v>
      </c>
      <c r="P13" s="770"/>
    </row>
    <row r="14" spans="1:16" s="321" customFormat="1" ht="14.25" customHeight="1">
      <c r="A14" s="356"/>
      <c r="B14" s="899" t="s">
        <v>238</v>
      </c>
      <c r="C14" s="640">
        <v>53188.843999999997</v>
      </c>
      <c r="D14" s="640">
        <v>4831.29</v>
      </c>
      <c r="E14" s="640">
        <v>1000.2670000000001</v>
      </c>
      <c r="F14" s="640">
        <v>17667.021000000001</v>
      </c>
      <c r="G14" s="640">
        <f t="shared" si="3"/>
        <v>76687.421999999991</v>
      </c>
      <c r="H14" s="1617">
        <v>42744.773000000001</v>
      </c>
      <c r="I14" s="925">
        <f t="shared" si="4"/>
        <v>119432.19499999999</v>
      </c>
      <c r="J14" s="1618">
        <v>31255.962</v>
      </c>
      <c r="K14" s="640">
        <v>128.38800000000001</v>
      </c>
      <c r="L14" s="640">
        <v>9825.7450000000008</v>
      </c>
      <c r="M14" s="640">
        <v>60881.508000000002</v>
      </c>
      <c r="N14" s="640">
        <f t="shared" si="5"/>
        <v>102091.603</v>
      </c>
      <c r="O14" s="640">
        <v>17340.592000000001</v>
      </c>
      <c r="P14" s="770"/>
    </row>
    <row r="15" spans="1:16" s="321" customFormat="1" ht="20.25" customHeight="1">
      <c r="A15" s="747">
        <v>2018</v>
      </c>
      <c r="B15" s="899" t="s">
        <v>239</v>
      </c>
      <c r="C15" s="640">
        <v>80019.054999999993</v>
      </c>
      <c r="D15" s="640">
        <v>4987.3919999999998</v>
      </c>
      <c r="E15" s="640">
        <v>1170.886</v>
      </c>
      <c r="F15" s="640">
        <v>37002.160000000003</v>
      </c>
      <c r="G15" s="640">
        <f t="shared" si="3"/>
        <v>123179.49299999999</v>
      </c>
      <c r="H15" s="1617">
        <v>34930.497000000003</v>
      </c>
      <c r="I15" s="925">
        <f t="shared" si="4"/>
        <v>158109.99</v>
      </c>
      <c r="J15" s="1618">
        <v>27599.472000000002</v>
      </c>
      <c r="K15" s="640">
        <v>228.495</v>
      </c>
      <c r="L15" s="640">
        <v>31583.097000000002</v>
      </c>
      <c r="M15" s="640">
        <v>61994.51</v>
      </c>
      <c r="N15" s="640">
        <f t="shared" si="5"/>
        <v>121405.57399999999</v>
      </c>
      <c r="O15" s="640">
        <v>36704.415999999997</v>
      </c>
      <c r="P15" s="770"/>
    </row>
    <row r="16" spans="1:16" s="321" customFormat="1" ht="14.25" customHeight="1">
      <c r="A16" s="356"/>
      <c r="B16" s="899" t="s">
        <v>240</v>
      </c>
      <c r="C16" s="640">
        <v>128775.82</v>
      </c>
      <c r="D16" s="640">
        <v>6487.5050000000001</v>
      </c>
      <c r="E16" s="640">
        <v>1563.655</v>
      </c>
      <c r="F16" s="640">
        <v>24741.257000000001</v>
      </c>
      <c r="G16" s="640">
        <f t="shared" si="3"/>
        <v>161568.23700000002</v>
      </c>
      <c r="H16" s="1617">
        <v>13749.763000000001</v>
      </c>
      <c r="I16" s="925">
        <f t="shared" si="4"/>
        <v>175318.00000000003</v>
      </c>
      <c r="J16" s="1618">
        <v>36712.949000000001</v>
      </c>
      <c r="K16" s="640">
        <v>313.05900000000003</v>
      </c>
      <c r="L16" s="640">
        <v>14747.786</v>
      </c>
      <c r="M16" s="640">
        <v>62915.529000000002</v>
      </c>
      <c r="N16" s="640">
        <f t="shared" si="5"/>
        <v>114689.323</v>
      </c>
      <c r="O16" s="640">
        <v>60628.677000000003</v>
      </c>
      <c r="P16" s="770"/>
    </row>
    <row r="17" spans="1:16" s="321" customFormat="1" ht="14.25" customHeight="1">
      <c r="A17" s="356"/>
      <c r="B17" s="899" t="s">
        <v>237</v>
      </c>
      <c r="C17" s="640">
        <v>78879.805999999997</v>
      </c>
      <c r="D17" s="640">
        <v>6629.4560000000001</v>
      </c>
      <c r="E17" s="640">
        <v>926.66600000000005</v>
      </c>
      <c r="F17" s="640">
        <v>20621.845000000001</v>
      </c>
      <c r="G17" s="640">
        <f t="shared" si="3"/>
        <v>107057.773</v>
      </c>
      <c r="H17" s="1617">
        <v>50565.328999999998</v>
      </c>
      <c r="I17" s="925">
        <f t="shared" si="4"/>
        <v>157623.10200000001</v>
      </c>
      <c r="J17" s="1618">
        <v>29280.859</v>
      </c>
      <c r="K17" s="640">
        <v>98.713999999999999</v>
      </c>
      <c r="L17" s="640">
        <v>13715.091</v>
      </c>
      <c r="M17" s="640">
        <v>63494.849000000002</v>
      </c>
      <c r="N17" s="640">
        <f t="shared" si="5"/>
        <v>106589.51300000001</v>
      </c>
      <c r="O17" s="640">
        <v>51033.589</v>
      </c>
      <c r="P17" s="770"/>
    </row>
    <row r="18" spans="1:16" s="321" customFormat="1" ht="14.25" customHeight="1">
      <c r="A18" s="356"/>
      <c r="B18" s="899" t="s">
        <v>238</v>
      </c>
      <c r="C18" s="640">
        <v>37233.963000000003</v>
      </c>
      <c r="D18" s="640">
        <v>5298.0129999999999</v>
      </c>
      <c r="E18" s="640">
        <v>175.71</v>
      </c>
      <c r="F18" s="640">
        <v>20049.621999999999</v>
      </c>
      <c r="G18" s="640">
        <f t="shared" si="3"/>
        <v>62757.308000000005</v>
      </c>
      <c r="H18" s="1617">
        <v>46658.277999999998</v>
      </c>
      <c r="I18" s="925">
        <f t="shared" si="4"/>
        <v>109415.58600000001</v>
      </c>
      <c r="J18" s="1618">
        <v>26595.329000000002</v>
      </c>
      <c r="K18" s="640">
        <v>37.421999999999997</v>
      </c>
      <c r="L18" s="640">
        <f>11424.849+0.01</f>
        <v>11424.859</v>
      </c>
      <c r="M18" s="640">
        <v>61724.652000000002</v>
      </c>
      <c r="N18" s="640">
        <f t="shared" si="5"/>
        <v>99782.262000000002</v>
      </c>
      <c r="O18" s="640">
        <v>9633.3340000000007</v>
      </c>
      <c r="P18" s="770"/>
    </row>
    <row r="19" spans="1:16" s="321" customFormat="1" ht="20.25" customHeight="1">
      <c r="A19" s="747">
        <v>2019</v>
      </c>
      <c r="B19" s="899" t="s">
        <v>239</v>
      </c>
      <c r="C19" s="640">
        <v>67398.918000000005</v>
      </c>
      <c r="D19" s="640">
        <v>5699.7550000000001</v>
      </c>
      <c r="E19" s="640">
        <v>45.393999999999998</v>
      </c>
      <c r="F19" s="640">
        <v>19399.987000000001</v>
      </c>
      <c r="G19" s="640">
        <f t="shared" ref="G19:G28" si="6">SUM(C19:F19)</f>
        <v>92544.054000000004</v>
      </c>
      <c r="H19" s="1617">
        <v>62112.968999999997</v>
      </c>
      <c r="I19" s="925">
        <f t="shared" ref="I19:I28" si="7">SUM(G19:H19)</f>
        <v>154657.02299999999</v>
      </c>
      <c r="J19" s="1618">
        <v>19312.689999999999</v>
      </c>
      <c r="K19" s="640">
        <v>107.473</v>
      </c>
      <c r="L19" s="640">
        <v>15787.002</v>
      </c>
      <c r="M19" s="640">
        <v>62900.487999999998</v>
      </c>
      <c r="N19" s="640">
        <f t="shared" ref="N19:N28" si="8">SUM(J19:M19)</f>
        <v>98107.652999999991</v>
      </c>
      <c r="O19" s="640">
        <v>56549.37</v>
      </c>
      <c r="P19" s="770"/>
    </row>
    <row r="20" spans="1:16" s="321" customFormat="1" ht="14.25" customHeight="1">
      <c r="A20" s="356"/>
      <c r="B20" s="899" t="s">
        <v>240</v>
      </c>
      <c r="C20" s="640">
        <v>79993.680999999997</v>
      </c>
      <c r="D20" s="640">
        <v>4638.3090000000002</v>
      </c>
      <c r="E20" s="640">
        <v>125.16800000000001</v>
      </c>
      <c r="F20" s="640">
        <v>21813.635999999999</v>
      </c>
      <c r="G20" s="640">
        <f t="shared" si="6"/>
        <v>106570.79399999999</v>
      </c>
      <c r="H20" s="1617">
        <v>28523.738000000001</v>
      </c>
      <c r="I20" s="925">
        <f t="shared" si="7"/>
        <v>135094.53200000001</v>
      </c>
      <c r="J20" s="1618">
        <v>22733.848999999998</v>
      </c>
      <c r="K20" s="640">
        <v>76.067999999999998</v>
      </c>
      <c r="L20" s="640">
        <v>15172.288</v>
      </c>
      <c r="M20" s="640">
        <v>59526.487000000001</v>
      </c>
      <c r="N20" s="640">
        <f t="shared" si="8"/>
        <v>97508.69200000001</v>
      </c>
      <c r="O20" s="640">
        <v>37585.839999999997</v>
      </c>
      <c r="P20" s="770"/>
    </row>
    <row r="21" spans="1:16" s="321" customFormat="1" ht="15" customHeight="1">
      <c r="A21" s="356"/>
      <c r="B21" s="899" t="s">
        <v>237</v>
      </c>
      <c r="C21" s="640">
        <v>50552.430999999997</v>
      </c>
      <c r="D21" s="640">
        <v>4629.2929999999997</v>
      </c>
      <c r="E21" s="640">
        <v>18.102</v>
      </c>
      <c r="F21" s="640">
        <v>20682.09</v>
      </c>
      <c r="G21" s="640">
        <f t="shared" si="6"/>
        <v>75881.915999999997</v>
      </c>
      <c r="H21" s="1617">
        <v>38591.319000000003</v>
      </c>
      <c r="I21" s="925">
        <f t="shared" si="7"/>
        <v>114473.235</v>
      </c>
      <c r="J21" s="1618">
        <v>23146.138999999999</v>
      </c>
      <c r="K21" s="640">
        <v>387.94099999999997</v>
      </c>
      <c r="L21" s="640">
        <v>12666.93</v>
      </c>
      <c r="M21" s="640">
        <v>57861.866000000002</v>
      </c>
      <c r="N21" s="640">
        <f t="shared" si="8"/>
        <v>94062.875999999989</v>
      </c>
      <c r="O21" s="640">
        <v>20410.359</v>
      </c>
      <c r="P21" s="770"/>
    </row>
    <row r="22" spans="1:16" s="321" customFormat="1" ht="14.25" customHeight="1">
      <c r="A22" s="356"/>
      <c r="B22" s="899" t="s">
        <v>238</v>
      </c>
      <c r="C22" s="640">
        <v>51415.019</v>
      </c>
      <c r="D22" s="640">
        <v>4519.7269999999999</v>
      </c>
      <c r="E22" s="640">
        <v>303.71800000000002</v>
      </c>
      <c r="F22" s="640">
        <v>18653.644</v>
      </c>
      <c r="G22" s="640">
        <f t="shared" si="6"/>
        <v>74892.108000000007</v>
      </c>
      <c r="H22" s="1617">
        <v>26850.564999999999</v>
      </c>
      <c r="I22" s="925">
        <f t="shared" si="7"/>
        <v>101742.67300000001</v>
      </c>
      <c r="J22" s="1618">
        <v>21199.171999999999</v>
      </c>
      <c r="K22" s="640">
        <v>197.86799999999999</v>
      </c>
      <c r="L22" s="640">
        <v>7749.799</v>
      </c>
      <c r="M22" s="640">
        <v>56869.620999999999</v>
      </c>
      <c r="N22" s="640">
        <f t="shared" si="8"/>
        <v>86016.459999999992</v>
      </c>
      <c r="O22" s="640">
        <v>15726.213</v>
      </c>
      <c r="P22" s="770"/>
    </row>
    <row r="23" spans="1:16" s="321" customFormat="1" ht="20.25" customHeight="1">
      <c r="A23" s="747">
        <v>2020</v>
      </c>
      <c r="B23" s="899" t="s">
        <v>239</v>
      </c>
      <c r="C23" s="640">
        <v>60043.68</v>
      </c>
      <c r="D23" s="640">
        <v>6276.223</v>
      </c>
      <c r="E23" s="640">
        <v>38.531999999999996</v>
      </c>
      <c r="F23" s="640">
        <v>23805.592000000001</v>
      </c>
      <c r="G23" s="640">
        <f t="shared" si="6"/>
        <v>90164.027000000016</v>
      </c>
      <c r="H23" s="1617">
        <v>17132.455000000002</v>
      </c>
      <c r="I23" s="925">
        <f t="shared" si="7"/>
        <v>107296.48200000002</v>
      </c>
      <c r="J23" s="1618">
        <v>21634.888999999999</v>
      </c>
      <c r="K23" s="640">
        <v>110.36799999999999</v>
      </c>
      <c r="L23" s="640">
        <v>13958.964</v>
      </c>
      <c r="M23" s="640">
        <v>63492.949000000001</v>
      </c>
      <c r="N23" s="640">
        <f t="shared" si="8"/>
        <v>99197.17</v>
      </c>
      <c r="O23" s="640">
        <v>8099.3119999999999</v>
      </c>
      <c r="P23" s="770"/>
    </row>
    <row r="24" spans="1:16" s="321" customFormat="1" ht="15" customHeight="1">
      <c r="A24" s="747"/>
      <c r="B24" s="899" t="s">
        <v>240</v>
      </c>
      <c r="C24" s="640">
        <v>65015.8</v>
      </c>
      <c r="D24" s="640">
        <v>8352.1119999999992</v>
      </c>
      <c r="E24" s="640">
        <v>85.296000000000006</v>
      </c>
      <c r="F24" s="640">
        <v>19793.214</v>
      </c>
      <c r="G24" s="640">
        <f t="shared" si="6"/>
        <v>93246.421999999991</v>
      </c>
      <c r="H24" s="1617">
        <v>11835.844999999999</v>
      </c>
      <c r="I24" s="925">
        <f t="shared" si="7"/>
        <v>105082.26699999999</v>
      </c>
      <c r="J24" s="1618">
        <v>17132.221000000001</v>
      </c>
      <c r="K24" s="640">
        <v>102.15</v>
      </c>
      <c r="L24" s="640">
        <v>16433.536</v>
      </c>
      <c r="M24" s="640">
        <v>54939.928999999996</v>
      </c>
      <c r="N24" s="640">
        <f t="shared" si="8"/>
        <v>88607.83600000001</v>
      </c>
      <c r="O24" s="640">
        <v>16474.436000000002</v>
      </c>
      <c r="P24" s="770"/>
    </row>
    <row r="25" spans="1:16" s="321" customFormat="1" ht="15" customHeight="1">
      <c r="A25" s="747"/>
      <c r="B25" s="899" t="s">
        <v>237</v>
      </c>
      <c r="C25" s="640">
        <v>62703.959000000003</v>
      </c>
      <c r="D25" s="640">
        <v>10006.599</v>
      </c>
      <c r="E25" s="640">
        <v>598.05999999999995</v>
      </c>
      <c r="F25" s="640">
        <v>21265.112000000001</v>
      </c>
      <c r="G25" s="640">
        <f t="shared" si="6"/>
        <v>94573.73000000001</v>
      </c>
      <c r="H25" s="1617">
        <v>15385.348</v>
      </c>
      <c r="I25" s="925">
        <f t="shared" si="7"/>
        <v>109959.07800000001</v>
      </c>
      <c r="J25" s="1618">
        <v>16693.758000000002</v>
      </c>
      <c r="K25" s="640">
        <v>125.236</v>
      </c>
      <c r="L25" s="640">
        <v>16153.611000000001</v>
      </c>
      <c r="M25" s="640">
        <v>59388.436000000002</v>
      </c>
      <c r="N25" s="640">
        <f t="shared" si="8"/>
        <v>92361.040999999997</v>
      </c>
      <c r="O25" s="640">
        <v>17598.037</v>
      </c>
      <c r="P25" s="770"/>
    </row>
    <row r="26" spans="1:16" s="321" customFormat="1" ht="14.25" customHeight="1">
      <c r="A26" s="747"/>
      <c r="B26" s="899" t="s">
        <v>238</v>
      </c>
      <c r="C26" s="640">
        <v>40913.815000000002</v>
      </c>
      <c r="D26" s="640">
        <v>13467</v>
      </c>
      <c r="E26" s="640">
        <v>268.34699999999998</v>
      </c>
      <c r="F26" s="640">
        <v>18949.780999999999</v>
      </c>
      <c r="G26" s="640">
        <f t="shared" si="6"/>
        <v>73598.942999999999</v>
      </c>
      <c r="H26" s="1617">
        <v>19767.734</v>
      </c>
      <c r="I26" s="925">
        <f t="shared" si="7"/>
        <v>93366.676999999996</v>
      </c>
      <c r="J26" s="1618">
        <v>15360.942999999999</v>
      </c>
      <c r="K26" s="640">
        <v>25</v>
      </c>
      <c r="L26" s="640">
        <v>12091.141</v>
      </c>
      <c r="M26" s="640">
        <v>58771.767999999996</v>
      </c>
      <c r="N26" s="640">
        <f t="shared" si="8"/>
        <v>86248.851999999999</v>
      </c>
      <c r="O26" s="640">
        <v>7117.8249999999998</v>
      </c>
      <c r="P26" s="770"/>
    </row>
    <row r="27" spans="1:16" s="321" customFormat="1" ht="20.25" customHeight="1">
      <c r="A27" s="747">
        <v>2021</v>
      </c>
      <c r="B27" s="899" t="s">
        <v>239</v>
      </c>
      <c r="C27" s="640">
        <v>51431.955000000002</v>
      </c>
      <c r="D27" s="640">
        <v>12164.862999999999</v>
      </c>
      <c r="E27" s="640">
        <v>174.941</v>
      </c>
      <c r="F27" s="640">
        <v>21330.556</v>
      </c>
      <c r="G27" s="640">
        <f t="shared" si="6"/>
        <v>85102.315000000002</v>
      </c>
      <c r="H27" s="1617">
        <v>16453.017</v>
      </c>
      <c r="I27" s="925">
        <f t="shared" si="7"/>
        <v>101555.33199999999</v>
      </c>
      <c r="J27" s="1618">
        <v>15293.151</v>
      </c>
      <c r="K27" s="640">
        <v>207.51599999999999</v>
      </c>
      <c r="L27" s="640">
        <v>15751.993</v>
      </c>
      <c r="M27" s="640">
        <v>59720.438999999998</v>
      </c>
      <c r="N27" s="640">
        <f t="shared" si="8"/>
        <v>90973.099000000002</v>
      </c>
      <c r="O27" s="640">
        <v>10582.233</v>
      </c>
      <c r="P27" s="770"/>
    </row>
    <row r="28" spans="1:16" s="321" customFormat="1" ht="15" customHeight="1">
      <c r="A28" s="747"/>
      <c r="B28" s="899" t="s">
        <v>240</v>
      </c>
      <c r="C28" s="640">
        <v>81209.459080000001</v>
      </c>
      <c r="D28" s="640">
        <v>12316.686</v>
      </c>
      <c r="E28" s="640">
        <v>65.284999999999997</v>
      </c>
      <c r="F28" s="640">
        <v>20780.416519999999</v>
      </c>
      <c r="G28" s="640">
        <f t="shared" si="6"/>
        <v>114371.8466</v>
      </c>
      <c r="H28" s="1617">
        <v>11847.885</v>
      </c>
      <c r="I28" s="925">
        <f t="shared" si="7"/>
        <v>126219.7316</v>
      </c>
      <c r="J28" s="1618">
        <v>12684.343999999999</v>
      </c>
      <c r="K28" s="640">
        <v>60.725999999999999</v>
      </c>
      <c r="L28" s="640">
        <v>20515.491999999998</v>
      </c>
      <c r="M28" s="640">
        <v>61676.389600000002</v>
      </c>
      <c r="N28" s="640">
        <f t="shared" si="8"/>
        <v>94936.9516</v>
      </c>
      <c r="O28" s="640">
        <v>31282.78</v>
      </c>
      <c r="P28" s="770"/>
    </row>
    <row r="29" spans="1:16" s="321" customFormat="1" ht="15" customHeight="1">
      <c r="A29" s="747"/>
      <c r="B29" s="899" t="s">
        <v>237</v>
      </c>
      <c r="C29" s="640">
        <v>62901.071000000004</v>
      </c>
      <c r="D29" s="640">
        <v>12370.880999999999</v>
      </c>
      <c r="E29" s="640">
        <v>250.505</v>
      </c>
      <c r="F29" s="640">
        <v>20157.629000000001</v>
      </c>
      <c r="G29" s="640">
        <f t="shared" ref="G29:G41" si="9">SUM(C29:F29)</f>
        <v>95680.08600000001</v>
      </c>
      <c r="H29" s="1617">
        <v>23510.807000000001</v>
      </c>
      <c r="I29" s="925">
        <f t="shared" ref="I29:I41" si="10">SUM(G29:H29)</f>
        <v>119190.89300000001</v>
      </c>
      <c r="J29" s="1618">
        <v>12911.478999999999</v>
      </c>
      <c r="K29" s="640">
        <v>40.582000000000001</v>
      </c>
      <c r="L29" s="640">
        <v>19396.543000000001</v>
      </c>
      <c r="M29" s="640">
        <v>63606.887999999999</v>
      </c>
      <c r="N29" s="640">
        <f t="shared" ref="N29:N41" si="11">SUM(J29:M29)</f>
        <v>95955.491999999998</v>
      </c>
      <c r="O29" s="640">
        <v>23235.402999999998</v>
      </c>
      <c r="P29" s="770"/>
    </row>
    <row r="30" spans="1:16" s="321" customFormat="1" ht="14.25" customHeight="1">
      <c r="A30" s="747"/>
      <c r="B30" s="899" t="s">
        <v>238</v>
      </c>
      <c r="C30" s="640">
        <v>55767</v>
      </c>
      <c r="D30" s="640">
        <v>12365.621999999999</v>
      </c>
      <c r="E30" s="640">
        <v>76.736000000000004</v>
      </c>
      <c r="F30" s="640">
        <v>20782.249</v>
      </c>
      <c r="G30" s="640">
        <f t="shared" si="9"/>
        <v>88991.607000000004</v>
      </c>
      <c r="H30" s="1617">
        <v>19386.87</v>
      </c>
      <c r="I30" s="925">
        <f t="shared" si="10"/>
        <v>108378.477</v>
      </c>
      <c r="J30" s="1618">
        <v>12702.965</v>
      </c>
      <c r="K30" s="640">
        <v>47.323999999999998</v>
      </c>
      <c r="L30" s="640">
        <v>16962.78</v>
      </c>
      <c r="M30" s="640">
        <v>65851.505999999994</v>
      </c>
      <c r="N30" s="640">
        <f t="shared" si="11"/>
        <v>95564.574999999997</v>
      </c>
      <c r="O30" s="640">
        <v>12813.906999999999</v>
      </c>
      <c r="P30" s="770"/>
    </row>
    <row r="31" spans="1:16" s="321" customFormat="1" ht="20.25" customHeight="1">
      <c r="A31" s="747">
        <v>2022</v>
      </c>
      <c r="B31" s="899" t="s">
        <v>239</v>
      </c>
      <c r="C31" s="640">
        <v>66484.941999999995</v>
      </c>
      <c r="D31" s="640">
        <v>10451.495999999999</v>
      </c>
      <c r="E31" s="640">
        <v>58.698</v>
      </c>
      <c r="F31" s="640">
        <v>11908.805</v>
      </c>
      <c r="G31" s="640">
        <f t="shared" si="9"/>
        <v>88903.940999999992</v>
      </c>
      <c r="H31" s="1617">
        <v>22256.692999999999</v>
      </c>
      <c r="I31" s="925">
        <f t="shared" si="10"/>
        <v>111160.63399999999</v>
      </c>
      <c r="J31" s="1618">
        <v>16148.838</v>
      </c>
      <c r="K31" s="640">
        <v>51.819000000000003</v>
      </c>
      <c r="L31" s="640">
        <v>18201.705000000002</v>
      </c>
      <c r="M31" s="640">
        <v>67809.448000000004</v>
      </c>
      <c r="N31" s="640">
        <f t="shared" si="11"/>
        <v>102211.81</v>
      </c>
      <c r="O31" s="640">
        <v>8948.8250000000007</v>
      </c>
      <c r="P31" s="770"/>
    </row>
    <row r="32" spans="1:16" s="321" customFormat="1" ht="15" customHeight="1">
      <c r="A32" s="747"/>
      <c r="B32" s="899" t="s">
        <v>240</v>
      </c>
      <c r="C32" s="640">
        <v>60005.460740000002</v>
      </c>
      <c r="D32" s="640">
        <v>6475.3230000000003</v>
      </c>
      <c r="E32" s="640">
        <v>276.971</v>
      </c>
      <c r="F32" s="640">
        <v>11518.5</v>
      </c>
      <c r="G32" s="640">
        <f t="shared" si="9"/>
        <v>78276.254740000004</v>
      </c>
      <c r="H32" s="1617">
        <v>27419.29752</v>
      </c>
      <c r="I32" s="925">
        <f t="shared" si="10"/>
        <v>105695.55226</v>
      </c>
      <c r="J32" s="1618">
        <v>9491.5669999999991</v>
      </c>
      <c r="K32" s="640">
        <v>50.65</v>
      </c>
      <c r="L32" s="640">
        <v>17721.626479999999</v>
      </c>
      <c r="M32" s="640">
        <v>70461.273350000003</v>
      </c>
      <c r="N32" s="640">
        <f t="shared" si="11"/>
        <v>97725.116829999999</v>
      </c>
      <c r="O32" s="640">
        <v>7970.4403899999998</v>
      </c>
      <c r="P32" s="770"/>
    </row>
    <row r="33" spans="1:16" s="321" customFormat="1" ht="15" customHeight="1">
      <c r="A33" s="747"/>
      <c r="B33" s="899" t="s">
        <v>237</v>
      </c>
      <c r="C33" s="640">
        <v>79753.982919999995</v>
      </c>
      <c r="D33" s="640">
        <v>8332.884</v>
      </c>
      <c r="E33" s="640">
        <v>197.495</v>
      </c>
      <c r="F33" s="640">
        <v>14650.517260000001</v>
      </c>
      <c r="G33" s="640">
        <f t="shared" si="9"/>
        <v>102934.87917999999</v>
      </c>
      <c r="H33" s="1617">
        <v>17569.30615</v>
      </c>
      <c r="I33" s="925">
        <f t="shared" si="10"/>
        <v>120504.18532999999</v>
      </c>
      <c r="J33" s="1618">
        <v>9691.7620000000006</v>
      </c>
      <c r="K33" s="640">
        <v>62.9</v>
      </c>
      <c r="L33" s="640">
        <v>18655.982530000001</v>
      </c>
      <c r="M33" s="640">
        <v>73978.947</v>
      </c>
      <c r="N33" s="640">
        <f t="shared" si="11"/>
        <v>102389.59153000001</v>
      </c>
      <c r="O33" s="640">
        <v>18114.63553</v>
      </c>
      <c r="P33" s="770"/>
    </row>
    <row r="34" spans="1:16" s="321" customFormat="1" ht="14.25" customHeight="1">
      <c r="A34" s="747"/>
      <c r="B34" s="899" t="s">
        <v>238</v>
      </c>
      <c r="C34" s="640">
        <v>71569.377110000001</v>
      </c>
      <c r="D34" s="640">
        <v>6497.97786</v>
      </c>
      <c r="E34" s="640">
        <v>338.43599999999998</v>
      </c>
      <c r="F34" s="640">
        <v>12809.913920000001</v>
      </c>
      <c r="G34" s="640">
        <f t="shared" si="9"/>
        <v>91215.704890000008</v>
      </c>
      <c r="H34" s="1617">
        <v>22401.89935</v>
      </c>
      <c r="I34" s="925">
        <f t="shared" si="10"/>
        <v>113617.60424000002</v>
      </c>
      <c r="J34" s="1618">
        <v>7843.0720000000001</v>
      </c>
      <c r="K34" s="640">
        <v>79.393000000000001</v>
      </c>
      <c r="L34" s="640">
        <v>17245.588100000001</v>
      </c>
      <c r="M34" s="640">
        <v>74687.144369999995</v>
      </c>
      <c r="N34" s="640">
        <f t="shared" si="11"/>
        <v>99855.197469999999</v>
      </c>
      <c r="O34" s="640">
        <v>13762.406789999999</v>
      </c>
      <c r="P34" s="770"/>
    </row>
    <row r="35" spans="1:16" s="321" customFormat="1" ht="20.25" customHeight="1">
      <c r="A35" s="747">
        <v>2023</v>
      </c>
      <c r="B35" s="899" t="s">
        <v>239</v>
      </c>
      <c r="C35" s="640">
        <v>78660.297340000005</v>
      </c>
      <c r="D35" s="640">
        <v>6578.3487999999998</v>
      </c>
      <c r="E35" s="640">
        <v>460.262</v>
      </c>
      <c r="F35" s="640">
        <v>12732.08589</v>
      </c>
      <c r="G35" s="640">
        <f t="shared" si="9"/>
        <v>98430.994030000002</v>
      </c>
      <c r="H35" s="1617">
        <v>17854.050429999999</v>
      </c>
      <c r="I35" s="925">
        <f t="shared" si="10"/>
        <v>116285.04446</v>
      </c>
      <c r="J35" s="1618">
        <v>7896.19</v>
      </c>
      <c r="K35" s="640">
        <v>42.386000000000003</v>
      </c>
      <c r="L35" s="640">
        <v>17850.374609999999</v>
      </c>
      <c r="M35" s="640">
        <v>77516.208549999996</v>
      </c>
      <c r="N35" s="640">
        <f t="shared" si="11"/>
        <v>103305.15916</v>
      </c>
      <c r="O35" s="640">
        <v>12979.8853</v>
      </c>
      <c r="P35" s="770"/>
    </row>
    <row r="36" spans="1:16" s="321" customFormat="1" ht="15" customHeight="1">
      <c r="A36" s="747"/>
      <c r="B36" s="899" t="s">
        <v>240</v>
      </c>
      <c r="C36" s="640">
        <v>74152.303</v>
      </c>
      <c r="D36" s="640">
        <v>18082.069</v>
      </c>
      <c r="E36" s="640">
        <v>570.19899999999996</v>
      </c>
      <c r="F36" s="640">
        <v>15163.634</v>
      </c>
      <c r="G36" s="640">
        <f t="shared" si="9"/>
        <v>107968.205</v>
      </c>
      <c r="H36" s="1617">
        <v>17903.008999999998</v>
      </c>
      <c r="I36" s="925">
        <f t="shared" si="10"/>
        <v>125871.21400000001</v>
      </c>
      <c r="J36" s="1618">
        <v>11796.826999999999</v>
      </c>
      <c r="K36" s="640">
        <v>22.283999999999999</v>
      </c>
      <c r="L36" s="640">
        <v>23618.039000000001</v>
      </c>
      <c r="M36" s="640">
        <v>76140.197</v>
      </c>
      <c r="N36" s="640">
        <f t="shared" si="11"/>
        <v>111577.34700000001</v>
      </c>
      <c r="O36" s="640">
        <v>14293.867</v>
      </c>
      <c r="P36" s="770"/>
    </row>
    <row r="37" spans="1:16" s="321" customFormat="1" ht="15" customHeight="1">
      <c r="A37" s="747"/>
      <c r="B37" s="899" t="s">
        <v>237</v>
      </c>
      <c r="C37" s="640">
        <v>69127.63</v>
      </c>
      <c r="D37" s="640">
        <v>20152.25</v>
      </c>
      <c r="E37" s="640">
        <v>396.55</v>
      </c>
      <c r="F37" s="640">
        <v>16900.900000000001</v>
      </c>
      <c r="G37" s="640">
        <f t="shared" si="9"/>
        <v>106577.33000000002</v>
      </c>
      <c r="H37" s="1617">
        <v>22363.599999999999</v>
      </c>
      <c r="I37" s="925">
        <f t="shared" si="10"/>
        <v>128940.93000000002</v>
      </c>
      <c r="J37" s="1618">
        <v>9523.89</v>
      </c>
      <c r="K37" s="640">
        <v>43.64</v>
      </c>
      <c r="L37" s="640">
        <v>20994.560000000001</v>
      </c>
      <c r="M37" s="640">
        <v>78851.47</v>
      </c>
      <c r="N37" s="640">
        <f t="shared" si="11"/>
        <v>109413.56</v>
      </c>
      <c r="O37" s="640">
        <v>19527.3</v>
      </c>
      <c r="P37" s="770"/>
    </row>
    <row r="38" spans="1:16" s="321" customFormat="1" ht="14.25" customHeight="1">
      <c r="A38" s="747"/>
      <c r="B38" s="899" t="s">
        <v>238</v>
      </c>
      <c r="C38" s="640">
        <v>73754.145382000002</v>
      </c>
      <c r="D38" s="640">
        <v>4667.38</v>
      </c>
      <c r="E38" s="640">
        <v>514.15800000000002</v>
      </c>
      <c r="F38" s="640">
        <v>12955.255192000001</v>
      </c>
      <c r="G38" s="640">
        <f t="shared" si="9"/>
        <v>91890.938574</v>
      </c>
      <c r="H38" s="1617">
        <v>39385.100839999999</v>
      </c>
      <c r="I38" s="925">
        <f t="shared" si="10"/>
        <v>131276.039414</v>
      </c>
      <c r="J38" s="1618">
        <v>7541.1319999999996</v>
      </c>
      <c r="K38" s="640">
        <v>37.231000000000002</v>
      </c>
      <c r="L38" s="640">
        <v>17077.053714000001</v>
      </c>
      <c r="M38" s="640">
        <v>81438.633000000002</v>
      </c>
      <c r="N38" s="640">
        <f t="shared" si="11"/>
        <v>106094.04971399999</v>
      </c>
      <c r="O38" s="640">
        <v>25181.989399999999</v>
      </c>
      <c r="P38" s="770"/>
    </row>
    <row r="39" spans="1:16" s="321" customFormat="1" ht="20.25" customHeight="1">
      <c r="A39" s="747">
        <v>2024</v>
      </c>
      <c r="B39" s="899" t="s">
        <v>239</v>
      </c>
      <c r="C39" s="640">
        <v>88276.874190000002</v>
      </c>
      <c r="D39" s="640">
        <v>20688.892980000001</v>
      </c>
      <c r="E39" s="640">
        <v>485.81299999999999</v>
      </c>
      <c r="F39" s="640">
        <v>13077.274636</v>
      </c>
      <c r="G39" s="640">
        <f t="shared" si="9"/>
        <v>122528.854806</v>
      </c>
      <c r="H39" s="1617">
        <v>35991.420010000002</v>
      </c>
      <c r="I39" s="925">
        <f t="shared" si="10"/>
        <v>158520.27481600002</v>
      </c>
      <c r="J39" s="1618">
        <v>18438.43795</v>
      </c>
      <c r="K39" s="640">
        <v>48.152000000000001</v>
      </c>
      <c r="L39" s="640">
        <v>19994.17438</v>
      </c>
      <c r="M39" s="640">
        <v>84769.472999999998</v>
      </c>
      <c r="N39" s="640">
        <f>SUM(J39:M39)+0.02</f>
        <v>123250.25733000001</v>
      </c>
      <c r="O39" s="640">
        <v>35270.039720000001</v>
      </c>
      <c r="P39" s="770"/>
    </row>
    <row r="40" spans="1:16" s="321" customFormat="1" ht="15" customHeight="1">
      <c r="A40" s="747"/>
      <c r="B40" s="899" t="s">
        <v>240</v>
      </c>
      <c r="C40" s="640">
        <v>79874.399999999994</v>
      </c>
      <c r="D40" s="640">
        <v>20927.5</v>
      </c>
      <c r="E40" s="640">
        <v>725</v>
      </c>
      <c r="F40" s="640">
        <v>13086.8</v>
      </c>
      <c r="G40" s="640">
        <f t="shared" si="9"/>
        <v>114613.7</v>
      </c>
      <c r="H40" s="1617">
        <v>74777.100000000006</v>
      </c>
      <c r="I40" s="925">
        <f t="shared" si="10"/>
        <v>189390.8</v>
      </c>
      <c r="J40" s="1618">
        <v>21193.4</v>
      </c>
      <c r="K40" s="640">
        <v>35.9</v>
      </c>
      <c r="L40" s="640">
        <v>22230.799999999999</v>
      </c>
      <c r="M40" s="640">
        <v>88276.6</v>
      </c>
      <c r="N40" s="640">
        <f t="shared" si="11"/>
        <v>131736.70000000001</v>
      </c>
      <c r="O40" s="640">
        <v>57654.1</v>
      </c>
      <c r="P40" s="770"/>
    </row>
    <row r="41" spans="1:16" s="321" customFormat="1" ht="15" customHeight="1">
      <c r="A41" s="747"/>
      <c r="B41" s="899" t="s">
        <v>237</v>
      </c>
      <c r="C41" s="640">
        <v>63881.4</v>
      </c>
      <c r="D41" s="640">
        <v>21573.5</v>
      </c>
      <c r="E41" s="640">
        <v>406.8</v>
      </c>
      <c r="F41" s="640">
        <v>13813.9</v>
      </c>
      <c r="G41" s="640">
        <f t="shared" si="9"/>
        <v>99675.599999999991</v>
      </c>
      <c r="H41" s="1617">
        <v>35869.9</v>
      </c>
      <c r="I41" s="925">
        <f t="shared" si="10"/>
        <v>135545.5</v>
      </c>
      <c r="J41" s="1618">
        <v>14560.3</v>
      </c>
      <c r="K41" s="640">
        <v>236.9</v>
      </c>
      <c r="L41" s="640">
        <v>34932.1</v>
      </c>
      <c r="M41" s="640">
        <v>70643.8</v>
      </c>
      <c r="N41" s="640">
        <f t="shared" si="11"/>
        <v>120373.1</v>
      </c>
      <c r="O41" s="640">
        <v>15172.4</v>
      </c>
      <c r="P41" s="770"/>
    </row>
    <row r="42" spans="1:16" s="321" customFormat="1" ht="14.25" customHeight="1">
      <c r="A42" s="747"/>
      <c r="B42" s="899" t="s">
        <v>238</v>
      </c>
      <c r="C42" s="640">
        <v>63435.7</v>
      </c>
      <c r="D42" s="640">
        <v>5236.6000000000004</v>
      </c>
      <c r="E42" s="640">
        <v>581.5</v>
      </c>
      <c r="F42" s="640">
        <v>14306.4</v>
      </c>
      <c r="G42" s="640">
        <f t="shared" ref="G42:G45" si="12">SUM(C42:F42)</f>
        <v>83560.2</v>
      </c>
      <c r="H42" s="1617">
        <v>35005.300000000003</v>
      </c>
      <c r="I42" s="925">
        <f t="shared" ref="I42:I45" si="13">SUM(G42:H42)</f>
        <v>118565.5</v>
      </c>
      <c r="J42" s="1618">
        <v>7833.2</v>
      </c>
      <c r="K42" s="640">
        <v>38</v>
      </c>
      <c r="L42" s="640">
        <v>33761.1</v>
      </c>
      <c r="M42" s="640">
        <v>72815.3</v>
      </c>
      <c r="N42" s="640">
        <f t="shared" ref="N42:N45" si="14">SUM(J42:M42)</f>
        <v>114447.6</v>
      </c>
      <c r="O42" s="640">
        <v>4117.8999999999996</v>
      </c>
      <c r="P42" s="770"/>
    </row>
    <row r="43" spans="1:16" s="321" customFormat="1" ht="20.25" customHeight="1">
      <c r="A43" s="747">
        <v>2025</v>
      </c>
      <c r="B43" s="899" t="s">
        <v>239</v>
      </c>
      <c r="C43" s="640">
        <v>88319.2</v>
      </c>
      <c r="D43" s="640">
        <v>23354.9</v>
      </c>
      <c r="E43" s="640">
        <v>950.4</v>
      </c>
      <c r="F43" s="640">
        <v>23257.1</v>
      </c>
      <c r="G43" s="640">
        <f t="shared" si="12"/>
        <v>135881.60000000001</v>
      </c>
      <c r="H43" s="1617">
        <v>31887.4</v>
      </c>
      <c r="I43" s="925">
        <f t="shared" si="13"/>
        <v>167769</v>
      </c>
      <c r="J43" s="1618">
        <v>8050.7</v>
      </c>
      <c r="K43" s="640">
        <v>28</v>
      </c>
      <c r="L43" s="640">
        <v>41258.199999999997</v>
      </c>
      <c r="M43" s="640">
        <v>76267.3</v>
      </c>
      <c r="N43" s="640">
        <f t="shared" si="14"/>
        <v>125604.2</v>
      </c>
      <c r="O43" s="640">
        <v>42164.800000000003</v>
      </c>
      <c r="P43" s="770"/>
    </row>
    <row r="44" spans="1:16" s="321" customFormat="1" ht="15" customHeight="1">
      <c r="A44" s="747"/>
      <c r="B44" s="899" t="s">
        <v>240</v>
      </c>
      <c r="C44" s="640">
        <v>60142.04</v>
      </c>
      <c r="D44" s="640">
        <v>23780.799999999999</v>
      </c>
      <c r="E44" s="640">
        <v>392.8</v>
      </c>
      <c r="F44" s="640">
        <v>15986.2</v>
      </c>
      <c r="G44" s="640">
        <f t="shared" si="12"/>
        <v>100301.84</v>
      </c>
      <c r="H44" s="1617">
        <v>39514.949999999997</v>
      </c>
      <c r="I44" s="925">
        <f t="shared" si="13"/>
        <v>139816.78999999998</v>
      </c>
      <c r="J44" s="1618">
        <v>14707.9</v>
      </c>
      <c r="K44" s="640">
        <v>41.5</v>
      </c>
      <c r="L44" s="640">
        <v>36441.599999999999</v>
      </c>
      <c r="M44" s="640">
        <v>79300.7</v>
      </c>
      <c r="N44" s="640">
        <f t="shared" si="14"/>
        <v>130491.7</v>
      </c>
      <c r="O44" s="640">
        <v>9325.1</v>
      </c>
      <c r="P44" s="770"/>
    </row>
    <row r="45" spans="1:16" s="321" customFormat="1" ht="15" customHeight="1">
      <c r="A45" s="747"/>
      <c r="B45" s="899" t="s">
        <v>237</v>
      </c>
      <c r="C45" s="640">
        <v>56769.9</v>
      </c>
      <c r="D45" s="640">
        <v>25145.75</v>
      </c>
      <c r="E45" s="640">
        <v>659.1</v>
      </c>
      <c r="F45" s="640">
        <v>15897.1</v>
      </c>
      <c r="G45" s="640">
        <f t="shared" si="12"/>
        <v>98471.85</v>
      </c>
      <c r="H45" s="1617">
        <v>56048.7</v>
      </c>
      <c r="I45" s="925">
        <f t="shared" si="13"/>
        <v>154520.54999999999</v>
      </c>
      <c r="J45" s="1618">
        <v>9158.5</v>
      </c>
      <c r="K45" s="640">
        <v>35.700000000000003</v>
      </c>
      <c r="L45" s="640">
        <v>36209.300000000003</v>
      </c>
      <c r="M45" s="640">
        <v>82127.8</v>
      </c>
      <c r="N45" s="640">
        <f t="shared" si="14"/>
        <v>127531.3</v>
      </c>
      <c r="O45" s="640">
        <v>26989.3</v>
      </c>
      <c r="P45" s="770"/>
    </row>
    <row r="46" spans="1:16" s="321" customFormat="1" ht="14.25" customHeight="1">
      <c r="A46" s="747"/>
      <c r="B46" s="899" t="s">
        <v>238</v>
      </c>
      <c r="C46" s="640">
        <v>78452.747000000003</v>
      </c>
      <c r="D46" s="640">
        <v>7749.7</v>
      </c>
      <c r="E46" s="640">
        <v>436.68</v>
      </c>
      <c r="F46" s="640">
        <v>13992.55</v>
      </c>
      <c r="G46" s="640">
        <f t="shared" ref="G46:G47" si="15">SUM(C46:F46)</f>
        <v>100631.677</v>
      </c>
      <c r="H46" s="1617">
        <v>18003.599999999999</v>
      </c>
      <c r="I46" s="925">
        <f t="shared" ref="I46" si="16">SUM(G46:H46)</f>
        <v>118635.277</v>
      </c>
      <c r="J46" s="1618">
        <v>8038.86</v>
      </c>
      <c r="K46" s="640">
        <v>24</v>
      </c>
      <c r="L46" s="640">
        <v>34416.28</v>
      </c>
      <c r="M46" s="640">
        <v>72147.055999999997</v>
      </c>
      <c r="N46" s="640">
        <f t="shared" ref="N46:N47" si="17">SUM(J46:M46)</f>
        <v>114626.196</v>
      </c>
      <c r="O46" s="640">
        <v>4009.1</v>
      </c>
      <c r="P46" s="770"/>
    </row>
    <row r="47" spans="1:16" s="321" customFormat="1" ht="20.25" customHeight="1">
      <c r="A47" s="747">
        <v>2026</v>
      </c>
      <c r="B47" s="899" t="s">
        <v>239</v>
      </c>
      <c r="C47" s="640">
        <v>46679.099000000002</v>
      </c>
      <c r="D47" s="640">
        <v>31122.785</v>
      </c>
      <c r="E47" s="640">
        <v>2833.027</v>
      </c>
      <c r="F47" s="640">
        <v>17486.724999999999</v>
      </c>
      <c r="G47" s="640">
        <f t="shared" si="15"/>
        <v>98121.635999999999</v>
      </c>
      <c r="H47" s="1617">
        <v>33730.489000000001</v>
      </c>
      <c r="I47" s="925">
        <f>SUM(G47:H47)</f>
        <v>131852.125</v>
      </c>
      <c r="J47" s="1618">
        <v>11326.439</v>
      </c>
      <c r="K47" s="640">
        <v>137.173</v>
      </c>
      <c r="L47" s="640">
        <v>39030.379999999997</v>
      </c>
      <c r="M47" s="640">
        <v>73021.986000000004</v>
      </c>
      <c r="N47" s="640">
        <f t="shared" si="17"/>
        <v>123515.978</v>
      </c>
      <c r="O47" s="640">
        <v>8336.1470000000008</v>
      </c>
      <c r="P47" s="770"/>
    </row>
    <row r="48" spans="1:16" s="2" customFormat="1" ht="20.25" customHeight="1">
      <c r="A48" s="215" t="s">
        <v>1187</v>
      </c>
      <c r="B48" s="1619"/>
      <c r="C48" s="217"/>
      <c r="D48" s="217"/>
      <c r="E48" s="217"/>
      <c r="F48" s="217"/>
      <c r="G48" s="217"/>
      <c r="H48" s="217"/>
      <c r="I48" s="1620"/>
      <c r="J48" s="1620"/>
      <c r="K48" s="1620"/>
      <c r="L48" s="215"/>
      <c r="M48" s="215"/>
      <c r="N48" s="215"/>
      <c r="O48" s="236" t="s">
        <v>1188</v>
      </c>
    </row>
    <row r="49" spans="1:15" s="2" customFormat="1" ht="9" customHeight="1">
      <c r="A49" s="5"/>
      <c r="B49" s="1621"/>
      <c r="H49" s="5"/>
      <c r="I49" s="5"/>
      <c r="J49" s="5"/>
      <c r="O49" s="237"/>
    </row>
    <row r="50" spans="1:15" s="1413" customFormat="1" ht="13.2">
      <c r="A50" s="382" t="s">
        <v>1189</v>
      </c>
      <c r="B50" s="1414"/>
      <c r="C50" s="1414"/>
      <c r="D50" s="1414"/>
      <c r="E50" s="1414"/>
      <c r="F50" s="1414"/>
      <c r="G50" s="1414"/>
      <c r="H50" s="1414"/>
      <c r="I50" s="1414"/>
      <c r="J50" s="1414"/>
      <c r="K50" s="1414"/>
      <c r="L50" s="1414"/>
      <c r="M50" s="1414"/>
      <c r="N50" s="1414"/>
      <c r="O50" s="1414"/>
    </row>
  </sheetData>
  <mergeCells count="3">
    <mergeCell ref="A5:B7"/>
    <mergeCell ref="A8:B10"/>
    <mergeCell ref="P9:P10"/>
  </mergeCells>
  <printOptions horizontalCentered="1" verticalCentered="1"/>
  <pageMargins left="0" right="0" top="0" bottom="0"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6">
    <pageSetUpPr fitToPage="1"/>
  </sheetPr>
  <dimension ref="A1:T54"/>
  <sheetViews>
    <sheetView zoomScale="70" zoomScaleNormal="70" workbookViewId="0">
      <pane ySplit="12" topLeftCell="A27" activePane="bottomLeft" state="frozen"/>
      <selection activeCell="B2" sqref="B2"/>
      <selection pane="bottomLeft" activeCell="B2" sqref="B2"/>
    </sheetView>
  </sheetViews>
  <sheetFormatPr defaultColWidth="18.21875" defaultRowHeight="15.6"/>
  <cols>
    <col min="1" max="1" width="10.77734375" style="939" customWidth="1"/>
    <col min="2" max="2" width="10.77734375" style="845" customWidth="1"/>
    <col min="3" max="9" width="18.21875" style="845" customWidth="1"/>
    <col min="10" max="10" width="17.77734375" style="845" customWidth="1"/>
    <col min="11" max="11" width="18.21875" style="845" customWidth="1"/>
    <col min="12" max="12" width="17.77734375" style="845" customWidth="1"/>
    <col min="13" max="13" width="18.21875" style="845"/>
    <col min="14" max="14" width="17.77734375" style="845" customWidth="1"/>
    <col min="15" max="16384" width="18.21875" style="845"/>
  </cols>
  <sheetData>
    <row r="1" spans="1:14" ht="17.399999999999999">
      <c r="A1" s="951" t="s">
        <v>1190</v>
      </c>
      <c r="B1" s="1549"/>
      <c r="C1" s="1549"/>
      <c r="D1" s="1549"/>
      <c r="E1" s="1549"/>
      <c r="F1" s="1549"/>
      <c r="G1" s="951"/>
      <c r="H1" s="951"/>
      <c r="I1" s="1549"/>
      <c r="J1" s="1549"/>
      <c r="K1" s="1549"/>
      <c r="L1" s="1549"/>
      <c r="M1" s="1549"/>
      <c r="N1" s="1549"/>
    </row>
    <row r="2" spans="1:14" ht="17.399999999999999">
      <c r="A2" s="950" t="s">
        <v>1191</v>
      </c>
      <c r="B2" s="1550"/>
      <c r="C2" s="1550"/>
      <c r="D2" s="1550"/>
      <c r="E2" s="1550"/>
      <c r="F2" s="1550"/>
      <c r="G2" s="1550"/>
      <c r="H2" s="1550"/>
      <c r="I2" s="1550"/>
      <c r="J2" s="1550"/>
      <c r="K2" s="1550"/>
      <c r="L2" s="1550"/>
      <c r="M2" s="1550"/>
      <c r="N2" s="1550"/>
    </row>
    <row r="3" spans="1:14">
      <c r="A3" s="948" t="s">
        <v>1192</v>
      </c>
      <c r="B3" s="948"/>
      <c r="C3" s="948"/>
      <c r="D3" s="948"/>
      <c r="E3" s="948"/>
      <c r="F3" s="948"/>
      <c r="G3" s="1551"/>
      <c r="H3" s="1551"/>
      <c r="I3" s="948"/>
      <c r="J3" s="948"/>
      <c r="K3" s="948"/>
      <c r="L3" s="948"/>
      <c r="M3" s="948"/>
      <c r="N3" s="948"/>
    </row>
    <row r="4" spans="1:14" ht="12" customHeight="1">
      <c r="A4" s="948"/>
      <c r="B4" s="948"/>
      <c r="C4" s="948"/>
      <c r="D4" s="948"/>
      <c r="E4" s="948"/>
      <c r="F4" s="948"/>
      <c r="G4" s="1551"/>
      <c r="H4" s="1551"/>
      <c r="I4" s="948"/>
      <c r="J4" s="948"/>
      <c r="K4" s="948"/>
      <c r="L4" s="948"/>
      <c r="M4" s="948"/>
      <c r="N4" s="948"/>
    </row>
    <row r="5" spans="1:14" ht="9" customHeight="1">
      <c r="A5" s="948"/>
      <c r="B5" s="948"/>
      <c r="C5" s="948"/>
      <c r="D5" s="948"/>
      <c r="E5" s="948"/>
      <c r="F5" s="948"/>
      <c r="G5" s="1551"/>
      <c r="H5" s="1551"/>
      <c r="I5" s="948"/>
      <c r="J5" s="948"/>
      <c r="K5" s="948"/>
      <c r="L5" s="948"/>
      <c r="M5" s="948"/>
      <c r="N5" s="948"/>
    </row>
    <row r="6" spans="1:14">
      <c r="A6" s="947" t="s">
        <v>369</v>
      </c>
      <c r="M6" s="727"/>
      <c r="N6" s="727" t="s">
        <v>370</v>
      </c>
    </row>
    <row r="7" spans="1:14" s="945" customFormat="1" ht="27" customHeight="1">
      <c r="A7" s="1285" t="s">
        <v>1193</v>
      </c>
      <c r="B7" s="1287"/>
      <c r="C7" s="1506" t="s">
        <v>1194</v>
      </c>
      <c r="D7" s="1506"/>
      <c r="E7" s="1506"/>
      <c r="F7" s="1506"/>
      <c r="G7" s="1285" t="s">
        <v>1195</v>
      </c>
      <c r="H7" s="1286"/>
      <c r="I7" s="1286"/>
      <c r="J7" s="1286"/>
      <c r="K7" s="1286"/>
      <c r="L7" s="1287"/>
      <c r="M7" s="1285" t="s">
        <v>1196</v>
      </c>
      <c r="N7" s="1287"/>
    </row>
    <row r="8" spans="1:14" s="945" customFormat="1" ht="27" customHeight="1">
      <c r="A8" s="1532"/>
      <c r="B8" s="1533"/>
      <c r="C8" s="1512" t="s">
        <v>1197</v>
      </c>
      <c r="D8" s="1512"/>
      <c r="E8" s="1512"/>
      <c r="F8" s="1512"/>
      <c r="G8" s="1552" t="s">
        <v>1198</v>
      </c>
      <c r="H8" s="1553"/>
      <c r="I8" s="1553"/>
      <c r="J8" s="1553"/>
      <c r="K8" s="1553"/>
      <c r="L8" s="1554"/>
      <c r="M8" s="1532"/>
      <c r="N8" s="1533"/>
    </row>
    <row r="9" spans="1:14" s="945" customFormat="1" ht="15.75" customHeight="1">
      <c r="A9" s="1532"/>
      <c r="B9" s="1533"/>
      <c r="C9" s="1285" t="s">
        <v>1199</v>
      </c>
      <c r="D9" s="1287"/>
      <c r="E9" s="1285" t="s">
        <v>1200</v>
      </c>
      <c r="F9" s="1287"/>
      <c r="G9" s="1285" t="s">
        <v>1201</v>
      </c>
      <c r="H9" s="1287"/>
      <c r="I9" s="1285" t="s">
        <v>1202</v>
      </c>
      <c r="J9" s="1287"/>
      <c r="K9" s="1285" t="s">
        <v>1203</v>
      </c>
      <c r="L9" s="1287"/>
      <c r="M9" s="1532" t="s">
        <v>1204</v>
      </c>
      <c r="N9" s="1533"/>
    </row>
    <row r="10" spans="1:14" s="1543" customFormat="1">
      <c r="A10" s="1532"/>
      <c r="B10" s="1533"/>
      <c r="C10" s="1288" t="s">
        <v>1205</v>
      </c>
      <c r="D10" s="1290"/>
      <c r="E10" s="1288" t="s">
        <v>1206</v>
      </c>
      <c r="F10" s="1290"/>
      <c r="G10" s="1555" t="s">
        <v>1207</v>
      </c>
      <c r="H10" s="1556"/>
      <c r="I10" s="1555" t="s">
        <v>1208</v>
      </c>
      <c r="J10" s="1556"/>
      <c r="K10" s="1555" t="s">
        <v>1209</v>
      </c>
      <c r="L10" s="1556"/>
      <c r="M10" s="1288"/>
      <c r="N10" s="1290"/>
    </row>
    <row r="11" spans="1:14" s="1543" customFormat="1" ht="15.75" customHeight="1">
      <c r="A11" s="1532"/>
      <c r="B11" s="1533"/>
      <c r="C11" s="1557" t="s">
        <v>1210</v>
      </c>
      <c r="D11" s="1558" t="s">
        <v>1211</v>
      </c>
      <c r="E11" s="1557" t="s">
        <v>1210</v>
      </c>
      <c r="F11" s="1558" t="s">
        <v>1211</v>
      </c>
      <c r="G11" s="1557" t="s">
        <v>1210</v>
      </c>
      <c r="H11" s="1558" t="s">
        <v>1211</v>
      </c>
      <c r="I11" s="1557" t="s">
        <v>1210</v>
      </c>
      <c r="J11" s="1558" t="s">
        <v>1211</v>
      </c>
      <c r="K11" s="1557" t="s">
        <v>1210</v>
      </c>
      <c r="L11" s="1558" t="s">
        <v>1211</v>
      </c>
      <c r="M11" s="1557" t="s">
        <v>1210</v>
      </c>
      <c r="N11" s="1558" t="s">
        <v>1211</v>
      </c>
    </row>
    <row r="12" spans="1:14" s="1543" customFormat="1">
      <c r="A12" s="1288"/>
      <c r="B12" s="1290"/>
      <c r="C12" s="1559" t="s">
        <v>1212</v>
      </c>
      <c r="D12" s="1560" t="s">
        <v>1213</v>
      </c>
      <c r="E12" s="1559" t="s">
        <v>1212</v>
      </c>
      <c r="F12" s="1560" t="s">
        <v>1213</v>
      </c>
      <c r="G12" s="1559" t="s">
        <v>1212</v>
      </c>
      <c r="H12" s="1560" t="s">
        <v>1213</v>
      </c>
      <c r="I12" s="1559" t="s">
        <v>1212</v>
      </c>
      <c r="J12" s="1560" t="s">
        <v>1213</v>
      </c>
      <c r="K12" s="1559" t="s">
        <v>1212</v>
      </c>
      <c r="L12" s="1560" t="s">
        <v>1213</v>
      </c>
      <c r="M12" s="1559" t="s">
        <v>1212</v>
      </c>
      <c r="N12" s="1560" t="s">
        <v>1213</v>
      </c>
    </row>
    <row r="13" spans="1:14" ht="21" customHeight="1">
      <c r="A13" s="1561">
        <v>2016</v>
      </c>
      <c r="B13" s="1562"/>
      <c r="C13" s="1563">
        <v>232807</v>
      </c>
      <c r="D13" s="1112">
        <v>11144.820344103</v>
      </c>
      <c r="E13" s="1563">
        <v>64065</v>
      </c>
      <c r="F13" s="1112">
        <v>64772.22199427701</v>
      </c>
      <c r="G13" s="1112">
        <v>131548</v>
      </c>
      <c r="H13" s="1112">
        <v>35.700000000000003</v>
      </c>
      <c r="I13" s="1112">
        <v>2589591</v>
      </c>
      <c r="J13" s="1112">
        <v>7286.6</v>
      </c>
      <c r="K13" s="1112">
        <v>102758</v>
      </c>
      <c r="L13" s="1112">
        <v>12.5</v>
      </c>
      <c r="M13" s="1111">
        <v>11524588</v>
      </c>
      <c r="N13" s="1112">
        <v>1105.8463750000001</v>
      </c>
    </row>
    <row r="14" spans="1:14" ht="16.05" customHeight="1">
      <c r="A14" s="1561">
        <v>2017</v>
      </c>
      <c r="B14" s="1562"/>
      <c r="C14" s="1563">
        <v>204622</v>
      </c>
      <c r="D14" s="1112">
        <v>9134.1</v>
      </c>
      <c r="E14" s="1563">
        <v>45075</v>
      </c>
      <c r="F14" s="1112">
        <v>78021.100000000006</v>
      </c>
      <c r="G14" s="1111">
        <v>371841</v>
      </c>
      <c r="H14" s="1112">
        <v>87.6</v>
      </c>
      <c r="I14" s="1111">
        <v>4981026</v>
      </c>
      <c r="J14" s="1112">
        <v>9630.7999999999993</v>
      </c>
      <c r="K14" s="1111">
        <v>1244287</v>
      </c>
      <c r="L14" s="1112">
        <v>79</v>
      </c>
      <c r="M14" s="1111">
        <v>15158643</v>
      </c>
      <c r="N14" s="1112">
        <v>1429.6595</v>
      </c>
    </row>
    <row r="15" spans="1:14" ht="16.05" customHeight="1">
      <c r="A15" s="1110">
        <v>2018</v>
      </c>
      <c r="B15" s="846"/>
      <c r="C15" s="1563">
        <v>209671</v>
      </c>
      <c r="D15" s="1112">
        <v>9232.9</v>
      </c>
      <c r="E15" s="1563">
        <v>44592</v>
      </c>
      <c r="F15" s="1112">
        <v>81718.899999999994</v>
      </c>
      <c r="G15" s="1111">
        <v>962740</v>
      </c>
      <c r="H15" s="1112">
        <v>174.7</v>
      </c>
      <c r="I15" s="1111">
        <v>5831526</v>
      </c>
      <c r="J15" s="1112">
        <v>11159.1</v>
      </c>
      <c r="K15" s="1111">
        <v>1665110</v>
      </c>
      <c r="L15" s="1112">
        <v>133.1</v>
      </c>
      <c r="M15" s="1111">
        <v>17811102</v>
      </c>
      <c r="N15" s="1112">
        <v>1651.9018000000001</v>
      </c>
    </row>
    <row r="16" spans="1:14" ht="16.05" customHeight="1">
      <c r="A16" s="1110">
        <v>2019</v>
      </c>
      <c r="B16" s="846"/>
      <c r="C16" s="1563">
        <v>217703</v>
      </c>
      <c r="D16" s="1112">
        <v>9372.9</v>
      </c>
      <c r="E16" s="1563">
        <v>42223</v>
      </c>
      <c r="F16" s="1112">
        <v>85142.399999999994</v>
      </c>
      <c r="G16" s="1111">
        <v>6322911</v>
      </c>
      <c r="H16" s="1112">
        <v>542.86</v>
      </c>
      <c r="I16" s="1111">
        <v>7110816</v>
      </c>
      <c r="J16" s="1112">
        <v>12671.900000000001</v>
      </c>
      <c r="K16" s="1111">
        <v>1995920</v>
      </c>
      <c r="L16" s="1112">
        <v>291.5</v>
      </c>
      <c r="M16" s="1111">
        <v>19731651</v>
      </c>
      <c r="N16" s="1112">
        <v>1746.62482</v>
      </c>
    </row>
    <row r="17" spans="1:15" ht="16.05" customHeight="1">
      <c r="A17" s="1110">
        <v>2020</v>
      </c>
      <c r="B17" s="846"/>
      <c r="C17" s="1563">
        <v>243892</v>
      </c>
      <c r="D17" s="1112">
        <v>10593.5</v>
      </c>
      <c r="E17" s="1563">
        <v>36292</v>
      </c>
      <c r="F17" s="1112">
        <v>68026.247781167011</v>
      </c>
      <c r="G17" s="1111">
        <v>47247358</v>
      </c>
      <c r="H17" s="1112">
        <v>2237.8397709999999</v>
      </c>
      <c r="I17" s="1111">
        <v>8702806</v>
      </c>
      <c r="J17" s="1112">
        <v>13458.651462000002</v>
      </c>
      <c r="K17" s="1111">
        <v>4199985</v>
      </c>
      <c r="L17" s="1112">
        <v>465.04345800000004</v>
      </c>
      <c r="M17" s="1111">
        <v>18741958</v>
      </c>
      <c r="N17" s="1112">
        <v>1555.7394109999998</v>
      </c>
    </row>
    <row r="18" spans="1:15" ht="16.05" customHeight="1">
      <c r="A18" s="1110">
        <v>2021</v>
      </c>
      <c r="B18" s="846"/>
      <c r="C18" s="1563">
        <v>259105</v>
      </c>
      <c r="D18" s="1112">
        <v>9673.9172564569999</v>
      </c>
      <c r="E18" s="1563">
        <v>42705</v>
      </c>
      <c r="F18" s="1112">
        <v>83922.596094576002</v>
      </c>
      <c r="G18" s="1111">
        <v>141835256</v>
      </c>
      <c r="H18" s="1112">
        <v>4462.4831600739999</v>
      </c>
      <c r="I18" s="1111">
        <v>9681631</v>
      </c>
      <c r="J18" s="1112">
        <v>15378.309771431999</v>
      </c>
      <c r="K18" s="1111">
        <v>9140103</v>
      </c>
      <c r="L18" s="1112">
        <v>685.41474115000005</v>
      </c>
      <c r="M18" s="1111">
        <v>15758177</v>
      </c>
      <c r="N18" s="1112">
        <v>1419.5800263400001</v>
      </c>
    </row>
    <row r="19" spans="1:15" ht="16.05" customHeight="1">
      <c r="A19" s="1110">
        <v>2022</v>
      </c>
      <c r="B19" s="846"/>
      <c r="C19" s="1111">
        <v>266647</v>
      </c>
      <c r="D19" s="1112">
        <v>9706.1287400000001</v>
      </c>
      <c r="E19" s="1111">
        <v>43726</v>
      </c>
      <c r="F19" s="1112">
        <v>86241.370043746007</v>
      </c>
      <c r="G19" s="1111">
        <v>244925166</v>
      </c>
      <c r="H19" s="1112">
        <v>6149.5304039879993</v>
      </c>
      <c r="I19" s="1111">
        <v>10997227</v>
      </c>
      <c r="J19" s="1112">
        <v>18351.528233444998</v>
      </c>
      <c r="K19" s="1111">
        <v>11830039</v>
      </c>
      <c r="L19" s="1112">
        <v>913.24598615999992</v>
      </c>
      <c r="M19" s="1111">
        <v>14116744</v>
      </c>
      <c r="N19" s="1112">
        <v>1372.0853723799996</v>
      </c>
    </row>
    <row r="20" spans="1:15" ht="16.05" customHeight="1">
      <c r="A20" s="1110">
        <v>2023</v>
      </c>
      <c r="B20" s="846"/>
      <c r="C20" s="1111">
        <v>314663</v>
      </c>
      <c r="D20" s="1112">
        <v>9911.8071161419994</v>
      </c>
      <c r="E20" s="1111">
        <v>48429</v>
      </c>
      <c r="F20" s="1112">
        <v>104624.271310935</v>
      </c>
      <c r="G20" s="1111">
        <v>338653902</v>
      </c>
      <c r="H20" s="1112">
        <v>7404.1710555399995</v>
      </c>
      <c r="I20" s="1111">
        <v>12520338</v>
      </c>
      <c r="J20" s="1112">
        <v>20954.594999030003</v>
      </c>
      <c r="K20" s="1111">
        <v>12913067</v>
      </c>
      <c r="L20" s="1112">
        <v>1018.8718770519999</v>
      </c>
      <c r="M20" s="1111">
        <v>12252664</v>
      </c>
      <c r="N20" s="1112">
        <v>1220.7208868819998</v>
      </c>
    </row>
    <row r="21" spans="1:15" ht="16.05" customHeight="1">
      <c r="A21" s="1110">
        <v>2024</v>
      </c>
      <c r="B21" s="846"/>
      <c r="C21" s="1111">
        <v>343019</v>
      </c>
      <c r="D21" s="1112">
        <v>10915.129488564999</v>
      </c>
      <c r="E21" s="1111">
        <v>52892</v>
      </c>
      <c r="F21" s="1112">
        <v>128752.96331480799</v>
      </c>
      <c r="G21" s="1111">
        <v>417952450</v>
      </c>
      <c r="H21" s="1112">
        <v>8524.5287827329994</v>
      </c>
      <c r="I21" s="1111">
        <v>13184829</v>
      </c>
      <c r="J21" s="1112">
        <v>23582.536458832998</v>
      </c>
      <c r="K21" s="1111">
        <v>12628131</v>
      </c>
      <c r="L21" s="1112">
        <v>1157.4334616220001</v>
      </c>
      <c r="M21" s="1111">
        <v>10117677</v>
      </c>
      <c r="N21" s="1112">
        <v>1092.557499987</v>
      </c>
    </row>
    <row r="22" spans="1:15" ht="16.05" customHeight="1">
      <c r="A22" s="988">
        <v>2025</v>
      </c>
      <c r="B22" s="944"/>
      <c r="C22" s="990">
        <f t="shared" ref="C22:N22" si="0">SUM(C25:C28)</f>
        <v>335715</v>
      </c>
      <c r="D22" s="989">
        <f t="shared" si="0"/>
        <v>11498.940871243998</v>
      </c>
      <c r="E22" s="990">
        <f t="shared" si="0"/>
        <v>56252</v>
      </c>
      <c r="F22" s="989">
        <f t="shared" si="0"/>
        <v>110235.083465791</v>
      </c>
      <c r="G22" s="990">
        <f t="shared" si="0"/>
        <v>467940311</v>
      </c>
      <c r="H22" s="989">
        <f t="shared" si="0"/>
        <v>9734.8624459969997</v>
      </c>
      <c r="I22" s="990">
        <f t="shared" si="0"/>
        <v>14281491</v>
      </c>
      <c r="J22" s="989">
        <f t="shared" si="0"/>
        <v>26361.229520770001</v>
      </c>
      <c r="K22" s="990">
        <f t="shared" si="0"/>
        <v>11826304</v>
      </c>
      <c r="L22" s="989">
        <f t="shared" si="0"/>
        <v>1393.192689512</v>
      </c>
      <c r="M22" s="990">
        <f t="shared" si="0"/>
        <v>8727652</v>
      </c>
      <c r="N22" s="989">
        <f t="shared" si="0"/>
        <v>991.47343535700008</v>
      </c>
    </row>
    <row r="23" spans="1:15" ht="21" customHeight="1">
      <c r="A23" s="1110">
        <v>2024</v>
      </c>
      <c r="B23" s="846" t="s">
        <v>237</v>
      </c>
      <c r="C23" s="1111">
        <v>86209</v>
      </c>
      <c r="D23" s="1112">
        <v>2577.2339150759999</v>
      </c>
      <c r="E23" s="1111">
        <v>13421</v>
      </c>
      <c r="F23" s="1112">
        <v>26689.236231955998</v>
      </c>
      <c r="G23" s="1111">
        <v>102798122</v>
      </c>
      <c r="H23" s="1112">
        <v>2103.1232203270001</v>
      </c>
      <c r="I23" s="1111">
        <v>3251064</v>
      </c>
      <c r="J23" s="1112">
        <v>5815.6138574750003</v>
      </c>
      <c r="K23" s="1111">
        <v>3142266</v>
      </c>
      <c r="L23" s="1112">
        <v>302.00083434999999</v>
      </c>
      <c r="M23" s="1111">
        <v>2419327</v>
      </c>
      <c r="N23" s="1112">
        <v>264.23229637300005</v>
      </c>
      <c r="O23" s="1175"/>
    </row>
    <row r="24" spans="1:15" ht="15" customHeight="1">
      <c r="A24" s="1110"/>
      <c r="B24" s="846" t="s">
        <v>238</v>
      </c>
      <c r="C24" s="1111">
        <v>83090</v>
      </c>
      <c r="D24" s="1112">
        <v>2924.6739595069998</v>
      </c>
      <c r="E24" s="1111">
        <v>13238</v>
      </c>
      <c r="F24" s="1112">
        <v>30595.261995263998</v>
      </c>
      <c r="G24" s="1111">
        <v>114591047</v>
      </c>
      <c r="H24" s="1112">
        <v>2211.6758694500004</v>
      </c>
      <c r="I24" s="1111">
        <v>3416058</v>
      </c>
      <c r="J24" s="1112">
        <v>6142.8584947430008</v>
      </c>
      <c r="K24" s="1111">
        <v>3143587</v>
      </c>
      <c r="L24" s="1112">
        <v>306.883944063</v>
      </c>
      <c r="M24" s="1111">
        <v>2403967</v>
      </c>
      <c r="N24" s="1112">
        <v>260.27810064799996</v>
      </c>
      <c r="O24" s="1175"/>
    </row>
    <row r="25" spans="1:15" ht="21" customHeight="1">
      <c r="A25" s="1110">
        <v>2025</v>
      </c>
      <c r="B25" s="846" t="s">
        <v>239</v>
      </c>
      <c r="C25" s="1111">
        <v>81752</v>
      </c>
      <c r="D25" s="1112">
        <v>2753.5434626589999</v>
      </c>
      <c r="E25" s="1111">
        <v>13318</v>
      </c>
      <c r="F25" s="1112">
        <v>26044.038192010001</v>
      </c>
      <c r="G25" s="1111">
        <v>111738767</v>
      </c>
      <c r="H25" s="1112">
        <v>2302.4229634849999</v>
      </c>
      <c r="I25" s="1111">
        <v>3430878</v>
      </c>
      <c r="J25" s="1112">
        <v>6124.5076745409997</v>
      </c>
      <c r="K25" s="1111">
        <v>2833384</v>
      </c>
      <c r="L25" s="1112">
        <v>290.67716947500003</v>
      </c>
      <c r="M25" s="1111">
        <v>2281267</v>
      </c>
      <c r="N25" s="1112">
        <v>258.33508274400003</v>
      </c>
      <c r="O25" s="1175"/>
    </row>
    <row r="26" spans="1:15" ht="15" customHeight="1">
      <c r="A26" s="1110"/>
      <c r="B26" s="846" t="s">
        <v>240</v>
      </c>
      <c r="C26" s="1111">
        <v>82288</v>
      </c>
      <c r="D26" s="1112">
        <v>2771.2750713170003</v>
      </c>
      <c r="E26" s="1111">
        <v>14001</v>
      </c>
      <c r="F26" s="1112">
        <v>29690.464621854</v>
      </c>
      <c r="G26" s="1111">
        <v>117928840</v>
      </c>
      <c r="H26" s="1112">
        <v>2320.9593349600004</v>
      </c>
      <c r="I26" s="1111">
        <v>3643917</v>
      </c>
      <c r="J26" s="1112">
        <v>6842.441150667999</v>
      </c>
      <c r="K26" s="1111">
        <v>3114342</v>
      </c>
      <c r="L26" s="1112">
        <v>312.75108762899998</v>
      </c>
      <c r="M26" s="1111">
        <v>2176881</v>
      </c>
      <c r="N26" s="1112">
        <v>253.14486076600002</v>
      </c>
      <c r="O26" s="1175"/>
    </row>
    <row r="27" spans="1:15" ht="15" customHeight="1">
      <c r="A27" s="1110"/>
      <c r="B27" s="846" t="s">
        <v>237</v>
      </c>
      <c r="C27" s="1111">
        <v>83402</v>
      </c>
      <c r="D27" s="1112">
        <v>2985.6055928039996</v>
      </c>
      <c r="E27" s="1111">
        <v>14090</v>
      </c>
      <c r="F27" s="1112">
        <v>29694.669125414002</v>
      </c>
      <c r="G27" s="1111">
        <v>112856115</v>
      </c>
      <c r="H27" s="1112">
        <v>2434.5591027510004</v>
      </c>
      <c r="I27" s="1111">
        <v>3542758</v>
      </c>
      <c r="J27" s="1112">
        <v>6728.1078597100013</v>
      </c>
      <c r="K27" s="1111">
        <v>2935408</v>
      </c>
      <c r="L27" s="1112">
        <v>397.66801919400007</v>
      </c>
      <c r="M27" s="1111">
        <v>2094130</v>
      </c>
      <c r="N27" s="1112">
        <v>236.02916602799999</v>
      </c>
      <c r="O27" s="1175"/>
    </row>
    <row r="28" spans="1:15" ht="15" customHeight="1">
      <c r="A28" s="1110"/>
      <c r="B28" s="846" t="s">
        <v>238</v>
      </c>
      <c r="C28" s="1111">
        <f t="shared" ref="C28:M28" si="1">SUM(C34:C36)</f>
        <v>88273</v>
      </c>
      <c r="D28" s="1112">
        <f t="shared" si="1"/>
        <v>2988.5167444640001</v>
      </c>
      <c r="E28" s="1111">
        <f t="shared" si="1"/>
        <v>14843</v>
      </c>
      <c r="F28" s="1112">
        <f t="shared" si="1"/>
        <v>24805.911526512999</v>
      </c>
      <c r="G28" s="1111">
        <f t="shared" si="1"/>
        <v>125416589</v>
      </c>
      <c r="H28" s="1112">
        <f t="shared" si="1"/>
        <v>2676.9210448010003</v>
      </c>
      <c r="I28" s="1111">
        <f t="shared" si="1"/>
        <v>3663938</v>
      </c>
      <c r="J28" s="1112">
        <f t="shared" si="1"/>
        <v>6666.172835850999</v>
      </c>
      <c r="K28" s="1111">
        <f t="shared" si="1"/>
        <v>2943170</v>
      </c>
      <c r="L28" s="1112">
        <f t="shared" si="1"/>
        <v>392.09641321399999</v>
      </c>
      <c r="M28" s="1111">
        <f t="shared" si="1"/>
        <v>2175374</v>
      </c>
      <c r="N28" s="1112">
        <f>SUM(N34:N36)-0.05</f>
        <v>243.96432581900001</v>
      </c>
      <c r="O28" s="1175"/>
    </row>
    <row r="29" spans="1:15" ht="21" customHeight="1">
      <c r="A29" s="1110">
        <v>2026</v>
      </c>
      <c r="B29" s="846" t="s">
        <v>239</v>
      </c>
      <c r="C29" s="1111">
        <f t="shared" ref="C29:M29" si="2">SUM(C37:C39)</f>
        <v>84289</v>
      </c>
      <c r="D29" s="1112">
        <f t="shared" si="2"/>
        <v>2878.124840681</v>
      </c>
      <c r="E29" s="1111">
        <f t="shared" si="2"/>
        <v>13302</v>
      </c>
      <c r="F29" s="1112">
        <f t="shared" si="2"/>
        <v>25361.940678634001</v>
      </c>
      <c r="G29" s="1111">
        <f t="shared" si="2"/>
        <v>119257594</v>
      </c>
      <c r="H29" s="1112">
        <f t="shared" si="2"/>
        <v>2697.0647647360001</v>
      </c>
      <c r="I29" s="1111">
        <f t="shared" si="2"/>
        <v>3595977</v>
      </c>
      <c r="J29" s="1112">
        <f t="shared" si="2"/>
        <v>6500.2798482490007</v>
      </c>
      <c r="K29" s="1111">
        <f t="shared" si="2"/>
        <v>2795701</v>
      </c>
      <c r="L29" s="1112">
        <f t="shared" si="2"/>
        <v>347.44046050999998</v>
      </c>
      <c r="M29" s="1111">
        <f t="shared" si="2"/>
        <v>2085241</v>
      </c>
      <c r="N29" s="1112">
        <f>SUM(N37:N39)</f>
        <v>263.28057079999996</v>
      </c>
      <c r="O29" s="1175"/>
    </row>
    <row r="30" spans="1:15" ht="15" customHeight="1">
      <c r="A30" s="988"/>
      <c r="B30" s="944" t="s">
        <v>240</v>
      </c>
      <c r="C30" s="990">
        <f t="shared" ref="C30:N30" si="3">SUM(C40:C42)</f>
        <v>81587</v>
      </c>
      <c r="D30" s="989">
        <f>SUM(D40:D42)+0.01</f>
        <v>2847.555803704</v>
      </c>
      <c r="E30" s="990">
        <f t="shared" si="3"/>
        <v>13087</v>
      </c>
      <c r="F30" s="989">
        <f t="shared" si="3"/>
        <v>24220.833281201001</v>
      </c>
      <c r="G30" s="990">
        <f t="shared" si="3"/>
        <v>128876822</v>
      </c>
      <c r="H30" s="989">
        <f>SUM(H40:H42)-0.05</f>
        <v>2743.9270049539991</v>
      </c>
      <c r="I30" s="990">
        <f t="shared" si="3"/>
        <v>3725899</v>
      </c>
      <c r="J30" s="989">
        <f t="shared" si="3"/>
        <v>6695.8971264109996</v>
      </c>
      <c r="K30" s="990">
        <f t="shared" si="3"/>
        <v>2914964</v>
      </c>
      <c r="L30" s="989">
        <f t="shared" si="3"/>
        <v>324.96628501700002</v>
      </c>
      <c r="M30" s="990">
        <f t="shared" si="3"/>
        <v>1888544</v>
      </c>
      <c r="N30" s="989">
        <f t="shared" si="3"/>
        <v>223.46995563300004</v>
      </c>
      <c r="O30" s="1175"/>
    </row>
    <row r="31" spans="1:15" ht="21" customHeight="1">
      <c r="A31" s="927">
        <v>2025</v>
      </c>
      <c r="B31" s="846" t="s">
        <v>420</v>
      </c>
      <c r="C31" s="1111">
        <v>28320</v>
      </c>
      <c r="D31" s="1112">
        <v>1087.7593157979998</v>
      </c>
      <c r="E31" s="1111">
        <v>5048</v>
      </c>
      <c r="F31" s="1112">
        <v>11026.468650686</v>
      </c>
      <c r="G31" s="1111">
        <v>37110651</v>
      </c>
      <c r="H31" s="1112">
        <v>790.06865808500015</v>
      </c>
      <c r="I31" s="1111">
        <v>1302368</v>
      </c>
      <c r="J31" s="1112">
        <v>2391.3893577140002</v>
      </c>
      <c r="K31" s="1111">
        <v>981481</v>
      </c>
      <c r="L31" s="1112">
        <v>127.76468063800002</v>
      </c>
      <c r="M31" s="1111">
        <v>725537</v>
      </c>
      <c r="N31" s="1112">
        <v>83.434007366000031</v>
      </c>
    </row>
    <row r="32" spans="1:15" ht="15.75" customHeight="1">
      <c r="A32" s="927"/>
      <c r="B32" s="846" t="s">
        <v>421</v>
      </c>
      <c r="C32" s="1111">
        <v>26118</v>
      </c>
      <c r="D32" s="1112">
        <v>896.21391612100001</v>
      </c>
      <c r="E32" s="1111">
        <v>4341</v>
      </c>
      <c r="F32" s="1112">
        <v>9456.3160196609988</v>
      </c>
      <c r="G32" s="1111">
        <v>36985510</v>
      </c>
      <c r="H32" s="1112">
        <v>813.61331272200005</v>
      </c>
      <c r="I32" s="1111">
        <v>1119762</v>
      </c>
      <c r="J32" s="1112">
        <v>2146.5428398930003</v>
      </c>
      <c r="K32" s="1111">
        <v>973822</v>
      </c>
      <c r="L32" s="1112">
        <v>161.14514072600002</v>
      </c>
      <c r="M32" s="1111">
        <v>661257</v>
      </c>
      <c r="N32" s="1112">
        <v>74.106136948999989</v>
      </c>
    </row>
    <row r="33" spans="1:20" ht="15.75" customHeight="1">
      <c r="A33" s="927"/>
      <c r="B33" s="846" t="s">
        <v>422</v>
      </c>
      <c r="C33" s="1111">
        <v>28964</v>
      </c>
      <c r="D33" s="1112">
        <v>1001.632360885</v>
      </c>
      <c r="E33" s="1111">
        <v>4701</v>
      </c>
      <c r="F33" s="1112">
        <v>9211.8844550670019</v>
      </c>
      <c r="G33" s="1111">
        <v>38759954</v>
      </c>
      <c r="H33" s="1112">
        <v>830.85713194400012</v>
      </c>
      <c r="I33" s="1111">
        <v>1120628</v>
      </c>
      <c r="J33" s="1112">
        <v>2190.1756621030008</v>
      </c>
      <c r="K33" s="1111">
        <v>980105</v>
      </c>
      <c r="L33" s="1112">
        <v>108.75819783</v>
      </c>
      <c r="M33" s="1111">
        <v>707336</v>
      </c>
      <c r="N33" s="1112">
        <v>78.539021712999983</v>
      </c>
    </row>
    <row r="34" spans="1:20" ht="15.75" customHeight="1">
      <c r="A34" s="927"/>
      <c r="B34" s="846" t="s">
        <v>411</v>
      </c>
      <c r="C34" s="1111">
        <v>28676</v>
      </c>
      <c r="D34" s="1112">
        <v>944.74900837900009</v>
      </c>
      <c r="E34" s="1111">
        <v>5095</v>
      </c>
      <c r="F34" s="1112">
        <v>10091.961853171999</v>
      </c>
      <c r="G34" s="1111">
        <v>41355507</v>
      </c>
      <c r="H34" s="1112">
        <v>876.31087307199994</v>
      </c>
      <c r="I34" s="1111">
        <v>1297436</v>
      </c>
      <c r="J34" s="1112">
        <v>2216.0440771359995</v>
      </c>
      <c r="K34" s="1111">
        <v>997760</v>
      </c>
      <c r="L34" s="1112">
        <v>122.79701404000001</v>
      </c>
      <c r="M34" s="1111">
        <v>755596</v>
      </c>
      <c r="N34" s="1112">
        <v>84.00513983899998</v>
      </c>
    </row>
    <row r="35" spans="1:20" ht="15.75" customHeight="1">
      <c r="A35" s="927"/>
      <c r="B35" s="846" t="s">
        <v>412</v>
      </c>
      <c r="C35" s="1111">
        <v>27534</v>
      </c>
      <c r="D35" s="1112">
        <v>969.29925408400004</v>
      </c>
      <c r="E35" s="1111">
        <v>4442</v>
      </c>
      <c r="F35" s="1112">
        <v>7329.8525736019992</v>
      </c>
      <c r="G35" s="1111">
        <v>40702089</v>
      </c>
      <c r="H35" s="1112">
        <v>869.86870111200005</v>
      </c>
      <c r="I35" s="1111">
        <v>1148362</v>
      </c>
      <c r="J35" s="1112">
        <v>2137.7949749250001</v>
      </c>
      <c r="K35" s="1111">
        <v>963538</v>
      </c>
      <c r="L35" s="1112">
        <v>148.83595481699996</v>
      </c>
      <c r="M35" s="1111">
        <v>707431</v>
      </c>
      <c r="N35" s="1112">
        <v>77.934531049000014</v>
      </c>
    </row>
    <row r="36" spans="1:20" ht="15.75" customHeight="1">
      <c r="A36" s="927"/>
      <c r="B36" s="846" t="s">
        <v>413</v>
      </c>
      <c r="C36" s="1111">
        <v>32063</v>
      </c>
      <c r="D36" s="1112">
        <v>1074.4684820009998</v>
      </c>
      <c r="E36" s="1111">
        <v>5306</v>
      </c>
      <c r="F36" s="1112">
        <v>7384.0970997389995</v>
      </c>
      <c r="G36" s="1111">
        <v>43358993</v>
      </c>
      <c r="H36" s="1112">
        <v>930.74147061700023</v>
      </c>
      <c r="I36" s="1111">
        <v>1218140</v>
      </c>
      <c r="J36" s="1112">
        <v>2312.3337837900003</v>
      </c>
      <c r="K36" s="1111">
        <v>981872</v>
      </c>
      <c r="L36" s="1112">
        <v>120.463444357</v>
      </c>
      <c r="M36" s="1111">
        <v>712347</v>
      </c>
      <c r="N36" s="1112">
        <v>82.074654931000012</v>
      </c>
    </row>
    <row r="37" spans="1:20" ht="20.55" customHeight="1">
      <c r="A37" s="927">
        <v>2026</v>
      </c>
      <c r="B37" s="846" t="s">
        <v>414</v>
      </c>
      <c r="C37" s="1111">
        <v>27582</v>
      </c>
      <c r="D37" s="1112">
        <v>1000.9</v>
      </c>
      <c r="E37" s="1111">
        <v>4525</v>
      </c>
      <c r="F37" s="1112">
        <v>8832.1</v>
      </c>
      <c r="G37" s="1111">
        <v>42473348</v>
      </c>
      <c r="H37" s="1112">
        <v>926.5</v>
      </c>
      <c r="I37" s="1111">
        <v>1247886</v>
      </c>
      <c r="J37" s="1112">
        <v>2225.9</v>
      </c>
      <c r="K37" s="1111">
        <v>970801</v>
      </c>
      <c r="L37" s="1112">
        <v>119.9</v>
      </c>
      <c r="M37" s="1111">
        <v>702183</v>
      </c>
      <c r="N37" s="1112">
        <v>82.3</v>
      </c>
    </row>
    <row r="38" spans="1:20" ht="15.75" customHeight="1">
      <c r="A38" s="927"/>
      <c r="B38" s="846" t="s">
        <v>415</v>
      </c>
      <c r="C38" s="1111">
        <v>27090</v>
      </c>
      <c r="D38" s="1112">
        <v>892.2</v>
      </c>
      <c r="E38" s="1111">
        <v>4581</v>
      </c>
      <c r="F38" s="1112">
        <v>8940.7999999999993</v>
      </c>
      <c r="G38" s="1111">
        <v>37542998</v>
      </c>
      <c r="H38" s="1112">
        <v>862.2</v>
      </c>
      <c r="I38" s="1111">
        <v>1180930</v>
      </c>
      <c r="J38" s="1112">
        <v>2195.8000000000002</v>
      </c>
      <c r="K38" s="1111">
        <v>865846</v>
      </c>
      <c r="L38" s="1112">
        <v>137.4</v>
      </c>
      <c r="M38" s="1111">
        <v>621104</v>
      </c>
      <c r="N38" s="1112">
        <v>73.8</v>
      </c>
    </row>
    <row r="39" spans="1:20" ht="15.75" customHeight="1">
      <c r="A39" s="927"/>
      <c r="B39" s="846" t="s">
        <v>416</v>
      </c>
      <c r="C39" s="1111">
        <v>29617</v>
      </c>
      <c r="D39" s="1112">
        <v>985.02484068099989</v>
      </c>
      <c r="E39" s="1111">
        <v>4196</v>
      </c>
      <c r="F39" s="1112">
        <f>7589.050678634-0.01</f>
        <v>7589.040678634</v>
      </c>
      <c r="G39" s="1111">
        <v>39241248</v>
      </c>
      <c r="H39" s="1112">
        <v>908.36476473599998</v>
      </c>
      <c r="I39" s="1111">
        <v>1167161</v>
      </c>
      <c r="J39" s="1112">
        <v>2078.579848249</v>
      </c>
      <c r="K39" s="1111">
        <v>959054</v>
      </c>
      <c r="L39" s="1112">
        <f>90.15046051-0.01</f>
        <v>90.140460509999997</v>
      </c>
      <c r="M39" s="1111">
        <v>761954</v>
      </c>
      <c r="N39" s="1112">
        <v>107.1805708</v>
      </c>
    </row>
    <row r="40" spans="1:20" ht="15.75" customHeight="1">
      <c r="A40" s="927"/>
      <c r="B40" s="846" t="s">
        <v>417</v>
      </c>
      <c r="C40" s="1111">
        <v>27951</v>
      </c>
      <c r="D40" s="1112">
        <v>1166.7</v>
      </c>
      <c r="E40" s="1111">
        <v>4840</v>
      </c>
      <c r="F40" s="1112">
        <v>9004.2000000000007</v>
      </c>
      <c r="G40" s="1111">
        <v>41687384</v>
      </c>
      <c r="H40" s="1112">
        <v>865.4</v>
      </c>
      <c r="I40" s="1111">
        <v>1359644</v>
      </c>
      <c r="J40" s="1112">
        <v>2517.1</v>
      </c>
      <c r="K40" s="1111">
        <v>979614</v>
      </c>
      <c r="L40" s="1112">
        <v>110</v>
      </c>
      <c r="M40" s="1111">
        <v>612064</v>
      </c>
      <c r="N40" s="1112">
        <v>73.400000000000006</v>
      </c>
    </row>
    <row r="41" spans="1:20" ht="15.75" customHeight="1">
      <c r="A41" s="927"/>
      <c r="B41" s="846" t="s">
        <v>418</v>
      </c>
      <c r="C41" s="1111">
        <v>24263</v>
      </c>
      <c r="D41" s="1112">
        <v>721.86842405100003</v>
      </c>
      <c r="E41" s="1111">
        <v>3795</v>
      </c>
      <c r="F41" s="1112">
        <v>6652.6291802340002</v>
      </c>
      <c r="G41" s="1111">
        <v>45424028</v>
      </c>
      <c r="H41" s="1112">
        <v>948.14201689799972</v>
      </c>
      <c r="I41" s="1111">
        <v>1175475</v>
      </c>
      <c r="J41" s="1112">
        <v>1965.817144677</v>
      </c>
      <c r="K41" s="1111">
        <v>991259</v>
      </c>
      <c r="L41" s="1112">
        <v>112.67926352100001</v>
      </c>
      <c r="M41" s="1111">
        <v>684449</v>
      </c>
      <c r="N41" s="1112">
        <v>78.323928622000011</v>
      </c>
    </row>
    <row r="42" spans="1:20" ht="15.75" customHeight="1">
      <c r="A42" s="927"/>
      <c r="B42" s="846" t="s">
        <v>419</v>
      </c>
      <c r="C42" s="1111">
        <v>29373</v>
      </c>
      <c r="D42" s="1112">
        <v>958.97737965299996</v>
      </c>
      <c r="E42" s="1111">
        <v>4452</v>
      </c>
      <c r="F42" s="1112">
        <v>8564.0041009670003</v>
      </c>
      <c r="G42" s="1111">
        <v>41765410</v>
      </c>
      <c r="H42" s="1112">
        <v>930.43498805599984</v>
      </c>
      <c r="I42" s="1111">
        <v>1190780</v>
      </c>
      <c r="J42" s="1112">
        <v>2212.9799817339999</v>
      </c>
      <c r="K42" s="1111">
        <v>944091</v>
      </c>
      <c r="L42" s="1112">
        <v>102.28702149600001</v>
      </c>
      <c r="M42" s="1111">
        <v>592031</v>
      </c>
      <c r="N42" s="1112">
        <v>71.74602701100001</v>
      </c>
    </row>
    <row r="43" spans="1:20" ht="15.75" customHeight="1">
      <c r="A43" s="927"/>
      <c r="B43" s="846" t="s">
        <v>420</v>
      </c>
      <c r="C43" s="1111">
        <v>28587</v>
      </c>
      <c r="D43" s="1112">
        <v>967.96988849000013</v>
      </c>
      <c r="E43" s="1111">
        <v>4574</v>
      </c>
      <c r="F43" s="1112">
        <v>8041.2776227270006</v>
      </c>
      <c r="G43" s="1111">
        <v>42673536</v>
      </c>
      <c r="H43" s="1112">
        <v>928.7957013350001</v>
      </c>
      <c r="I43" s="1111">
        <v>1381459</v>
      </c>
      <c r="J43" s="1112">
        <v>2190.1628898670006</v>
      </c>
      <c r="K43" s="1111">
        <v>960644</v>
      </c>
      <c r="L43" s="1112">
        <v>128.566351029</v>
      </c>
      <c r="M43" s="1111">
        <v>623122</v>
      </c>
      <c r="N43" s="1112">
        <v>74.712956687000002</v>
      </c>
    </row>
    <row r="44" spans="1:20" s="1566" customFormat="1" ht="20.25" customHeight="1">
      <c r="A44" s="1564" t="s">
        <v>1214</v>
      </c>
      <c r="B44" s="1564"/>
      <c r="C44" s="1564"/>
      <c r="D44" s="1564"/>
      <c r="E44" s="1564"/>
      <c r="F44" s="1564"/>
      <c r="G44" s="1564"/>
      <c r="H44" s="1564"/>
      <c r="I44" s="1565"/>
      <c r="J44" s="1565"/>
      <c r="K44" s="1565"/>
      <c r="L44" s="1565"/>
      <c r="M44" s="1548"/>
      <c r="N44" s="1548" t="s">
        <v>1215</v>
      </c>
      <c r="T44" s="1567"/>
    </row>
    <row r="45" spans="1:20">
      <c r="A45" s="1501" t="s">
        <v>1216</v>
      </c>
      <c r="B45" s="1538"/>
      <c r="C45" s="1538"/>
      <c r="D45" s="1538"/>
      <c r="E45" s="1538"/>
      <c r="F45" s="1538"/>
      <c r="M45" s="1568"/>
      <c r="N45" s="1568" t="s">
        <v>1217</v>
      </c>
    </row>
    <row r="46" spans="1:20">
      <c r="A46" s="1501" t="s">
        <v>1747</v>
      </c>
      <c r="B46" s="1538"/>
      <c r="C46" s="1538"/>
      <c r="D46" s="1538"/>
      <c r="E46" s="1538"/>
      <c r="F46" s="1538"/>
      <c r="G46" s="1569"/>
      <c r="H46" s="1569"/>
      <c r="I46" s="1570"/>
      <c r="J46" s="1570"/>
      <c r="K46" s="1570"/>
      <c r="L46" s="1570"/>
      <c r="M46" s="1568"/>
      <c r="N46" s="1568" t="s">
        <v>1218</v>
      </c>
    </row>
    <row r="47" spans="1:20">
      <c r="A47" s="1501" t="s">
        <v>1748</v>
      </c>
      <c r="B47" s="1538"/>
      <c r="C47" s="1538"/>
      <c r="D47" s="1538"/>
      <c r="E47" s="1538"/>
      <c r="F47" s="1538"/>
      <c r="M47" s="1568"/>
      <c r="N47" s="1568" t="s">
        <v>1749</v>
      </c>
    </row>
    <row r="48" spans="1:20">
      <c r="A48" s="1501" t="s">
        <v>1219</v>
      </c>
    </row>
    <row r="49" spans="1:14">
      <c r="A49" s="1501" t="s">
        <v>1220</v>
      </c>
      <c r="B49" s="1538"/>
      <c r="C49" s="1538"/>
      <c r="D49" s="1538"/>
      <c r="E49" s="1538"/>
      <c r="F49" s="1538"/>
      <c r="M49" s="1568"/>
      <c r="N49" s="1568" t="s">
        <v>1221</v>
      </c>
    </row>
    <row r="50" spans="1:14">
      <c r="G50" s="1571"/>
      <c r="H50" s="1571"/>
      <c r="I50" s="1571"/>
      <c r="J50" s="1571"/>
      <c r="K50" s="1571"/>
      <c r="L50" s="1571"/>
    </row>
    <row r="51" spans="1:14">
      <c r="A51" s="1526" t="s">
        <v>1222</v>
      </c>
      <c r="B51" s="1526"/>
      <c r="C51" s="1570"/>
      <c r="D51" s="1570"/>
      <c r="E51" s="1526"/>
      <c r="F51" s="1526"/>
      <c r="G51" s="1526"/>
      <c r="H51" s="1526"/>
      <c r="I51" s="1526"/>
      <c r="J51" s="1526"/>
      <c r="K51" s="1526"/>
      <c r="L51" s="1526"/>
      <c r="M51" s="1572"/>
      <c r="N51" s="1572"/>
    </row>
    <row r="52" spans="1:14">
      <c r="M52" s="1573"/>
      <c r="N52" s="1573"/>
    </row>
    <row r="53" spans="1:14">
      <c r="C53" s="1571"/>
      <c r="D53" s="1571"/>
    </row>
    <row r="54" spans="1:14">
      <c r="C54" s="1571"/>
      <c r="D54" s="1571"/>
    </row>
  </sheetData>
  <mergeCells count="19">
    <mergeCell ref="C7:F7"/>
    <mergeCell ref="K10:L10"/>
    <mergeCell ref="A7:B12"/>
    <mergeCell ref="M7:N8"/>
    <mergeCell ref="G7:L7"/>
    <mergeCell ref="G8:L8"/>
    <mergeCell ref="M9:N10"/>
    <mergeCell ref="K9:L9"/>
    <mergeCell ref="C8:F8"/>
    <mergeCell ref="I9:J9"/>
    <mergeCell ref="I10:J10"/>
    <mergeCell ref="G10:H10"/>
    <mergeCell ref="G9:H9"/>
    <mergeCell ref="A14:B14"/>
    <mergeCell ref="E9:F9"/>
    <mergeCell ref="E10:F10"/>
    <mergeCell ref="C9:D9"/>
    <mergeCell ref="C10:D10"/>
    <mergeCell ref="A13:B13"/>
  </mergeCells>
  <printOptions horizontalCentered="1" verticalCentered="1"/>
  <pageMargins left="0.25" right="0.25" top="0" bottom="0" header="0.05" footer="0.25"/>
  <pageSetup scale="57"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pageSetUpPr fitToPage="1"/>
  </sheetPr>
  <dimension ref="A1:N50"/>
  <sheetViews>
    <sheetView zoomScale="80" zoomScaleNormal="80" workbookViewId="0">
      <pane ySplit="12" topLeftCell="A29" activePane="bottomLeft" state="frozen"/>
      <selection activeCell="B2" sqref="B2"/>
      <selection pane="bottomLeft" activeCell="I40" sqref="I40"/>
    </sheetView>
  </sheetViews>
  <sheetFormatPr defaultColWidth="18.21875" defaultRowHeight="15.6"/>
  <cols>
    <col min="1" max="1" width="10.77734375" style="939" customWidth="1"/>
    <col min="2" max="2" width="10.77734375" style="845" customWidth="1"/>
    <col min="3" max="12" width="17.77734375" style="845" customWidth="1"/>
    <col min="13" max="13" width="10.44140625" style="845" customWidth="1"/>
    <col min="14" max="14" width="9.21875" style="845" bestFit="1" customWidth="1"/>
    <col min="15" max="16384" width="18.21875" style="845"/>
  </cols>
  <sheetData>
    <row r="1" spans="1:12" ht="18" customHeight="1">
      <c r="A1" s="1539" t="s">
        <v>1223</v>
      </c>
      <c r="B1" s="1539"/>
      <c r="C1" s="1539"/>
      <c r="D1" s="1539"/>
      <c r="E1" s="1539"/>
      <c r="F1" s="1539"/>
      <c r="G1" s="1539"/>
      <c r="H1" s="1539"/>
      <c r="I1" s="1539"/>
      <c r="J1" s="1539"/>
      <c r="K1" s="1539"/>
      <c r="L1" s="1539"/>
    </row>
    <row r="2" spans="1:12" ht="18" customHeight="1">
      <c r="A2" s="1540" t="s">
        <v>80</v>
      </c>
      <c r="B2" s="1540"/>
      <c r="C2" s="1540"/>
      <c r="D2" s="1540"/>
      <c r="E2" s="1540"/>
      <c r="F2" s="1540"/>
      <c r="G2" s="1540"/>
      <c r="H2" s="1540"/>
      <c r="I2" s="1540"/>
      <c r="J2" s="1540"/>
      <c r="K2" s="1540"/>
      <c r="L2" s="1540"/>
    </row>
    <row r="3" spans="1:12">
      <c r="A3" s="1541" t="s">
        <v>79</v>
      </c>
      <c r="B3" s="1541"/>
      <c r="C3" s="1541"/>
      <c r="D3" s="1541"/>
      <c r="E3" s="1541"/>
      <c r="F3" s="1541"/>
      <c r="G3" s="1541"/>
      <c r="H3" s="1541"/>
      <c r="I3" s="1541"/>
      <c r="J3" s="1541"/>
      <c r="K3" s="1541"/>
      <c r="L3" s="1541"/>
    </row>
    <row r="4" spans="1:12" ht="4.5" customHeight="1">
      <c r="A4" s="948"/>
      <c r="B4" s="948"/>
      <c r="C4" s="948"/>
      <c r="D4" s="948"/>
      <c r="E4" s="948"/>
      <c r="F4" s="948"/>
      <c r="G4" s="948"/>
      <c r="H4" s="948"/>
      <c r="I4" s="948"/>
      <c r="J4" s="948"/>
      <c r="K4" s="948"/>
      <c r="L4" s="948"/>
    </row>
    <row r="5" spans="1:12" hidden="1">
      <c r="A5" s="948"/>
      <c r="B5" s="948"/>
      <c r="C5" s="948"/>
      <c r="D5" s="948"/>
      <c r="E5" s="948"/>
      <c r="F5" s="948"/>
      <c r="G5" s="948"/>
      <c r="H5" s="948"/>
      <c r="I5" s="948"/>
      <c r="J5" s="948"/>
      <c r="K5" s="948"/>
      <c r="L5" s="948"/>
    </row>
    <row r="6" spans="1:12" hidden="1">
      <c r="A6" s="948"/>
      <c r="B6" s="948"/>
      <c r="C6" s="948"/>
      <c r="D6" s="948"/>
      <c r="E6" s="948"/>
      <c r="F6" s="948"/>
      <c r="G6" s="948"/>
      <c r="H6" s="948"/>
      <c r="I6" s="948"/>
      <c r="J6" s="948"/>
      <c r="K6" s="948"/>
      <c r="L6" s="948"/>
    </row>
    <row r="7" spans="1:12" hidden="1">
      <c r="A7" s="948"/>
      <c r="B7" s="948"/>
      <c r="C7" s="948"/>
      <c r="D7" s="948"/>
      <c r="E7" s="948"/>
      <c r="F7" s="948"/>
      <c r="G7" s="948"/>
      <c r="H7" s="948"/>
      <c r="I7" s="948"/>
      <c r="J7" s="948"/>
      <c r="K7" s="948"/>
      <c r="L7" s="948"/>
    </row>
    <row r="8" spans="1:12">
      <c r="A8" s="947"/>
    </row>
    <row r="9" spans="1:12" s="945" customFormat="1" ht="27" customHeight="1">
      <c r="A9" s="1542" t="s">
        <v>1193</v>
      </c>
      <c r="B9" s="1542"/>
      <c r="C9" s="1285" t="s">
        <v>1224</v>
      </c>
      <c r="D9" s="1286"/>
      <c r="E9" s="1285" t="s">
        <v>1225</v>
      </c>
      <c r="F9" s="1286"/>
      <c r="G9" s="1286"/>
      <c r="H9" s="1286"/>
      <c r="I9" s="1506" t="s">
        <v>1226</v>
      </c>
      <c r="J9" s="1506"/>
      <c r="K9" s="1506" t="s">
        <v>1227</v>
      </c>
      <c r="L9" s="1506"/>
    </row>
    <row r="10" spans="1:12" s="945" customFormat="1">
      <c r="A10" s="1542"/>
      <c r="B10" s="1542"/>
      <c r="C10" s="1288" t="s">
        <v>1228</v>
      </c>
      <c r="D10" s="1289"/>
      <c r="E10" s="1288" t="s">
        <v>1229</v>
      </c>
      <c r="F10" s="1289"/>
      <c r="G10" s="1289"/>
      <c r="H10" s="1289"/>
      <c r="I10" s="1512" t="s">
        <v>1230</v>
      </c>
      <c r="J10" s="1512"/>
      <c r="K10" s="1512" t="s">
        <v>1231</v>
      </c>
      <c r="L10" s="1512"/>
    </row>
    <row r="11" spans="1:12" s="945" customFormat="1" ht="31.2">
      <c r="A11" s="1542"/>
      <c r="B11" s="1542"/>
      <c r="C11" s="920" t="s">
        <v>1210</v>
      </c>
      <c r="D11" s="920" t="s">
        <v>1232</v>
      </c>
      <c r="E11" s="920" t="s">
        <v>1210</v>
      </c>
      <c r="F11" s="920" t="s">
        <v>1233</v>
      </c>
      <c r="G11" s="920" t="s">
        <v>1232</v>
      </c>
      <c r="H11" s="920" t="s">
        <v>1234</v>
      </c>
      <c r="I11" s="920" t="s">
        <v>1210</v>
      </c>
      <c r="J11" s="920" t="s">
        <v>1232</v>
      </c>
      <c r="K11" s="920" t="s">
        <v>1210</v>
      </c>
      <c r="L11" s="920" t="s">
        <v>1232</v>
      </c>
    </row>
    <row r="12" spans="1:12" s="1543" customFormat="1" ht="46.8">
      <c r="A12" s="1542"/>
      <c r="B12" s="1542"/>
      <c r="C12" s="946" t="s">
        <v>1212</v>
      </c>
      <c r="D12" s="946" t="s">
        <v>1235</v>
      </c>
      <c r="E12" s="946" t="s">
        <v>1212</v>
      </c>
      <c r="F12" s="946" t="s">
        <v>1236</v>
      </c>
      <c r="G12" s="946" t="s">
        <v>1235</v>
      </c>
      <c r="H12" s="946" t="s">
        <v>1236</v>
      </c>
      <c r="I12" s="946" t="s">
        <v>1212</v>
      </c>
      <c r="J12" s="946" t="s">
        <v>1235</v>
      </c>
      <c r="K12" s="946" t="s">
        <v>1212</v>
      </c>
      <c r="L12" s="946" t="s">
        <v>1235</v>
      </c>
    </row>
    <row r="13" spans="1:12" s="1543" customFormat="1" hidden="1">
      <c r="A13" s="1544">
        <v>2016</v>
      </c>
      <c r="B13" s="1545"/>
      <c r="C13" s="959">
        <v>3303295</v>
      </c>
      <c r="D13" s="959">
        <v>10087.672788426</v>
      </c>
      <c r="E13" s="959">
        <v>88416</v>
      </c>
      <c r="F13" s="959">
        <f>E13/C13</f>
        <v>2.6766001825450043E-2</v>
      </c>
      <c r="G13" s="959">
        <v>294.89999999999998</v>
      </c>
      <c r="H13" s="959">
        <f>G13/D13</f>
        <v>2.9233700000494744E-2</v>
      </c>
      <c r="I13" s="959">
        <v>16257</v>
      </c>
      <c r="J13" s="959">
        <v>76.900000000000006</v>
      </c>
      <c r="K13" s="959">
        <v>72159</v>
      </c>
      <c r="L13" s="959">
        <v>218</v>
      </c>
    </row>
    <row r="14" spans="1:12" ht="14.25" customHeight="1">
      <c r="A14" s="927">
        <v>2017</v>
      </c>
      <c r="B14" s="1106"/>
      <c r="C14" s="1107">
        <v>3300941</v>
      </c>
      <c r="D14" s="1108">
        <v>10058.5</v>
      </c>
      <c r="E14" s="803">
        <v>105111</v>
      </c>
      <c r="F14" s="1109">
        <v>3.1842738176780502E-2</v>
      </c>
      <c r="G14" s="1094">
        <v>369.79999999999995</v>
      </c>
      <c r="H14" s="1109">
        <v>3.6764925187652231E-2</v>
      </c>
      <c r="I14" s="803">
        <v>21042</v>
      </c>
      <c r="J14" s="1094">
        <v>139.19999999999999</v>
      </c>
      <c r="K14" s="803">
        <v>84069</v>
      </c>
      <c r="L14" s="1094">
        <v>230.6</v>
      </c>
    </row>
    <row r="15" spans="1:12" ht="14.25" customHeight="1">
      <c r="A15" s="927">
        <v>2018</v>
      </c>
      <c r="B15" s="1106"/>
      <c r="C15" s="1107">
        <v>3166987</v>
      </c>
      <c r="D15" s="1108">
        <v>9472.1</v>
      </c>
      <c r="E15" s="803">
        <v>99961</v>
      </c>
      <c r="F15" s="1109">
        <v>3.1563438687939038E-2</v>
      </c>
      <c r="G15" s="1094">
        <v>318.39999999999998</v>
      </c>
      <c r="H15" s="1109">
        <v>3.3614509981946976E-2</v>
      </c>
      <c r="I15" s="803">
        <v>20836</v>
      </c>
      <c r="J15" s="1094">
        <v>66.7</v>
      </c>
      <c r="K15" s="803">
        <v>79125</v>
      </c>
      <c r="L15" s="1094">
        <v>251.7</v>
      </c>
    </row>
    <row r="16" spans="1:12" ht="14.25" customHeight="1">
      <c r="A16" s="927">
        <v>2019</v>
      </c>
      <c r="B16" s="1106"/>
      <c r="C16" s="1107">
        <v>2964508</v>
      </c>
      <c r="D16" s="1108">
        <v>8737.7999999999993</v>
      </c>
      <c r="E16" s="803">
        <v>92571</v>
      </c>
      <c r="F16" s="1109">
        <v>3.1226429478348514E-2</v>
      </c>
      <c r="G16" s="1094">
        <v>252.5</v>
      </c>
      <c r="H16" s="1109">
        <v>2.8897434136739227E-2</v>
      </c>
      <c r="I16" s="803">
        <v>19039</v>
      </c>
      <c r="J16" s="1094">
        <v>59.9</v>
      </c>
      <c r="K16" s="803">
        <v>73532</v>
      </c>
      <c r="L16" s="1094">
        <v>192.20000000000002</v>
      </c>
    </row>
    <row r="17" spans="1:14" ht="14.25" customHeight="1">
      <c r="A17" s="927">
        <v>2020</v>
      </c>
      <c r="B17" s="1106"/>
      <c r="C17" s="1107">
        <v>2331423</v>
      </c>
      <c r="D17" s="1108">
        <v>7266.4000000000005</v>
      </c>
      <c r="E17" s="803">
        <v>63668</v>
      </c>
      <c r="F17" s="1109">
        <v>2.7308643690999015E-2</v>
      </c>
      <c r="G17" s="1094">
        <v>195.49999999999997</v>
      </c>
      <c r="H17" s="1109">
        <v>2.6904657051634917E-2</v>
      </c>
      <c r="I17" s="803">
        <v>13509</v>
      </c>
      <c r="J17" s="1094">
        <v>53</v>
      </c>
      <c r="K17" s="803">
        <v>50159</v>
      </c>
      <c r="L17" s="1094">
        <v>142.5</v>
      </c>
    </row>
    <row r="18" spans="1:14" ht="14.25" customHeight="1">
      <c r="A18" s="927">
        <v>2021</v>
      </c>
      <c r="B18" s="1106"/>
      <c r="C18" s="1107">
        <v>2175075</v>
      </c>
      <c r="D18" s="1108">
        <v>7254.7903695710011</v>
      </c>
      <c r="E18" s="803">
        <v>56047</v>
      </c>
      <c r="F18" s="1109">
        <v>2.7308643690999015E-2</v>
      </c>
      <c r="G18" s="1094">
        <v>242.183039342</v>
      </c>
      <c r="H18" s="1109">
        <v>2.6904657051634917E-2</v>
      </c>
      <c r="I18" s="803">
        <v>11426</v>
      </c>
      <c r="J18" s="1094">
        <v>93.595895901999995</v>
      </c>
      <c r="K18" s="803">
        <v>44621</v>
      </c>
      <c r="L18" s="1094">
        <v>148.71194344</v>
      </c>
    </row>
    <row r="19" spans="1:14" ht="14.25" customHeight="1">
      <c r="A19" s="927">
        <v>2022</v>
      </c>
      <c r="B19" s="1106"/>
      <c r="C19" s="1107">
        <v>2117536</v>
      </c>
      <c r="D19" s="1108">
        <v>7450.8159090409999</v>
      </c>
      <c r="E19" s="803">
        <v>55010</v>
      </c>
      <c r="F19" s="1109">
        <v>2.7308643690999015E-2</v>
      </c>
      <c r="G19" s="1094">
        <v>231.46888278699998</v>
      </c>
      <c r="H19" s="1109">
        <v>2.6904657051634917E-2</v>
      </c>
      <c r="I19" s="803">
        <v>10293</v>
      </c>
      <c r="J19" s="1094">
        <v>99.525927682000003</v>
      </c>
      <c r="K19" s="803">
        <v>44717</v>
      </c>
      <c r="L19" s="1094">
        <v>131.92682510499998</v>
      </c>
    </row>
    <row r="20" spans="1:14" ht="14.25" customHeight="1">
      <c r="A20" s="927">
        <v>2023</v>
      </c>
      <c r="B20" s="1106"/>
      <c r="C20" s="1107">
        <v>2035716</v>
      </c>
      <c r="D20" s="1108">
        <v>7039.9412698570004</v>
      </c>
      <c r="E20" s="803">
        <v>56777</v>
      </c>
      <c r="F20" s="1109">
        <v>2.7308643690999015E-2</v>
      </c>
      <c r="G20" s="1094">
        <v>361.26904253600003</v>
      </c>
      <c r="H20" s="1109">
        <v>2.6904657051634917E-2</v>
      </c>
      <c r="I20" s="803">
        <v>12166</v>
      </c>
      <c r="J20" s="1094">
        <v>173.856249375</v>
      </c>
      <c r="K20" s="803">
        <v>44611</v>
      </c>
      <c r="L20" s="1094">
        <v>187.34384906</v>
      </c>
    </row>
    <row r="21" spans="1:14" ht="14.25" customHeight="1">
      <c r="A21" s="927">
        <v>2024</v>
      </c>
      <c r="B21" s="1106"/>
      <c r="C21" s="1107">
        <v>1923263</v>
      </c>
      <c r="D21" s="1108">
        <v>6552.4478915069994</v>
      </c>
      <c r="E21" s="803">
        <v>45900</v>
      </c>
      <c r="F21" s="1109">
        <v>2.7308643690999015E-2</v>
      </c>
      <c r="G21" s="1094">
        <v>224.55367195800002</v>
      </c>
      <c r="H21" s="1109">
        <v>2.6904657051634917E-2</v>
      </c>
      <c r="I21" s="803">
        <v>9800</v>
      </c>
      <c r="J21" s="1094">
        <v>50.385771542000001</v>
      </c>
      <c r="K21" s="803">
        <v>36100</v>
      </c>
      <c r="L21" s="1094">
        <v>174.18008676299999</v>
      </c>
      <c r="M21" s="1190"/>
      <c r="N21" s="1190"/>
    </row>
    <row r="22" spans="1:14" ht="14.25" customHeight="1">
      <c r="A22" s="943">
        <v>2025</v>
      </c>
      <c r="B22" s="983"/>
      <c r="C22" s="984">
        <f>SUM(C25:C28)</f>
        <v>1807817</v>
      </c>
      <c r="D22" s="985">
        <f>SUM(D25:D28)</f>
        <v>6411.2295231420003</v>
      </c>
      <c r="E22" s="923">
        <f>SUM(E25:E28)</f>
        <v>39731</v>
      </c>
      <c r="F22" s="986">
        <v>2.7308643690999015E-2</v>
      </c>
      <c r="G22" s="987">
        <f>SUM(G25:G28)</f>
        <v>150.25414351500001</v>
      </c>
      <c r="H22" s="986">
        <v>2.6904657051634917E-2</v>
      </c>
      <c r="I22" s="923">
        <f>SUM(I25:I28)</f>
        <v>10082</v>
      </c>
      <c r="J22" s="987">
        <f>SUM(J25:J28)</f>
        <v>37.931041380000003</v>
      </c>
      <c r="K22" s="923">
        <f>SUM(K25:K28)</f>
        <v>29649</v>
      </c>
      <c r="L22" s="987">
        <f>SUM(L25:L28)</f>
        <v>112.243102135</v>
      </c>
      <c r="M22" s="1190"/>
      <c r="N22" s="1190"/>
    </row>
    <row r="23" spans="1:14" ht="21" customHeight="1">
      <c r="A23" s="927">
        <v>2024</v>
      </c>
      <c r="B23" s="1106" t="s">
        <v>237</v>
      </c>
      <c r="C23" s="803">
        <v>474981</v>
      </c>
      <c r="D23" s="1094">
        <v>1615.7808093180001</v>
      </c>
      <c r="E23" s="803">
        <v>11811</v>
      </c>
      <c r="F23" s="1109">
        <v>2.4866257808207066E-2</v>
      </c>
      <c r="G23" s="1094">
        <v>40.978806246000005</v>
      </c>
      <c r="H23" s="1109">
        <v>2.5361612175166644E-2</v>
      </c>
      <c r="I23" s="803">
        <v>2519</v>
      </c>
      <c r="J23" s="1094">
        <v>12.295529341</v>
      </c>
      <c r="K23" s="803">
        <v>9292</v>
      </c>
      <c r="L23" s="1094">
        <v>28.663276904999996</v>
      </c>
      <c r="M23" s="1190"/>
      <c r="N23" s="1190"/>
    </row>
    <row r="24" spans="1:14" ht="15" customHeight="1">
      <c r="A24" s="927"/>
      <c r="B24" s="1106" t="s">
        <v>238</v>
      </c>
      <c r="C24" s="803">
        <v>484952</v>
      </c>
      <c r="D24" s="1094">
        <v>1673.1073218239999</v>
      </c>
      <c r="E24" s="803">
        <v>11095</v>
      </c>
      <c r="F24" s="1109">
        <v>2.2878552928949671E-2</v>
      </c>
      <c r="G24" s="1094">
        <v>72.005114173999999</v>
      </c>
      <c r="H24" s="1109">
        <v>4.30367575556964E-2</v>
      </c>
      <c r="I24" s="803">
        <v>2553</v>
      </c>
      <c r="J24" s="1094">
        <v>9.2789886619999997</v>
      </c>
      <c r="K24" s="803">
        <v>8542</v>
      </c>
      <c r="L24" s="1094">
        <v>62.746125511999992</v>
      </c>
      <c r="M24" s="1190"/>
      <c r="N24" s="1190"/>
    </row>
    <row r="25" spans="1:14" ht="21" customHeight="1">
      <c r="A25" s="927">
        <v>2025</v>
      </c>
      <c r="B25" s="1106" t="s">
        <v>239</v>
      </c>
      <c r="C25" s="803">
        <v>438378</v>
      </c>
      <c r="D25" s="1094">
        <v>1570.3227586580001</v>
      </c>
      <c r="E25" s="803">
        <v>10025</v>
      </c>
      <c r="F25" s="1109">
        <v>2.2868392118217611E-2</v>
      </c>
      <c r="G25" s="1094">
        <v>45.871916663</v>
      </c>
      <c r="H25" s="1109">
        <v>2.9211775993237338E-2</v>
      </c>
      <c r="I25" s="803">
        <v>2413</v>
      </c>
      <c r="J25" s="1094">
        <v>10.611982857000001</v>
      </c>
      <c r="K25" s="803">
        <v>7612</v>
      </c>
      <c r="L25" s="1094">
        <v>35.259933805999999</v>
      </c>
      <c r="M25" s="1190"/>
      <c r="N25" s="1190"/>
    </row>
    <row r="26" spans="1:14" ht="15" customHeight="1">
      <c r="A26" s="927"/>
      <c r="B26" s="1106" t="s">
        <v>240</v>
      </c>
      <c r="C26" s="803">
        <v>460747</v>
      </c>
      <c r="D26" s="1094">
        <v>1720.1776059280003</v>
      </c>
      <c r="E26" s="803">
        <v>10083</v>
      </c>
      <c r="F26" s="1109">
        <v>2.1884027459755571E-2</v>
      </c>
      <c r="G26" s="1094">
        <v>44.000077470999997</v>
      </c>
      <c r="H26" s="1109">
        <v>2.5578799142233259E-2</v>
      </c>
      <c r="I26" s="803">
        <v>2441</v>
      </c>
      <c r="J26" s="1094">
        <v>10.493805319000002</v>
      </c>
      <c r="K26" s="803">
        <v>7642</v>
      </c>
      <c r="L26" s="1094">
        <v>33.506272152000001</v>
      </c>
      <c r="M26" s="1190"/>
      <c r="N26" s="1190"/>
    </row>
    <row r="27" spans="1:14" ht="15" customHeight="1">
      <c r="A27" s="927"/>
      <c r="B27" s="1106" t="s">
        <v>237</v>
      </c>
      <c r="C27" s="803">
        <v>448493</v>
      </c>
      <c r="D27" s="1094">
        <v>1483.5473861060002</v>
      </c>
      <c r="E27" s="803">
        <v>9940</v>
      </c>
      <c r="F27" s="1109">
        <v>2.2163110684001758E-2</v>
      </c>
      <c r="G27" s="1094">
        <v>30.670102517999997</v>
      </c>
      <c r="H27" s="1109">
        <v>2.0673490314658951E-2</v>
      </c>
      <c r="I27" s="803">
        <v>2585</v>
      </c>
      <c r="J27" s="1094">
        <v>8.3638618690000008</v>
      </c>
      <c r="K27" s="803">
        <v>7355</v>
      </c>
      <c r="L27" s="1094">
        <v>22.276240649000002</v>
      </c>
      <c r="M27" s="1190"/>
      <c r="N27" s="1190"/>
    </row>
    <row r="28" spans="1:14" ht="15" customHeight="1">
      <c r="A28" s="927"/>
      <c r="B28" s="1106" t="s">
        <v>238</v>
      </c>
      <c r="C28" s="803">
        <f>SUM(C34:C36)</f>
        <v>460199</v>
      </c>
      <c r="D28" s="1094">
        <f>SUM(D34:D36)-0.02</f>
        <v>1637.1817724499999</v>
      </c>
      <c r="E28" s="803">
        <f>SUM(E34:E36)</f>
        <v>9683</v>
      </c>
      <c r="F28" s="1109">
        <f>E28/C28</f>
        <v>2.1040897524766459E-2</v>
      </c>
      <c r="G28" s="1094">
        <f>SUM(G34:G36)+0.05</f>
        <v>29.712046863000001</v>
      </c>
      <c r="H28" s="1109">
        <f>G28/D28</f>
        <v>1.8148288334860152E-2</v>
      </c>
      <c r="I28" s="803">
        <f>SUM(I34:I36)</f>
        <v>2643</v>
      </c>
      <c r="J28" s="1094">
        <f>SUM(J34:J36)</f>
        <v>8.4613913350000001</v>
      </c>
      <c r="K28" s="803">
        <f>SUM(K34:K36)</f>
        <v>7040</v>
      </c>
      <c r="L28" s="1094">
        <f>SUM(L34:L36)</f>
        <v>21.200655527999999</v>
      </c>
      <c r="M28" s="1190"/>
      <c r="N28" s="1190"/>
    </row>
    <row r="29" spans="1:14" ht="21" customHeight="1">
      <c r="A29" s="927">
        <v>2026</v>
      </c>
      <c r="B29" s="1106" t="s">
        <v>239</v>
      </c>
      <c r="C29" s="803">
        <f>SUM(C37:C39)</f>
        <v>400610</v>
      </c>
      <c r="D29" s="1094">
        <f>SUM(D37:D39)-0.02</f>
        <v>1415.3171425840003</v>
      </c>
      <c r="E29" s="803">
        <f>SUM(E37:E39)</f>
        <v>10488</v>
      </c>
      <c r="F29" s="1109">
        <f>E29/C29</f>
        <v>2.6180075385037818E-2</v>
      </c>
      <c r="G29" s="1094">
        <f>SUM(G37:G39)+0.05</f>
        <v>33.816457846999995</v>
      </c>
      <c r="H29" s="1109">
        <f>G29/D29</f>
        <v>2.3893201622118387E-2</v>
      </c>
      <c r="I29" s="803">
        <f>SUM(I37:I39)</f>
        <v>3143</v>
      </c>
      <c r="J29" s="1094">
        <f>SUM(J37:J39)</f>
        <v>12.927560534000001</v>
      </c>
      <c r="K29" s="803">
        <f>SUM(K37:K39)</f>
        <v>7345</v>
      </c>
      <c r="L29" s="1094">
        <f>SUM(L37:L39)+0.02</f>
        <v>20.858897313</v>
      </c>
      <c r="M29" s="1546"/>
      <c r="N29" s="1190"/>
    </row>
    <row r="30" spans="1:14" ht="15" customHeight="1">
      <c r="A30" s="943"/>
      <c r="B30" s="983" t="s">
        <v>240</v>
      </c>
      <c r="C30" s="923">
        <f>SUM(C40:C42)</f>
        <v>391209</v>
      </c>
      <c r="D30" s="987">
        <f>SUM(D40:D42)-0.02</f>
        <v>1399.2337858670001</v>
      </c>
      <c r="E30" s="923">
        <f>SUM(E40:E42)</f>
        <v>9998</v>
      </c>
      <c r="F30" s="986">
        <f>E30/C30</f>
        <v>2.5556671753461706E-2</v>
      </c>
      <c r="G30" s="987">
        <f>SUM(G40:G42)+0.05</f>
        <v>30.034453971000001</v>
      </c>
      <c r="H30" s="986">
        <f>G30/D30</f>
        <v>2.1464929073585732E-2</v>
      </c>
      <c r="I30" s="923">
        <f>SUM(I40:I42)</f>
        <v>2473</v>
      </c>
      <c r="J30" s="987">
        <f>SUM(J40:J42)</f>
        <v>9.344227643</v>
      </c>
      <c r="K30" s="923">
        <f>SUM(K40:K42)</f>
        <v>7525</v>
      </c>
      <c r="L30" s="987">
        <f>SUM(L40:L42)+0.02</f>
        <v>20.680226328000003</v>
      </c>
      <c r="M30" s="1546"/>
      <c r="N30" s="1190"/>
    </row>
    <row r="31" spans="1:14" s="1189" customFormat="1" ht="21" customHeight="1">
      <c r="A31" s="1188">
        <v>2025</v>
      </c>
      <c r="B31" s="844" t="s">
        <v>420</v>
      </c>
      <c r="C31" s="803">
        <v>155552</v>
      </c>
      <c r="D31" s="1094">
        <v>523.18188187900012</v>
      </c>
      <c r="E31" s="803">
        <v>3483</v>
      </c>
      <c r="F31" s="1109">
        <f t="shared" ref="F31" si="0">E31/C31</f>
        <v>2.2391226085167661E-2</v>
      </c>
      <c r="G31" s="1094">
        <v>11.072996641000001</v>
      </c>
      <c r="H31" s="1109">
        <f t="shared" ref="H31" si="1">G31/D31</f>
        <v>2.116471732780863E-2</v>
      </c>
      <c r="I31" s="803">
        <v>855</v>
      </c>
      <c r="J31" s="1094">
        <v>3.6575965150000007</v>
      </c>
      <c r="K31" s="803">
        <v>2628</v>
      </c>
      <c r="L31" s="1094">
        <v>7.4154001260000015</v>
      </c>
      <c r="M31" s="1190"/>
      <c r="N31" s="1190"/>
    </row>
    <row r="32" spans="1:14" s="1189" customFormat="1" ht="15" customHeight="1">
      <c r="A32" s="1188"/>
      <c r="B32" s="844" t="s">
        <v>421</v>
      </c>
      <c r="C32" s="803">
        <v>143525</v>
      </c>
      <c r="D32" s="1094">
        <v>473.33910555300002</v>
      </c>
      <c r="E32" s="803">
        <v>3278</v>
      </c>
      <c r="F32" s="1109">
        <f t="shared" ref="F32" si="2">E32/C32</f>
        <v>2.2839226615572202E-2</v>
      </c>
      <c r="G32" s="1094">
        <v>10.565190984999997</v>
      </c>
      <c r="H32" s="1109">
        <f t="shared" ref="H32" si="3">G32/D32</f>
        <v>2.2320553829282139E-2</v>
      </c>
      <c r="I32" s="803">
        <v>817</v>
      </c>
      <c r="J32" s="1094">
        <v>2.1284722459999998</v>
      </c>
      <c r="K32" s="803">
        <v>2461</v>
      </c>
      <c r="L32" s="1094">
        <f>8.436718739+0.02</f>
        <v>8.4567187389999994</v>
      </c>
      <c r="M32" s="1190"/>
      <c r="N32" s="1190"/>
    </row>
    <row r="33" spans="1:14" s="1189" customFormat="1" ht="15" customHeight="1">
      <c r="A33" s="1188"/>
      <c r="B33" s="844" t="s">
        <v>422</v>
      </c>
      <c r="C33" s="803">
        <v>149416</v>
      </c>
      <c r="D33" s="1094">
        <v>487.04639867400005</v>
      </c>
      <c r="E33" s="803">
        <v>3179</v>
      </c>
      <c r="F33" s="1109">
        <f t="shared" ref="F33" si="4">E33/C33</f>
        <v>2.1276168549552926E-2</v>
      </c>
      <c r="G33" s="1094">
        <v>8.9819148919999989</v>
      </c>
      <c r="H33" s="1109">
        <f t="shared" ref="H33" si="5">G33/D33</f>
        <v>1.8441600053821484E-2</v>
      </c>
      <c r="I33" s="803">
        <v>913</v>
      </c>
      <c r="J33" s="1094">
        <v>2.5777931079999998</v>
      </c>
      <c r="K33" s="803">
        <v>2266</v>
      </c>
      <c r="L33" s="1094">
        <v>6.4041217840000009</v>
      </c>
      <c r="M33" s="1190"/>
      <c r="N33" s="1190"/>
    </row>
    <row r="34" spans="1:14" s="1189" customFormat="1" ht="15" customHeight="1">
      <c r="A34" s="1188"/>
      <c r="B34" s="844" t="s">
        <v>411</v>
      </c>
      <c r="C34" s="803">
        <v>151461</v>
      </c>
      <c r="D34" s="1094">
        <v>544.49063449000005</v>
      </c>
      <c r="E34" s="803">
        <v>3146</v>
      </c>
      <c r="F34" s="1109">
        <f t="shared" ref="F34" si="6">E34/C34</f>
        <v>2.0771023563821711E-2</v>
      </c>
      <c r="G34" s="1094">
        <v>8.8843843279999994</v>
      </c>
      <c r="H34" s="1109">
        <f t="shared" ref="H34" si="7">G34/D34</f>
        <v>1.6316872624120713E-2</v>
      </c>
      <c r="I34" s="803">
        <v>875</v>
      </c>
      <c r="J34" s="1094">
        <v>3.1246075599999994</v>
      </c>
      <c r="K34" s="803">
        <v>2271</v>
      </c>
      <c r="L34" s="1094">
        <v>5.7597767680000009</v>
      </c>
      <c r="M34" s="1190"/>
      <c r="N34" s="1190"/>
    </row>
    <row r="35" spans="1:14" s="1189" customFormat="1" ht="15" customHeight="1">
      <c r="A35" s="1188"/>
      <c r="B35" s="844" t="s">
        <v>412</v>
      </c>
      <c r="C35" s="803">
        <v>150354</v>
      </c>
      <c r="D35" s="1094">
        <v>507.18393505299997</v>
      </c>
      <c r="E35" s="803">
        <v>3214</v>
      </c>
      <c r="F35" s="1109">
        <f t="shared" ref="F35" si="8">E35/C35</f>
        <v>2.1376218790321509E-2</v>
      </c>
      <c r="G35" s="1094">
        <v>9.3923151340000004</v>
      </c>
      <c r="H35" s="1109">
        <f t="shared" ref="H35" si="9">G35/D35</f>
        <v>1.8518558031650818E-2</v>
      </c>
      <c r="I35" s="803">
        <v>899</v>
      </c>
      <c r="J35" s="1094">
        <v>2.2660480900000004</v>
      </c>
      <c r="K35" s="803">
        <v>2315</v>
      </c>
      <c r="L35" s="1094">
        <v>7.1262670440000004</v>
      </c>
      <c r="M35" s="1190"/>
      <c r="N35" s="1190"/>
    </row>
    <row r="36" spans="1:14" s="1189" customFormat="1" ht="15" customHeight="1">
      <c r="A36" s="1188"/>
      <c r="B36" s="844" t="s">
        <v>413</v>
      </c>
      <c r="C36" s="803">
        <v>158384</v>
      </c>
      <c r="D36" s="1094">
        <v>585.52720290699995</v>
      </c>
      <c r="E36" s="803">
        <v>3323</v>
      </c>
      <c r="F36" s="1109">
        <f t="shared" ref="F36" si="10">E36/C36</f>
        <v>2.0980654611576926E-2</v>
      </c>
      <c r="G36" s="1094">
        <v>11.385347401000001</v>
      </c>
      <c r="H36" s="1109">
        <f t="shared" ref="H36" si="11">G36/D36</f>
        <v>1.9444608797805678E-2</v>
      </c>
      <c r="I36" s="803">
        <v>869</v>
      </c>
      <c r="J36" s="1094">
        <v>3.0707356850000003</v>
      </c>
      <c r="K36" s="803">
        <v>2454</v>
      </c>
      <c r="L36" s="1094">
        <v>8.3146117159999999</v>
      </c>
      <c r="M36" s="1190"/>
      <c r="N36" s="1190"/>
    </row>
    <row r="37" spans="1:14" s="1189" customFormat="1" ht="21.6" customHeight="1">
      <c r="A37" s="1188">
        <v>2026</v>
      </c>
      <c r="B37" s="844" t="s">
        <v>414</v>
      </c>
      <c r="C37" s="803">
        <v>136255</v>
      </c>
      <c r="D37" s="1094">
        <v>521.1</v>
      </c>
      <c r="E37" s="803">
        <v>2902</v>
      </c>
      <c r="F37" s="1109">
        <f t="shared" ref="F37" si="12">E37/C37</f>
        <v>2.1298300979780558E-2</v>
      </c>
      <c r="G37" s="1094">
        <v>10.5</v>
      </c>
      <c r="H37" s="1109">
        <f t="shared" ref="H37" si="13">G37/D37</f>
        <v>2.0149683362118594E-2</v>
      </c>
      <c r="I37" s="803">
        <v>738</v>
      </c>
      <c r="J37" s="1094">
        <v>4.7</v>
      </c>
      <c r="K37" s="803">
        <v>2164</v>
      </c>
      <c r="L37" s="1094">
        <v>5.8</v>
      </c>
      <c r="M37" s="1190"/>
      <c r="N37" s="1190"/>
    </row>
    <row r="38" spans="1:14" s="1189" customFormat="1" ht="15" customHeight="1">
      <c r="A38" s="1188"/>
      <c r="B38" s="844" t="s">
        <v>415</v>
      </c>
      <c r="C38" s="803">
        <v>137331</v>
      </c>
      <c r="D38" s="1094">
        <v>487.01809457900009</v>
      </c>
      <c r="E38" s="803">
        <v>2882</v>
      </c>
      <c r="F38" s="1109">
        <f t="shared" ref="F38" si="14">E38/C38</f>
        <v>2.0985793447946932E-2</v>
      </c>
      <c r="G38" s="1094">
        <v>11.151676330999999</v>
      </c>
      <c r="H38" s="1109">
        <f t="shared" ref="H38" si="15">G38/D38</f>
        <v>2.2897868590775871E-2</v>
      </c>
      <c r="I38" s="803">
        <v>813</v>
      </c>
      <c r="J38" s="1094">
        <v>3.6798918220000001</v>
      </c>
      <c r="K38" s="803">
        <v>2069</v>
      </c>
      <c r="L38" s="1094">
        <v>7.4717845089999999</v>
      </c>
      <c r="M38" s="1190"/>
      <c r="N38" s="1190"/>
    </row>
    <row r="39" spans="1:14" s="1189" customFormat="1" ht="15" customHeight="1">
      <c r="A39" s="1188"/>
      <c r="B39" s="844" t="s">
        <v>416</v>
      </c>
      <c r="C39" s="803">
        <v>127024</v>
      </c>
      <c r="D39" s="1094">
        <v>407.21904800500005</v>
      </c>
      <c r="E39" s="803">
        <v>4704</v>
      </c>
      <c r="F39" s="1109">
        <f t="shared" ref="F39:F40" si="16">E39/C39</f>
        <v>3.7032371835243737E-2</v>
      </c>
      <c r="G39" s="1094">
        <v>12.114781515999999</v>
      </c>
      <c r="H39" s="1109">
        <f t="shared" ref="H39:H40" si="17">G39/D39</f>
        <v>2.9750036437026509E-2</v>
      </c>
      <c r="I39" s="803">
        <v>1592</v>
      </c>
      <c r="J39" s="1094">
        <v>4.5476687120000001</v>
      </c>
      <c r="K39" s="803">
        <v>3112</v>
      </c>
      <c r="L39" s="1094">
        <v>7.5671128039999997</v>
      </c>
      <c r="M39" s="1190"/>
      <c r="N39" s="1190"/>
    </row>
    <row r="40" spans="1:14" s="1189" customFormat="1" ht="15" customHeight="1">
      <c r="A40" s="1188"/>
      <c r="B40" s="844" t="s">
        <v>417</v>
      </c>
      <c r="C40" s="803">
        <v>136363</v>
      </c>
      <c r="D40" s="1094">
        <v>491.9</v>
      </c>
      <c r="E40" s="803">
        <v>3507</v>
      </c>
      <c r="F40" s="1109">
        <f t="shared" si="16"/>
        <v>2.5718120017893416E-2</v>
      </c>
      <c r="G40" s="1094">
        <v>9.1</v>
      </c>
      <c r="H40" s="1109">
        <f t="shared" si="17"/>
        <v>1.8499695059971538E-2</v>
      </c>
      <c r="I40" s="803">
        <v>880</v>
      </c>
      <c r="J40" s="1094">
        <v>2.2000000000000002</v>
      </c>
      <c r="K40" s="803">
        <v>2627</v>
      </c>
      <c r="L40" s="1094">
        <v>6.9</v>
      </c>
      <c r="M40" s="1190"/>
      <c r="N40" s="1190"/>
    </row>
    <row r="41" spans="1:14" s="1189" customFormat="1" ht="15" customHeight="1">
      <c r="A41" s="1188"/>
      <c r="B41" s="844" t="s">
        <v>418</v>
      </c>
      <c r="C41" s="803">
        <v>119771</v>
      </c>
      <c r="D41" s="1094">
        <v>431.53299524599993</v>
      </c>
      <c r="E41" s="803">
        <v>3044</v>
      </c>
      <c r="F41" s="1109">
        <f t="shared" ref="F41" si="18">E41/C41</f>
        <v>2.5415167277554666E-2</v>
      </c>
      <c r="G41" s="1094">
        <v>9.4241170950000033</v>
      </c>
      <c r="H41" s="1109">
        <f t="shared" ref="H41" si="19">G41/D41</f>
        <v>2.1838694141169172E-2</v>
      </c>
      <c r="I41" s="803">
        <v>741</v>
      </c>
      <c r="J41" s="1094">
        <v>2.7251152919999995</v>
      </c>
      <c r="K41" s="803">
        <v>2303</v>
      </c>
      <c r="L41" s="1094">
        <v>6.6990018030000034</v>
      </c>
      <c r="M41" s="1190"/>
      <c r="N41" s="1190"/>
    </row>
    <row r="42" spans="1:14" s="1189" customFormat="1" ht="15" customHeight="1">
      <c r="A42" s="1188"/>
      <c r="B42" s="844" t="s">
        <v>419</v>
      </c>
      <c r="C42" s="803">
        <v>135075</v>
      </c>
      <c r="D42" s="1094">
        <v>475.82079062100007</v>
      </c>
      <c r="E42" s="803">
        <v>3447</v>
      </c>
      <c r="F42" s="1109">
        <f t="shared" ref="F42" si="20">E42/C42</f>
        <v>2.5519156024430872E-2</v>
      </c>
      <c r="G42" s="1094">
        <v>11.460336875999998</v>
      </c>
      <c r="H42" s="1109">
        <f t="shared" ref="H42" si="21">G42/D42</f>
        <v>2.4085405896289144E-2</v>
      </c>
      <c r="I42" s="803">
        <v>852</v>
      </c>
      <c r="J42" s="1094">
        <v>4.4191123509999999</v>
      </c>
      <c r="K42" s="803">
        <v>2595</v>
      </c>
      <c r="L42" s="1094">
        <f>7.041224525+0.02</f>
        <v>7.0612245249999992</v>
      </c>
      <c r="M42" s="1190"/>
      <c r="N42" s="1190"/>
    </row>
    <row r="43" spans="1:14" s="1189" customFormat="1" ht="15" customHeight="1">
      <c r="A43" s="1188"/>
      <c r="B43" s="844" t="s">
        <v>420</v>
      </c>
      <c r="C43" s="803">
        <v>133407</v>
      </c>
      <c r="D43" s="1094">
        <v>507.65954624199992</v>
      </c>
      <c r="E43" s="803">
        <v>3072</v>
      </c>
      <c r="F43" s="1109">
        <f t="shared" ref="F43" si="22">E43/C43</f>
        <v>2.3027277429220356E-2</v>
      </c>
      <c r="G43" s="1094">
        <v>11.074218998999999</v>
      </c>
      <c r="H43" s="1109">
        <f t="shared" ref="H43" si="23">G43/D43</f>
        <v>2.1814263281323087E-2</v>
      </c>
      <c r="I43" s="803">
        <v>807</v>
      </c>
      <c r="J43" s="1094">
        <v>4.961261770000001</v>
      </c>
      <c r="K43" s="803">
        <v>2265</v>
      </c>
      <c r="L43" s="1094">
        <v>6.112957229</v>
      </c>
      <c r="M43" s="1190"/>
      <c r="N43" s="1190"/>
    </row>
    <row r="44" spans="1:14">
      <c r="A44" s="1500" t="s">
        <v>1746</v>
      </c>
      <c r="B44" s="1537"/>
      <c r="C44" s="1537"/>
      <c r="D44" s="1537"/>
      <c r="E44" s="1537"/>
      <c r="F44" s="1537"/>
      <c r="G44" s="1537"/>
      <c r="H44" s="1537"/>
      <c r="I44" s="1547"/>
      <c r="J44" s="1547"/>
      <c r="K44" s="1547"/>
      <c r="L44" s="1548" t="s">
        <v>1237</v>
      </c>
    </row>
    <row r="45" spans="1:14">
      <c r="A45" s="1501"/>
      <c r="B45" s="1538"/>
      <c r="C45" s="1538"/>
      <c r="D45" s="1538"/>
      <c r="E45" s="1538"/>
      <c r="F45" s="1538"/>
      <c r="G45" s="1538"/>
      <c r="H45" s="1538"/>
    </row>
    <row r="46" spans="1:14">
      <c r="A46" s="1526" t="s">
        <v>1238</v>
      </c>
      <c r="B46" s="1526"/>
      <c r="C46" s="1526"/>
      <c r="D46" s="1526"/>
      <c r="E46" s="1526"/>
      <c r="F46" s="1526"/>
      <c r="G46" s="1526"/>
      <c r="H46" s="1526"/>
      <c r="I46" s="1526"/>
      <c r="J46" s="1526"/>
      <c r="K46" s="1526"/>
      <c r="L46" s="1526"/>
    </row>
    <row r="50" spans="5:12">
      <c r="E50" s="940"/>
      <c r="F50" s="940"/>
      <c r="G50" s="940"/>
      <c r="H50" s="940"/>
      <c r="I50" s="940"/>
      <c r="J50" s="940"/>
      <c r="K50" s="940"/>
      <c r="L50" s="940"/>
    </row>
  </sheetData>
  <mergeCells count="12">
    <mergeCell ref="I10:J10"/>
    <mergeCell ref="K10:L10"/>
    <mergeCell ref="A1:L1"/>
    <mergeCell ref="A2:L2"/>
    <mergeCell ref="A3:L3"/>
    <mergeCell ref="A9:B12"/>
    <mergeCell ref="C9:D9"/>
    <mergeCell ref="E9:H9"/>
    <mergeCell ref="I9:J9"/>
    <mergeCell ref="K9:L9"/>
    <mergeCell ref="C10:D10"/>
    <mergeCell ref="E10:H10"/>
  </mergeCells>
  <printOptions horizontalCentered="1"/>
  <pageMargins left="0.7" right="0.7" top="0.75" bottom="0.75" header="0.3" footer="0.3"/>
  <pageSetup scale="6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pageSetUpPr fitToPage="1"/>
  </sheetPr>
  <dimension ref="A1:O51"/>
  <sheetViews>
    <sheetView zoomScale="75" zoomScaleNormal="75" workbookViewId="0">
      <pane ySplit="14" topLeftCell="A36" activePane="bottomLeft" state="frozen"/>
      <selection activeCell="B2" sqref="B2"/>
      <selection pane="bottomLeft" activeCell="B2" sqref="B2"/>
    </sheetView>
  </sheetViews>
  <sheetFormatPr defaultColWidth="18.21875" defaultRowHeight="15.6"/>
  <cols>
    <col min="1" max="1" width="10.77734375" style="939" customWidth="1"/>
    <col min="2" max="2" width="10.77734375" style="845" customWidth="1"/>
    <col min="3" max="4" width="18.77734375" style="845" customWidth="1"/>
    <col min="5" max="6" width="17.77734375" style="845" customWidth="1"/>
    <col min="7" max="8" width="18.77734375" style="845" customWidth="1"/>
    <col min="9" max="12" width="17.77734375" style="845" customWidth="1"/>
    <col min="13" max="13" width="18.77734375" style="845" customWidth="1"/>
    <col min="14" max="16384" width="18.21875" style="845"/>
  </cols>
  <sheetData>
    <row r="1" spans="1:13" ht="18" customHeight="1">
      <c r="A1" s="807" t="s">
        <v>1745</v>
      </c>
      <c r="B1" s="951"/>
      <c r="C1" s="951"/>
      <c r="D1" s="951"/>
      <c r="E1" s="951"/>
      <c r="F1" s="951"/>
      <c r="G1" s="951"/>
      <c r="H1" s="951"/>
      <c r="I1" s="951"/>
      <c r="J1" s="951"/>
      <c r="K1" s="951"/>
      <c r="L1" s="951"/>
      <c r="M1" s="951"/>
    </row>
    <row r="2" spans="1:13" ht="18" customHeight="1">
      <c r="A2" s="949" t="s">
        <v>1239</v>
      </c>
      <c r="B2" s="950"/>
      <c r="C2" s="950"/>
      <c r="D2" s="950"/>
      <c r="E2" s="950"/>
      <c r="F2" s="950"/>
      <c r="G2" s="950"/>
      <c r="H2" s="950"/>
      <c r="I2" s="950"/>
      <c r="J2" s="950"/>
      <c r="K2" s="950"/>
      <c r="L2" s="950"/>
      <c r="M2" s="950"/>
    </row>
    <row r="3" spans="1:13" ht="17.399999999999999">
      <c r="A3" s="949" t="s">
        <v>1240</v>
      </c>
      <c r="B3" s="948"/>
      <c r="C3" s="948"/>
      <c r="D3" s="948"/>
      <c r="E3" s="948"/>
      <c r="F3" s="948"/>
      <c r="G3" s="948"/>
      <c r="H3" s="948"/>
      <c r="I3" s="948"/>
      <c r="J3" s="948"/>
      <c r="K3" s="948"/>
      <c r="L3" s="948"/>
      <c r="M3" s="948"/>
    </row>
    <row r="4" spans="1:13" hidden="1">
      <c r="A4" s="948"/>
      <c r="B4" s="948"/>
      <c r="C4" s="948"/>
      <c r="D4" s="948"/>
      <c r="E4" s="948"/>
      <c r="F4" s="948"/>
      <c r="G4" s="948"/>
      <c r="H4" s="948"/>
      <c r="I4" s="948"/>
      <c r="J4" s="948"/>
      <c r="K4" s="948"/>
      <c r="L4" s="948"/>
      <c r="M4" s="948"/>
    </row>
    <row r="5" spans="1:13" hidden="1">
      <c r="A5" s="948"/>
      <c r="B5" s="948"/>
      <c r="C5" s="948"/>
      <c r="D5" s="948"/>
      <c r="E5" s="948"/>
      <c r="F5" s="948"/>
      <c r="G5" s="948"/>
      <c r="H5" s="948"/>
      <c r="I5" s="948"/>
      <c r="J5" s="948"/>
      <c r="K5" s="948"/>
      <c r="L5" s="948"/>
      <c r="M5" s="948"/>
    </row>
    <row r="6" spans="1:13" hidden="1">
      <c r="A6" s="948"/>
      <c r="B6" s="948"/>
      <c r="C6" s="948"/>
      <c r="D6" s="948"/>
      <c r="E6" s="948"/>
      <c r="F6" s="948"/>
      <c r="G6" s="948"/>
      <c r="H6" s="948"/>
      <c r="I6" s="948"/>
      <c r="J6" s="948"/>
      <c r="K6" s="948"/>
      <c r="L6" s="948"/>
      <c r="M6" s="948"/>
    </row>
    <row r="7" spans="1:13">
      <c r="A7" s="947"/>
    </row>
    <row r="8" spans="1:13" s="945" customFormat="1">
      <c r="A8" s="1285" t="s">
        <v>1241</v>
      </c>
      <c r="B8" s="1287"/>
      <c r="C8" s="1285" t="s">
        <v>1242</v>
      </c>
      <c r="D8" s="1286"/>
      <c r="E8" s="1286"/>
      <c r="F8" s="1287"/>
      <c r="G8" s="1285" t="s">
        <v>1243</v>
      </c>
      <c r="H8" s="1286"/>
      <c r="I8" s="1286"/>
      <c r="J8" s="1287"/>
      <c r="K8" s="960" t="s">
        <v>1244</v>
      </c>
      <c r="L8" s="961"/>
      <c r="M8" s="1506" t="s">
        <v>1245</v>
      </c>
    </row>
    <row r="9" spans="1:13" s="945" customFormat="1" ht="15.75" customHeight="1">
      <c r="A9" s="1532"/>
      <c r="B9" s="1533"/>
      <c r="C9" s="1288" t="s">
        <v>1246</v>
      </c>
      <c r="D9" s="1289"/>
      <c r="E9" s="1289"/>
      <c r="F9" s="1290"/>
      <c r="G9" s="1288" t="s">
        <v>1247</v>
      </c>
      <c r="H9" s="1289"/>
      <c r="I9" s="1289"/>
      <c r="J9" s="1290"/>
      <c r="K9" s="1288" t="s">
        <v>1248</v>
      </c>
      <c r="L9" s="1290"/>
      <c r="M9" s="1509"/>
    </row>
    <row r="10" spans="1:13" s="945" customFormat="1" ht="31.2">
      <c r="A10" s="1532"/>
      <c r="B10" s="1533"/>
      <c r="C10" s="920" t="s">
        <v>1249</v>
      </c>
      <c r="D10" s="920" t="s">
        <v>1250</v>
      </c>
      <c r="E10" s="920" t="s">
        <v>382</v>
      </c>
      <c r="F10" s="920" t="s">
        <v>1251</v>
      </c>
      <c r="G10" s="920" t="s">
        <v>1249</v>
      </c>
      <c r="H10" s="920" t="s">
        <v>1250</v>
      </c>
      <c r="I10" s="920" t="s">
        <v>382</v>
      </c>
      <c r="J10" s="920" t="s">
        <v>1251</v>
      </c>
      <c r="K10" s="959" t="s">
        <v>1242</v>
      </c>
      <c r="L10" s="959" t="s">
        <v>1243</v>
      </c>
      <c r="M10" s="1509"/>
    </row>
    <row r="11" spans="1:13" s="945" customFormat="1" ht="45.75" customHeight="1">
      <c r="A11" s="1288"/>
      <c r="B11" s="1290"/>
      <c r="C11" s="921" t="s">
        <v>1252</v>
      </c>
      <c r="D11" s="921" t="s">
        <v>1253</v>
      </c>
      <c r="E11" s="921" t="s">
        <v>392</v>
      </c>
      <c r="F11" s="921" t="s">
        <v>1254</v>
      </c>
      <c r="G11" s="921" t="s">
        <v>1252</v>
      </c>
      <c r="H11" s="921" t="s">
        <v>1253</v>
      </c>
      <c r="I11" s="921" t="s">
        <v>392</v>
      </c>
      <c r="J11" s="921" t="s">
        <v>1254</v>
      </c>
      <c r="K11" s="921" t="s">
        <v>1246</v>
      </c>
      <c r="L11" s="921" t="s">
        <v>1247</v>
      </c>
      <c r="M11" s="1512"/>
    </row>
    <row r="12" spans="1:13" ht="14.25" hidden="1" customHeight="1">
      <c r="A12" s="1534"/>
      <c r="B12" s="1535"/>
      <c r="C12" s="944"/>
      <c r="D12" s="944"/>
      <c r="E12" s="984"/>
      <c r="F12" s="984"/>
      <c r="G12" s="984"/>
      <c r="H12" s="984"/>
      <c r="I12" s="923"/>
      <c r="J12" s="923"/>
      <c r="K12" s="923"/>
      <c r="L12" s="923"/>
      <c r="M12" s="987"/>
    </row>
    <row r="13" spans="1:13" ht="20.25" hidden="1" customHeight="1">
      <c r="A13" s="1110"/>
      <c r="B13" s="846"/>
      <c r="C13" s="846"/>
      <c r="D13" s="846"/>
      <c r="E13" s="1107"/>
      <c r="F13" s="1107"/>
      <c r="G13" s="1107"/>
      <c r="H13" s="1107"/>
      <c r="I13" s="803"/>
      <c r="J13" s="803"/>
      <c r="K13" s="803"/>
      <c r="L13" s="803"/>
      <c r="M13" s="1094"/>
    </row>
    <row r="14" spans="1:13" ht="14.25" hidden="1" customHeight="1">
      <c r="A14" s="1536"/>
      <c r="B14" s="846"/>
      <c r="C14" s="846"/>
      <c r="D14" s="846"/>
      <c r="E14" s="1107"/>
      <c r="F14" s="1107"/>
      <c r="G14" s="1107"/>
      <c r="H14" s="1107"/>
      <c r="I14" s="803"/>
      <c r="J14" s="803"/>
      <c r="K14" s="803"/>
      <c r="L14" s="803"/>
      <c r="M14" s="1094"/>
    </row>
    <row r="15" spans="1:13" ht="20.25" customHeight="1">
      <c r="A15" s="927">
        <v>2018</v>
      </c>
      <c r="B15" s="846"/>
      <c r="C15" s="803">
        <v>49048695</v>
      </c>
      <c r="D15" s="803">
        <v>15425030</v>
      </c>
      <c r="E15" s="803">
        <v>64473725</v>
      </c>
      <c r="F15" s="922" t="s">
        <v>592</v>
      </c>
      <c r="G15" s="803">
        <v>1524054553.0560038</v>
      </c>
      <c r="H15" s="803">
        <v>453159702.84699965</v>
      </c>
      <c r="I15" s="803">
        <v>1977214255.9030037</v>
      </c>
      <c r="J15" s="922" t="s">
        <v>592</v>
      </c>
      <c r="K15" s="922" t="s">
        <v>592</v>
      </c>
      <c r="L15" s="922" t="s">
        <v>592</v>
      </c>
      <c r="M15" s="803">
        <v>35010</v>
      </c>
    </row>
    <row r="16" spans="1:13">
      <c r="A16" s="927">
        <v>2019</v>
      </c>
      <c r="B16" s="846"/>
      <c r="C16" s="803">
        <v>58433552</v>
      </c>
      <c r="D16" s="803">
        <v>15246093</v>
      </c>
      <c r="E16" s="803">
        <v>73679645</v>
      </c>
      <c r="F16" s="922" t="s">
        <v>592</v>
      </c>
      <c r="G16" s="803">
        <v>1877177352.7550023</v>
      </c>
      <c r="H16" s="803">
        <v>557218329.50299978</v>
      </c>
      <c r="I16" s="803">
        <v>2434395681.0980015</v>
      </c>
      <c r="J16" s="922" t="s">
        <v>592</v>
      </c>
      <c r="K16" s="922" t="s">
        <v>592</v>
      </c>
      <c r="L16" s="922" t="s">
        <v>592</v>
      </c>
      <c r="M16" s="803">
        <v>40262</v>
      </c>
    </row>
    <row r="17" spans="1:15">
      <c r="A17" s="927">
        <v>2020</v>
      </c>
      <c r="B17" s="846"/>
      <c r="C17" s="803">
        <v>77347515</v>
      </c>
      <c r="D17" s="803">
        <v>6438295</v>
      </c>
      <c r="E17" s="803">
        <v>83785810</v>
      </c>
      <c r="F17" s="922">
        <v>31863197.805222854</v>
      </c>
      <c r="G17" s="803">
        <v>2124921776.0370262</v>
      </c>
      <c r="H17" s="803">
        <v>216993593.1926941</v>
      </c>
      <c r="I17" s="803">
        <v>2341915369.1297202</v>
      </c>
      <c r="J17" s="922">
        <v>438734452.92201328</v>
      </c>
      <c r="K17" s="922" t="s">
        <v>592</v>
      </c>
      <c r="L17" s="922" t="s">
        <v>592</v>
      </c>
      <c r="M17" s="803">
        <v>24702</v>
      </c>
    </row>
    <row r="18" spans="1:15">
      <c r="A18" s="927">
        <v>2021</v>
      </c>
      <c r="B18" s="846"/>
      <c r="C18" s="803">
        <v>109539142</v>
      </c>
      <c r="D18" s="803">
        <v>16009386</v>
      </c>
      <c r="E18" s="803">
        <v>125548528</v>
      </c>
      <c r="F18" s="922">
        <v>82397936</v>
      </c>
      <c r="G18" s="803">
        <v>2707223375.2868547</v>
      </c>
      <c r="H18" s="803">
        <v>443993620.81894493</v>
      </c>
      <c r="I18" s="803">
        <v>3151216995.9857998</v>
      </c>
      <c r="J18" s="922">
        <v>1252676798.9089999</v>
      </c>
      <c r="K18" s="922">
        <v>11470238</v>
      </c>
      <c r="L18" s="922">
        <v>988113898.11504936</v>
      </c>
      <c r="M18" s="803">
        <v>32742</v>
      </c>
    </row>
    <row r="19" spans="1:15">
      <c r="A19" s="927">
        <v>2022</v>
      </c>
      <c r="B19" s="846"/>
      <c r="C19" s="803">
        <v>132102959</v>
      </c>
      <c r="D19" s="803">
        <v>30689009</v>
      </c>
      <c r="E19" s="803">
        <v>162791968</v>
      </c>
      <c r="F19" s="922">
        <v>121224262</v>
      </c>
      <c r="G19" s="803">
        <v>3090754039.8581257</v>
      </c>
      <c r="H19" s="803">
        <v>753834542.36111569</v>
      </c>
      <c r="I19" s="803">
        <v>3844588582.1192417</v>
      </c>
      <c r="J19" s="922">
        <v>1793616693.2150002</v>
      </c>
      <c r="K19" s="922">
        <v>19523811</v>
      </c>
      <c r="L19" s="922">
        <v>1305282546.3874979</v>
      </c>
      <c r="M19" s="803">
        <v>40681</v>
      </c>
    </row>
    <row r="20" spans="1:15">
      <c r="A20" s="927">
        <v>2023</v>
      </c>
      <c r="B20" s="846"/>
      <c r="C20" s="803">
        <v>147610590</v>
      </c>
      <c r="D20" s="803">
        <v>36266952</v>
      </c>
      <c r="E20" s="803">
        <v>183877542</v>
      </c>
      <c r="F20" s="922">
        <v>142708090</v>
      </c>
      <c r="G20" s="803">
        <v>3273915613.6049886</v>
      </c>
      <c r="H20" s="803">
        <v>875672992.59169924</v>
      </c>
      <c r="I20" s="803">
        <v>4149588606.1966877</v>
      </c>
      <c r="J20" s="922">
        <v>2104459326.7329998</v>
      </c>
      <c r="K20" s="922">
        <v>20606338</v>
      </c>
      <c r="L20" s="922">
        <v>1427531074.4651761</v>
      </c>
      <c r="M20" s="803">
        <v>53170</v>
      </c>
    </row>
    <row r="21" spans="1:15">
      <c r="A21" s="927">
        <v>2024</v>
      </c>
      <c r="B21" s="846"/>
      <c r="C21" s="803">
        <v>177242486</v>
      </c>
      <c r="D21" s="803">
        <v>40480452</v>
      </c>
      <c r="E21" s="803">
        <v>217722938</v>
      </c>
      <c r="F21" s="922">
        <v>168851880</v>
      </c>
      <c r="G21" s="803">
        <v>3731064726.9130077</v>
      </c>
      <c r="H21" s="803">
        <v>934436989.74600005</v>
      </c>
      <c r="I21" s="803">
        <v>4665501714.9590082</v>
      </c>
      <c r="J21" s="922">
        <v>2457044708.79</v>
      </c>
      <c r="K21" s="922">
        <v>28317897</v>
      </c>
      <c r="L21" s="922">
        <v>1501203188.9110079</v>
      </c>
      <c r="M21" s="803">
        <v>57075</v>
      </c>
    </row>
    <row r="22" spans="1:15">
      <c r="A22" s="943">
        <v>2025</v>
      </c>
      <c r="B22" s="944"/>
      <c r="C22" s="923">
        <f>ROUND(C25,0)+ROUND(C26,0)+ROUND(C27,0)+ROUND(C28,0)</f>
        <v>212902094</v>
      </c>
      <c r="D22" s="923">
        <f t="shared" ref="D22:L22" si="0">ROUND(D25,0)+ROUND(D26,0)+ROUND(D27,0)+ROUND(D28,0)</f>
        <v>56157827</v>
      </c>
      <c r="E22" s="923">
        <f t="shared" si="0"/>
        <v>269059921</v>
      </c>
      <c r="F22" s="924">
        <f t="shared" si="0"/>
        <v>209844173</v>
      </c>
      <c r="G22" s="923">
        <f t="shared" si="0"/>
        <v>4214348818</v>
      </c>
      <c r="H22" s="923">
        <f t="shared" si="0"/>
        <v>1055176892</v>
      </c>
      <c r="I22" s="923">
        <f t="shared" si="0"/>
        <v>5269525710</v>
      </c>
      <c r="J22" s="924">
        <f t="shared" si="0"/>
        <v>2761914806</v>
      </c>
      <c r="K22" s="924">
        <f t="shared" si="0"/>
        <v>38477846</v>
      </c>
      <c r="L22" s="924">
        <f t="shared" si="0"/>
        <v>1722118816</v>
      </c>
      <c r="M22" s="923">
        <f>M28</f>
        <v>64834</v>
      </c>
    </row>
    <row r="23" spans="1:15" ht="21" customHeight="1">
      <c r="A23" s="927">
        <v>2024</v>
      </c>
      <c r="B23" s="846" t="s">
        <v>237</v>
      </c>
      <c r="C23" s="803">
        <v>44466895</v>
      </c>
      <c r="D23" s="803">
        <v>10430521</v>
      </c>
      <c r="E23" s="803">
        <v>54897416</v>
      </c>
      <c r="F23" s="922">
        <v>42330934</v>
      </c>
      <c r="G23" s="803">
        <v>944400823.23000264</v>
      </c>
      <c r="H23" s="803">
        <v>217150411.65200001</v>
      </c>
      <c r="I23" s="803">
        <v>1161551234.1820025</v>
      </c>
      <c r="J23" s="922">
        <v>601477942.01700008</v>
      </c>
      <c r="K23" s="922">
        <v>7562127</v>
      </c>
      <c r="L23" s="922">
        <v>384752326.91300267</v>
      </c>
      <c r="M23" s="803">
        <v>56022</v>
      </c>
      <c r="N23" s="1175"/>
    </row>
    <row r="24" spans="1:15" ht="15" customHeight="1">
      <c r="A24" s="927"/>
      <c r="B24" s="846" t="s">
        <v>238</v>
      </c>
      <c r="C24" s="803">
        <v>49024467</v>
      </c>
      <c r="D24" s="803">
        <v>10645387</v>
      </c>
      <c r="E24" s="803">
        <v>59669854</v>
      </c>
      <c r="F24" s="922">
        <v>46840993</v>
      </c>
      <c r="G24" s="803">
        <v>1017158783.0360032</v>
      </c>
      <c r="H24" s="803">
        <v>247450287.00400001</v>
      </c>
      <c r="I24" s="803">
        <v>1264609069.8400035</v>
      </c>
      <c r="J24" s="922">
        <v>676489543.852</v>
      </c>
      <c r="K24" s="922">
        <v>8040909</v>
      </c>
      <c r="L24" s="922">
        <v>384665499.68000329</v>
      </c>
      <c r="M24" s="803">
        <v>57075</v>
      </c>
      <c r="N24" s="1175"/>
    </row>
    <row r="25" spans="1:15" ht="21" customHeight="1">
      <c r="A25" s="927">
        <v>2025</v>
      </c>
      <c r="B25" s="846" t="s">
        <v>239</v>
      </c>
      <c r="C25" s="803">
        <v>47746823</v>
      </c>
      <c r="D25" s="803">
        <v>12234085</v>
      </c>
      <c r="E25" s="803">
        <v>59980908</v>
      </c>
      <c r="F25" s="922">
        <v>46113887</v>
      </c>
      <c r="G25" s="803">
        <v>1013132615.8920032</v>
      </c>
      <c r="H25" s="803">
        <v>239474959.044</v>
      </c>
      <c r="I25" s="803">
        <v>1252607575.2360032</v>
      </c>
      <c r="J25" s="922">
        <v>647249588.495</v>
      </c>
      <c r="K25" s="922">
        <v>8628077</v>
      </c>
      <c r="L25" s="922">
        <v>398409457.77000308</v>
      </c>
      <c r="M25" s="803">
        <v>58705</v>
      </c>
      <c r="N25" s="1175"/>
    </row>
    <row r="26" spans="1:15" ht="15" customHeight="1">
      <c r="A26" s="927"/>
      <c r="B26" s="846" t="s">
        <v>240</v>
      </c>
      <c r="C26" s="803">
        <v>51572276</v>
      </c>
      <c r="D26" s="803">
        <v>14274091</v>
      </c>
      <c r="E26" s="803">
        <v>65846367</v>
      </c>
      <c r="F26" s="922">
        <v>51326640</v>
      </c>
      <c r="G26" s="803">
        <v>1036185548.9320033</v>
      </c>
      <c r="H26" s="803">
        <v>261266632.14389998</v>
      </c>
      <c r="I26" s="803">
        <v>1297452180.7759032</v>
      </c>
      <c r="J26" s="922">
        <v>679202192.77899992</v>
      </c>
      <c r="K26" s="922">
        <v>9500541</v>
      </c>
      <c r="L26" s="922">
        <v>417744896.81100309</v>
      </c>
      <c r="M26" s="803">
        <v>60489</v>
      </c>
      <c r="N26" s="1175"/>
    </row>
    <row r="27" spans="1:15" ht="15" customHeight="1">
      <c r="A27" s="927"/>
      <c r="B27" s="846" t="s">
        <v>237</v>
      </c>
      <c r="C27" s="803">
        <v>53582907</v>
      </c>
      <c r="D27" s="803">
        <v>14011323</v>
      </c>
      <c r="E27" s="803">
        <v>67594230</v>
      </c>
      <c r="F27" s="803">
        <v>52840355</v>
      </c>
      <c r="G27" s="803">
        <v>1052574452</v>
      </c>
      <c r="H27" s="803">
        <v>250011760</v>
      </c>
      <c r="I27" s="803">
        <v>1302586212</v>
      </c>
      <c r="J27" s="803">
        <v>669937551</v>
      </c>
      <c r="K27" s="803">
        <v>9774830</v>
      </c>
      <c r="L27" s="803">
        <v>449006166</v>
      </c>
      <c r="M27" s="803">
        <v>61712</v>
      </c>
      <c r="N27" s="1175"/>
    </row>
    <row r="28" spans="1:15" ht="15" customHeight="1">
      <c r="A28" s="927"/>
      <c r="B28" s="846" t="s">
        <v>238</v>
      </c>
      <c r="C28" s="803">
        <f>ROUND(C36,0)+ROUND(C35,0)+ROUND(C34,0)</f>
        <v>60000088</v>
      </c>
      <c r="D28" s="803">
        <f t="shared" ref="D28:L28" si="1">ROUND(D36,0)+ROUND(D35,0)+ROUND(D34,0)</f>
        <v>15638328</v>
      </c>
      <c r="E28" s="803">
        <f t="shared" si="1"/>
        <v>75638416</v>
      </c>
      <c r="F28" s="803">
        <f t="shared" si="1"/>
        <v>59563291</v>
      </c>
      <c r="G28" s="803">
        <f t="shared" si="1"/>
        <v>1112456201</v>
      </c>
      <c r="H28" s="803">
        <f t="shared" si="1"/>
        <v>304423541</v>
      </c>
      <c r="I28" s="803">
        <f t="shared" si="1"/>
        <v>1416879742</v>
      </c>
      <c r="J28" s="803">
        <f t="shared" si="1"/>
        <v>765525474</v>
      </c>
      <c r="K28" s="803">
        <f t="shared" si="1"/>
        <v>10574398</v>
      </c>
      <c r="L28" s="803">
        <f t="shared" si="1"/>
        <v>456958295</v>
      </c>
      <c r="M28" s="803">
        <f>M36</f>
        <v>64834</v>
      </c>
      <c r="N28" s="1175"/>
    </row>
    <row r="29" spans="1:15" ht="21" customHeight="1">
      <c r="A29" s="927">
        <v>2026</v>
      </c>
      <c r="B29" s="846" t="s">
        <v>239</v>
      </c>
      <c r="C29" s="803">
        <f>ROUND(C37,0)+ROUND(C38,0)+ROUND(C39,0)</f>
        <v>50770165</v>
      </c>
      <c r="D29" s="803">
        <f t="shared" ref="D29:L29" si="2">ROUND(D37,0)+ROUND(D38,0)+ROUND(D39,0)</f>
        <v>10032415</v>
      </c>
      <c r="E29" s="803">
        <f t="shared" si="2"/>
        <v>60802580</v>
      </c>
      <c r="F29" s="803">
        <f t="shared" si="2"/>
        <v>45693239</v>
      </c>
      <c r="G29" s="803">
        <f t="shared" si="2"/>
        <v>983783923</v>
      </c>
      <c r="H29" s="803">
        <f t="shared" si="2"/>
        <v>185360068</v>
      </c>
      <c r="I29" s="803">
        <f t="shared" si="2"/>
        <v>1169143991</v>
      </c>
      <c r="J29" s="803">
        <f t="shared" si="2"/>
        <v>606781181</v>
      </c>
      <c r="K29" s="803">
        <f t="shared" si="2"/>
        <v>10091240</v>
      </c>
      <c r="L29" s="803">
        <f t="shared" si="2"/>
        <v>410445508</v>
      </c>
      <c r="M29" s="803">
        <f>M39</f>
        <v>66299</v>
      </c>
      <c r="N29" s="1175"/>
    </row>
    <row r="30" spans="1:15" ht="15" customHeight="1">
      <c r="A30" s="943"/>
      <c r="B30" s="944" t="s">
        <v>240</v>
      </c>
      <c r="C30" s="923">
        <f t="shared" ref="C30:L30" si="3">ROUND(C40,0)+ROUND(C41,0)+ROUND(C42,0)</f>
        <v>60043585</v>
      </c>
      <c r="D30" s="923">
        <f t="shared" si="3"/>
        <v>11131878</v>
      </c>
      <c r="E30" s="923">
        <f t="shared" si="3"/>
        <v>71175463</v>
      </c>
      <c r="F30" s="923">
        <f t="shared" si="3"/>
        <v>54801292</v>
      </c>
      <c r="G30" s="923">
        <f t="shared" si="3"/>
        <v>1051887159</v>
      </c>
      <c r="H30" s="923">
        <f t="shared" si="3"/>
        <v>197313262</v>
      </c>
      <c r="I30" s="923">
        <f t="shared" si="3"/>
        <v>1249200421</v>
      </c>
      <c r="J30" s="923">
        <f t="shared" si="3"/>
        <v>689681293</v>
      </c>
      <c r="K30" s="923">
        <f t="shared" si="3"/>
        <v>11078405</v>
      </c>
      <c r="L30" s="923">
        <f t="shared" si="3"/>
        <v>405752425</v>
      </c>
      <c r="M30" s="923">
        <f>M42</f>
        <v>66919</v>
      </c>
      <c r="N30" s="1175"/>
    </row>
    <row r="31" spans="1:15" s="1189" customFormat="1" ht="21" customHeight="1">
      <c r="A31" s="1188">
        <v>2025</v>
      </c>
      <c r="B31" s="844" t="s">
        <v>420</v>
      </c>
      <c r="C31" s="803">
        <v>17159605</v>
      </c>
      <c r="D31" s="803">
        <v>4552714</v>
      </c>
      <c r="E31" s="803">
        <v>21712319</v>
      </c>
      <c r="F31" s="803">
        <v>16913923</v>
      </c>
      <c r="G31" s="803">
        <v>362483233.44900167</v>
      </c>
      <c r="H31" s="803">
        <v>77605400.552000001</v>
      </c>
      <c r="I31" s="803">
        <v>440088634.00100166</v>
      </c>
      <c r="J31" s="803">
        <v>216134160.13700002</v>
      </c>
      <c r="K31" s="803">
        <v>3183079</v>
      </c>
      <c r="L31" s="803">
        <v>158293140.58000174</v>
      </c>
      <c r="M31" s="803">
        <v>60823</v>
      </c>
      <c r="N31" s="845"/>
      <c r="O31" s="845"/>
    </row>
    <row r="32" spans="1:15" s="1189" customFormat="1" ht="15.75" customHeight="1">
      <c r="A32" s="1188"/>
      <c r="B32" s="844" t="s">
        <v>421</v>
      </c>
      <c r="C32" s="803">
        <v>17732922</v>
      </c>
      <c r="D32" s="803">
        <v>5156262</v>
      </c>
      <c r="E32" s="803">
        <v>22889184</v>
      </c>
      <c r="F32" s="803">
        <v>17886301</v>
      </c>
      <c r="G32" s="803">
        <v>344050568.44500136</v>
      </c>
      <c r="H32" s="803">
        <v>92487445.061000004</v>
      </c>
      <c r="I32" s="803">
        <v>436538013.40600139</v>
      </c>
      <c r="J32" s="803">
        <v>230431870.69800001</v>
      </c>
      <c r="K32" s="803">
        <v>3291831</v>
      </c>
      <c r="L32" s="803">
        <v>145158945.2270014</v>
      </c>
      <c r="M32" s="803">
        <v>61278</v>
      </c>
      <c r="N32" s="845"/>
      <c r="O32" s="845"/>
    </row>
    <row r="33" spans="1:15" s="1189" customFormat="1" ht="15.75" customHeight="1">
      <c r="A33" s="1188"/>
      <c r="B33" s="844" t="s">
        <v>422</v>
      </c>
      <c r="C33" s="803">
        <v>18690380</v>
      </c>
      <c r="D33" s="803">
        <v>4302347</v>
      </c>
      <c r="E33" s="803">
        <v>22992727</v>
      </c>
      <c r="F33" s="803">
        <v>18040131</v>
      </c>
      <c r="G33" s="803">
        <v>346040651.43000132</v>
      </c>
      <c r="H33" s="803">
        <v>79918913.763000011</v>
      </c>
      <c r="I33" s="803">
        <v>425959565.39300132</v>
      </c>
      <c r="J33" s="803">
        <v>223371519.78199998</v>
      </c>
      <c r="K33" s="803">
        <v>3299920</v>
      </c>
      <c r="L33" s="803">
        <v>145554079.81700131</v>
      </c>
      <c r="M33" s="803">
        <v>61712</v>
      </c>
      <c r="N33" s="845"/>
      <c r="O33" s="845"/>
    </row>
    <row r="34" spans="1:15" s="1189" customFormat="1" ht="15.75" customHeight="1">
      <c r="A34" s="1188"/>
      <c r="B34" s="844" t="s">
        <v>411</v>
      </c>
      <c r="C34" s="803">
        <v>19732555</v>
      </c>
      <c r="D34" s="803">
        <v>4715410</v>
      </c>
      <c r="E34" s="803">
        <v>24447965</v>
      </c>
      <c r="F34" s="803">
        <v>19258264</v>
      </c>
      <c r="G34" s="803">
        <v>370255616.4360013</v>
      </c>
      <c r="H34" s="803">
        <v>85987986.574000016</v>
      </c>
      <c r="I34" s="803">
        <v>456243602.71000129</v>
      </c>
      <c r="J34" s="803">
        <v>235303643.78800002</v>
      </c>
      <c r="K34" s="803">
        <v>3455723</v>
      </c>
      <c r="L34" s="803">
        <v>162368670.31900126</v>
      </c>
      <c r="M34" s="803">
        <v>62200</v>
      </c>
      <c r="N34" s="845"/>
      <c r="O34" s="845"/>
    </row>
    <row r="35" spans="1:15" s="1189" customFormat="1" ht="15.75" customHeight="1">
      <c r="A35" s="1188"/>
      <c r="B35" s="844" t="s">
        <v>412</v>
      </c>
      <c r="C35" s="803">
        <v>19799108</v>
      </c>
      <c r="D35" s="803">
        <v>5546127</v>
      </c>
      <c r="E35" s="803">
        <v>25345235</v>
      </c>
      <c r="F35" s="803">
        <v>19888226</v>
      </c>
      <c r="G35" s="803">
        <v>374743852.21300054</v>
      </c>
      <c r="H35" s="803">
        <v>121071391.57099998</v>
      </c>
      <c r="I35" s="803">
        <v>495815243.58400053</v>
      </c>
      <c r="J35" s="803">
        <v>275705075.77499998</v>
      </c>
      <c r="K35" s="803">
        <v>3495487</v>
      </c>
      <c r="L35" s="803">
        <v>144710086.48300129</v>
      </c>
      <c r="M35" s="803">
        <v>62987</v>
      </c>
      <c r="N35" s="845"/>
      <c r="O35" s="845"/>
    </row>
    <row r="36" spans="1:15" s="1189" customFormat="1" ht="15.6" customHeight="1">
      <c r="A36" s="1188"/>
      <c r="B36" s="844" t="s">
        <v>413</v>
      </c>
      <c r="C36" s="803">
        <v>20468425</v>
      </c>
      <c r="D36" s="803">
        <v>5376791</v>
      </c>
      <c r="E36" s="803">
        <v>25845216</v>
      </c>
      <c r="F36" s="803">
        <v>20416801</v>
      </c>
      <c r="G36" s="803">
        <v>367456732.69000161</v>
      </c>
      <c r="H36" s="803">
        <v>97364161.818000019</v>
      </c>
      <c r="I36" s="803">
        <v>464820894.50800163</v>
      </c>
      <c r="J36" s="803">
        <v>254516754.38999999</v>
      </c>
      <c r="K36" s="803">
        <v>3623188</v>
      </c>
      <c r="L36" s="803">
        <v>149879539.40600163</v>
      </c>
      <c r="M36" s="803">
        <v>64834</v>
      </c>
      <c r="N36" s="845"/>
      <c r="O36" s="845"/>
    </row>
    <row r="37" spans="1:15" s="1189" customFormat="1" ht="21" customHeight="1">
      <c r="A37" s="1188">
        <v>2026</v>
      </c>
      <c r="B37" s="844" t="s">
        <v>414</v>
      </c>
      <c r="C37" s="803">
        <v>15585126</v>
      </c>
      <c r="D37" s="803">
        <v>4326102</v>
      </c>
      <c r="E37" s="803">
        <v>19911228</v>
      </c>
      <c r="F37" s="803">
        <v>14675085</v>
      </c>
      <c r="G37" s="803">
        <v>329216886.42999983</v>
      </c>
      <c r="H37" s="803">
        <v>80498401.540000007</v>
      </c>
      <c r="I37" s="803">
        <v>409715287.96999985</v>
      </c>
      <c r="J37" s="803">
        <v>206142712.16599998</v>
      </c>
      <c r="K37" s="803">
        <v>3420222</v>
      </c>
      <c r="L37" s="803">
        <v>147795279.0389998</v>
      </c>
      <c r="M37" s="803">
        <v>65623</v>
      </c>
      <c r="N37" s="845"/>
      <c r="O37" s="845"/>
    </row>
    <row r="38" spans="1:15" s="1189" customFormat="1" ht="15.75" customHeight="1">
      <c r="A38" s="1188"/>
      <c r="B38" s="844" t="s">
        <v>415</v>
      </c>
      <c r="C38" s="803">
        <v>17853048</v>
      </c>
      <c r="D38" s="803">
        <v>3888741</v>
      </c>
      <c r="E38" s="803">
        <v>21741789</v>
      </c>
      <c r="F38" s="803">
        <v>16744071</v>
      </c>
      <c r="G38" s="803">
        <v>343576080.56099987</v>
      </c>
      <c r="H38" s="803">
        <v>76537203.414000005</v>
      </c>
      <c r="I38" s="803">
        <v>420113283.77499986</v>
      </c>
      <c r="J38" s="803">
        <v>218996205.792</v>
      </c>
      <c r="K38" s="803">
        <v>3331561</v>
      </c>
      <c r="L38" s="803">
        <v>148159435.01099986</v>
      </c>
      <c r="M38" s="803">
        <v>65993</v>
      </c>
      <c r="N38" s="845"/>
      <c r="O38" s="845"/>
    </row>
    <row r="39" spans="1:15" s="1189" customFormat="1" ht="15.75" customHeight="1">
      <c r="A39" s="1188"/>
      <c r="B39" s="844" t="s">
        <v>416</v>
      </c>
      <c r="C39" s="803">
        <v>17331991</v>
      </c>
      <c r="D39" s="803">
        <v>1817572</v>
      </c>
      <c r="E39" s="803">
        <v>19149563</v>
      </c>
      <c r="F39" s="803">
        <v>14274083</v>
      </c>
      <c r="G39" s="803">
        <v>310990956.22599977</v>
      </c>
      <c r="H39" s="803">
        <v>28324463.438000001</v>
      </c>
      <c r="I39" s="803">
        <v>339315419.36399978</v>
      </c>
      <c r="J39" s="803">
        <v>181642263.09999999</v>
      </c>
      <c r="K39" s="803">
        <v>3339457</v>
      </c>
      <c r="L39" s="803">
        <v>114490794.12699978</v>
      </c>
      <c r="M39" s="803">
        <v>66299</v>
      </c>
      <c r="N39" s="845"/>
      <c r="O39" s="845"/>
    </row>
    <row r="40" spans="1:15" s="1189" customFormat="1" ht="15.75" customHeight="1">
      <c r="A40" s="1188"/>
      <c r="B40" s="844" t="s">
        <v>417</v>
      </c>
      <c r="C40" s="803">
        <v>18917829</v>
      </c>
      <c r="D40" s="803">
        <v>2627160</v>
      </c>
      <c r="E40" s="803">
        <v>21544989</v>
      </c>
      <c r="F40" s="803">
        <v>16486120</v>
      </c>
      <c r="G40" s="803">
        <v>333479552.77699971</v>
      </c>
      <c r="H40" s="803">
        <v>41301664.794</v>
      </c>
      <c r="I40" s="803">
        <v>374781217.57099974</v>
      </c>
      <c r="J40" s="803">
        <v>200780992.11899999</v>
      </c>
      <c r="K40" s="803">
        <v>3419496</v>
      </c>
      <c r="L40" s="803">
        <v>127680834.74799973</v>
      </c>
      <c r="M40" s="803">
        <v>66532</v>
      </c>
      <c r="N40" s="845"/>
      <c r="O40" s="845"/>
    </row>
    <row r="41" spans="1:15" s="1189" customFormat="1" ht="15.75" customHeight="1">
      <c r="A41" s="1188"/>
      <c r="B41" s="844" t="s">
        <v>418</v>
      </c>
      <c r="C41" s="803">
        <v>21410920</v>
      </c>
      <c r="D41" s="803">
        <v>4712930</v>
      </c>
      <c r="E41" s="803">
        <v>26123850</v>
      </c>
      <c r="F41" s="803">
        <v>20322229</v>
      </c>
      <c r="G41" s="803">
        <v>370436911.59899962</v>
      </c>
      <c r="H41" s="803">
        <v>86103200.097000003</v>
      </c>
      <c r="I41" s="803">
        <v>456540111.59599966</v>
      </c>
      <c r="J41" s="803">
        <v>260675099.53800002</v>
      </c>
      <c r="K41" s="803">
        <v>3892284</v>
      </c>
      <c r="L41" s="803">
        <v>139585414.30999961</v>
      </c>
      <c r="M41" s="803">
        <v>66755</v>
      </c>
      <c r="N41" s="845"/>
      <c r="O41" s="845"/>
    </row>
    <row r="42" spans="1:15" s="1189" customFormat="1" ht="15.75" customHeight="1">
      <c r="A42" s="1188"/>
      <c r="B42" s="844" t="s">
        <v>419</v>
      </c>
      <c r="C42" s="803">
        <v>19714836</v>
      </c>
      <c r="D42" s="803">
        <v>3791788</v>
      </c>
      <c r="E42" s="803">
        <v>23506624</v>
      </c>
      <c r="F42" s="803">
        <v>17992943</v>
      </c>
      <c r="G42" s="803">
        <v>347970693.57599998</v>
      </c>
      <c r="H42" s="803">
        <v>69908397.153999999</v>
      </c>
      <c r="I42" s="803">
        <v>417879090.62999994</v>
      </c>
      <c r="J42" s="803">
        <v>228225201.20300001</v>
      </c>
      <c r="K42" s="803">
        <v>3766625</v>
      </c>
      <c r="L42" s="803">
        <v>138486175.63999996</v>
      </c>
      <c r="M42" s="803">
        <v>66919</v>
      </c>
      <c r="N42" s="845"/>
      <c r="O42" s="845"/>
    </row>
    <row r="43" spans="1:15" s="1189" customFormat="1" ht="15.75" customHeight="1">
      <c r="A43" s="1188"/>
      <c r="B43" s="844" t="s">
        <v>420</v>
      </c>
      <c r="C43" s="803">
        <v>20566607</v>
      </c>
      <c r="D43" s="803">
        <v>3900307</v>
      </c>
      <c r="E43" s="803">
        <v>24466914</v>
      </c>
      <c r="F43" s="803">
        <v>18764980</v>
      </c>
      <c r="G43" s="803">
        <v>385664703.42499983</v>
      </c>
      <c r="H43" s="803">
        <v>76650688.953000009</v>
      </c>
      <c r="I43" s="803">
        <v>462315392.37799978</v>
      </c>
      <c r="J43" s="803">
        <v>230961958.40999997</v>
      </c>
      <c r="K43" s="803">
        <v>3975868</v>
      </c>
      <c r="L43" s="803">
        <v>179362232.95799977</v>
      </c>
      <c r="M43" s="803">
        <v>67384</v>
      </c>
      <c r="N43" s="845"/>
      <c r="O43" s="845"/>
    </row>
    <row r="44" spans="1:15">
      <c r="A44" s="1500"/>
      <c r="B44" s="1537"/>
      <c r="C44" s="1537"/>
      <c r="D44" s="1537"/>
      <c r="E44" s="1537"/>
      <c r="F44" s="1537"/>
      <c r="G44" s="1537"/>
      <c r="H44" s="1537"/>
      <c r="I44" s="1537"/>
      <c r="J44" s="1537"/>
      <c r="K44" s="1537"/>
      <c r="L44" s="1537"/>
      <c r="M44" s="1537"/>
    </row>
    <row r="45" spans="1:15">
      <c r="A45" s="1501"/>
      <c r="B45" s="1538"/>
      <c r="C45" s="1538"/>
      <c r="D45" s="1538"/>
      <c r="E45" s="1538"/>
      <c r="F45" s="1538"/>
      <c r="G45" s="1538"/>
      <c r="H45" s="1538"/>
      <c r="I45" s="1538"/>
      <c r="J45" s="1538"/>
      <c r="K45" s="1538"/>
      <c r="L45" s="1538"/>
      <c r="M45" s="1538"/>
    </row>
    <row r="46" spans="1:15">
      <c r="A46" s="1501"/>
      <c r="B46" s="1538"/>
      <c r="C46" s="1538"/>
      <c r="D46" s="1538"/>
      <c r="E46" s="1538"/>
      <c r="F46" s="1538"/>
      <c r="G46" s="1538"/>
      <c r="H46" s="1538"/>
      <c r="I46" s="1538"/>
      <c r="J46" s="1538"/>
      <c r="K46" s="1538"/>
      <c r="L46" s="1538"/>
      <c r="M46" s="1538"/>
    </row>
    <row r="47" spans="1:15">
      <c r="A47" s="1502" t="s">
        <v>1255</v>
      </c>
      <c r="B47" s="1502"/>
      <c r="C47" s="1502"/>
      <c r="D47" s="1502"/>
      <c r="E47" s="1502"/>
      <c r="F47" s="1502"/>
      <c r="G47" s="1502"/>
      <c r="H47" s="1502"/>
      <c r="I47" s="1502"/>
      <c r="J47" s="1502"/>
      <c r="K47" s="1502"/>
      <c r="L47" s="1502"/>
      <c r="M47" s="1502"/>
    </row>
    <row r="51" spans="9:13">
      <c r="I51" s="940"/>
      <c r="J51" s="940"/>
      <c r="K51" s="940"/>
      <c r="L51" s="940"/>
      <c r="M51" s="940"/>
    </row>
  </sheetData>
  <mergeCells count="9">
    <mergeCell ref="A12:B12"/>
    <mergeCell ref="A47:M47"/>
    <mergeCell ref="A8:B11"/>
    <mergeCell ref="M8:M11"/>
    <mergeCell ref="C8:F8"/>
    <mergeCell ref="C9:F9"/>
    <mergeCell ref="G8:J8"/>
    <mergeCell ref="G9:J9"/>
    <mergeCell ref="K9:L9"/>
  </mergeCells>
  <printOptions horizontalCentered="1"/>
  <pageMargins left="0.7" right="0.7" top="0.75" bottom="0.75" header="0.3" footer="0.3"/>
  <pageSetup paperSize="9" scale="6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4">
    <pageSetUpPr fitToPage="1"/>
  </sheetPr>
  <dimension ref="A1:Q41"/>
  <sheetViews>
    <sheetView topLeftCell="A19" zoomScale="70" zoomScaleNormal="70" workbookViewId="0">
      <selection activeCell="D38" sqref="D38"/>
    </sheetView>
  </sheetViews>
  <sheetFormatPr defaultColWidth="18.21875" defaultRowHeight="15"/>
  <cols>
    <col min="1" max="1" width="6.21875" style="1527" customWidth="1"/>
    <col min="2" max="2" width="45.77734375" style="1503" customWidth="1"/>
    <col min="3" max="3" width="14.77734375" style="1503" customWidth="1"/>
    <col min="4" max="4" width="15.44140625" style="1503" customWidth="1"/>
    <col min="5" max="5" width="14.77734375" style="1503" customWidth="1"/>
    <col min="6" max="6" width="15.44140625" style="1503" customWidth="1"/>
    <col min="7" max="7" width="14.77734375" style="1503" customWidth="1"/>
    <col min="8" max="8" width="15.44140625" style="1503" customWidth="1"/>
    <col min="9" max="9" width="14.77734375" style="1503" customWidth="1"/>
    <col min="10" max="10" width="15.44140625" style="1503" customWidth="1"/>
    <col min="11" max="11" width="14.77734375" style="1503" customWidth="1"/>
    <col min="12" max="12" width="15.44140625" style="1503" customWidth="1"/>
    <col min="13" max="13" width="14.77734375" style="1503" customWidth="1"/>
    <col min="14" max="14" width="15.44140625" style="1503" customWidth="1"/>
    <col min="15" max="15" width="46.77734375" style="1503" customWidth="1"/>
    <col min="16" max="16" width="18.21875" style="1503"/>
    <col min="17" max="17" width="0" style="1503" hidden="1" customWidth="1"/>
    <col min="18" max="16384" width="18.21875" style="1503"/>
  </cols>
  <sheetData>
    <row r="1" spans="1:17" ht="18" customHeight="1">
      <c r="A1" s="949" t="s">
        <v>1744</v>
      </c>
      <c r="B1" s="948"/>
      <c r="C1" s="948"/>
      <c r="D1" s="948"/>
      <c r="E1" s="948"/>
      <c r="F1" s="948"/>
      <c r="G1" s="948"/>
      <c r="H1" s="948"/>
      <c r="I1" s="948"/>
      <c r="J1" s="948"/>
      <c r="K1" s="948"/>
      <c r="L1" s="948"/>
      <c r="M1" s="948"/>
      <c r="N1" s="948"/>
      <c r="O1" s="948"/>
    </row>
    <row r="2" spans="1:17" ht="18" customHeight="1">
      <c r="A2" s="949" t="s">
        <v>1256</v>
      </c>
      <c r="B2" s="1504"/>
      <c r="C2" s="1504"/>
      <c r="D2" s="1504"/>
      <c r="E2" s="1504"/>
      <c r="F2" s="1504"/>
      <c r="G2" s="1504"/>
      <c r="H2" s="1504"/>
      <c r="I2" s="1504"/>
      <c r="J2" s="1504"/>
      <c r="K2" s="1504"/>
      <c r="L2" s="1504"/>
      <c r="M2" s="1504"/>
      <c r="N2" s="1504"/>
      <c r="O2" s="1504"/>
    </row>
    <row r="3" spans="1:17" ht="17.399999999999999">
      <c r="A3" s="949" t="s">
        <v>1257</v>
      </c>
      <c r="B3" s="948"/>
      <c r="C3" s="948"/>
      <c r="D3" s="948"/>
      <c r="E3" s="948"/>
      <c r="F3" s="948"/>
      <c r="G3" s="948"/>
      <c r="H3" s="948"/>
      <c r="I3" s="948"/>
      <c r="J3" s="948"/>
      <c r="K3" s="948"/>
      <c r="L3" s="948"/>
      <c r="M3" s="948"/>
      <c r="N3" s="948"/>
      <c r="O3" s="948"/>
    </row>
    <row r="4" spans="1:17" ht="4.5" customHeight="1">
      <c r="A4" s="948"/>
      <c r="B4" s="948"/>
      <c r="C4" s="1505"/>
      <c r="D4" s="1505"/>
      <c r="E4" s="1505"/>
      <c r="F4" s="1505"/>
      <c r="G4" s="1505"/>
      <c r="H4" s="1505"/>
      <c r="I4" s="1505"/>
      <c r="J4" s="1505"/>
      <c r="K4" s="1505"/>
      <c r="L4" s="1505"/>
      <c r="M4" s="1505"/>
      <c r="N4" s="1505"/>
      <c r="O4" s="948"/>
    </row>
    <row r="5" spans="1:17" ht="15.75" hidden="1" customHeight="1">
      <c r="A5" s="948"/>
      <c r="B5" s="948"/>
      <c r="C5" s="1505"/>
      <c r="D5" s="1505"/>
      <c r="E5" s="1505"/>
      <c r="F5" s="1505"/>
      <c r="G5" s="1505"/>
      <c r="H5" s="1505"/>
      <c r="I5" s="1505"/>
      <c r="J5" s="1505"/>
      <c r="K5" s="1505"/>
      <c r="L5" s="1505"/>
      <c r="M5" s="1505"/>
      <c r="N5" s="1505"/>
      <c r="O5" s="948"/>
    </row>
    <row r="6" spans="1:17" ht="15.75" hidden="1" customHeight="1">
      <c r="A6" s="948"/>
      <c r="B6" s="948"/>
      <c r="C6" s="1505"/>
      <c r="D6" s="1505"/>
      <c r="E6" s="1505"/>
      <c r="F6" s="1505"/>
      <c r="G6" s="1505"/>
      <c r="H6" s="1505"/>
      <c r="I6" s="1505"/>
      <c r="J6" s="1505"/>
      <c r="K6" s="1505"/>
      <c r="L6" s="1505"/>
      <c r="M6" s="1505"/>
      <c r="N6" s="1505"/>
      <c r="O6" s="948"/>
    </row>
    <row r="7" spans="1:17" ht="15.75" hidden="1" customHeight="1">
      <c r="A7" s="948"/>
      <c r="B7" s="948"/>
      <c r="C7" s="1505"/>
      <c r="D7" s="1505"/>
      <c r="E7" s="1505"/>
      <c r="F7" s="1505"/>
      <c r="G7" s="1505"/>
      <c r="H7" s="1505"/>
      <c r="I7" s="1505"/>
      <c r="J7" s="1505"/>
      <c r="K7" s="1505"/>
      <c r="L7" s="1505"/>
      <c r="M7" s="1505"/>
      <c r="N7" s="1505"/>
      <c r="O7" s="948"/>
    </row>
    <row r="8" spans="1:17">
      <c r="A8" s="829" t="s">
        <v>1258</v>
      </c>
      <c r="C8" s="829"/>
      <c r="D8" s="829"/>
      <c r="E8" s="829"/>
      <c r="F8" s="829"/>
      <c r="G8" s="829"/>
      <c r="H8" s="829"/>
      <c r="I8" s="829"/>
      <c r="J8" s="829"/>
      <c r="K8" s="829"/>
      <c r="L8" s="829"/>
      <c r="M8" s="829"/>
      <c r="N8" s="829"/>
      <c r="O8" s="829" t="s">
        <v>1259</v>
      </c>
    </row>
    <row r="9" spans="1:17" s="1508" customFormat="1" ht="20.25" customHeight="1">
      <c r="A9" s="1506"/>
      <c r="B9" s="1506" t="s">
        <v>856</v>
      </c>
      <c r="C9" s="1507">
        <v>2026</v>
      </c>
      <c r="D9" s="1507"/>
      <c r="E9" s="1507"/>
      <c r="F9" s="1507"/>
      <c r="G9" s="1507"/>
      <c r="H9" s="1507"/>
      <c r="I9" s="1507"/>
      <c r="J9" s="1507"/>
      <c r="K9" s="1507"/>
      <c r="L9" s="1507"/>
      <c r="M9" s="1507"/>
      <c r="N9" s="1507"/>
      <c r="O9" s="1506" t="s">
        <v>857</v>
      </c>
    </row>
    <row r="10" spans="1:17" s="1508" customFormat="1" ht="20.25" customHeight="1">
      <c r="A10" s="1509"/>
      <c r="B10" s="1509"/>
      <c r="C10" s="1510" t="s">
        <v>1657</v>
      </c>
      <c r="D10" s="1511"/>
      <c r="E10" s="1510" t="s">
        <v>1678</v>
      </c>
      <c r="F10" s="1511"/>
      <c r="G10" s="1510" t="s">
        <v>1696</v>
      </c>
      <c r="H10" s="1511"/>
      <c r="I10" s="1510" t="s">
        <v>418</v>
      </c>
      <c r="J10" s="1511"/>
      <c r="K10" s="1510" t="s">
        <v>1708</v>
      </c>
      <c r="L10" s="1511"/>
      <c r="M10" s="1510" t="s">
        <v>1716</v>
      </c>
      <c r="N10" s="1511"/>
      <c r="O10" s="1509"/>
    </row>
    <row r="11" spans="1:17" s="1508" customFormat="1" ht="15.6">
      <c r="A11" s="1509"/>
      <c r="B11" s="1509"/>
      <c r="C11" s="920" t="s">
        <v>1242</v>
      </c>
      <c r="D11" s="920" t="s">
        <v>1211</v>
      </c>
      <c r="E11" s="920" t="s">
        <v>1242</v>
      </c>
      <c r="F11" s="920" t="s">
        <v>1211</v>
      </c>
      <c r="G11" s="920" t="s">
        <v>1242</v>
      </c>
      <c r="H11" s="920" t="s">
        <v>1211</v>
      </c>
      <c r="I11" s="920" t="s">
        <v>1242</v>
      </c>
      <c r="J11" s="920" t="s">
        <v>1211</v>
      </c>
      <c r="K11" s="920" t="s">
        <v>1242</v>
      </c>
      <c r="L11" s="920" t="s">
        <v>1211</v>
      </c>
      <c r="M11" s="920" t="s">
        <v>1242</v>
      </c>
      <c r="N11" s="920" t="s">
        <v>1211</v>
      </c>
      <c r="O11" s="1509"/>
    </row>
    <row r="12" spans="1:17" s="1513" customFormat="1" ht="15.6">
      <c r="A12" s="1512"/>
      <c r="B12" s="1512"/>
      <c r="C12" s="946" t="s">
        <v>1260</v>
      </c>
      <c r="D12" s="946" t="s">
        <v>1213</v>
      </c>
      <c r="E12" s="946" t="s">
        <v>1260</v>
      </c>
      <c r="F12" s="946" t="s">
        <v>1213</v>
      </c>
      <c r="G12" s="946" t="s">
        <v>1260</v>
      </c>
      <c r="H12" s="946" t="s">
        <v>1213</v>
      </c>
      <c r="I12" s="946" t="s">
        <v>1260</v>
      </c>
      <c r="J12" s="946" t="s">
        <v>1213</v>
      </c>
      <c r="K12" s="946" t="s">
        <v>1260</v>
      </c>
      <c r="L12" s="946" t="s">
        <v>1213</v>
      </c>
      <c r="M12" s="946" t="s">
        <v>1260</v>
      </c>
      <c r="N12" s="946" t="s">
        <v>1213</v>
      </c>
      <c r="O12" s="1512"/>
    </row>
    <row r="13" spans="1:17" ht="31.5" customHeight="1">
      <c r="A13" s="927">
        <v>1</v>
      </c>
      <c r="B13" s="1514" t="s">
        <v>891</v>
      </c>
      <c r="C13" s="1093">
        <v>15222</v>
      </c>
      <c r="D13" s="1093">
        <v>4936679.4210000001</v>
      </c>
      <c r="E13" s="1093">
        <v>7062</v>
      </c>
      <c r="F13" s="1093">
        <v>2096584.6159999999</v>
      </c>
      <c r="G13" s="1093">
        <v>12329</v>
      </c>
      <c r="H13" s="1093">
        <v>4839353.852</v>
      </c>
      <c r="I13" s="1093">
        <v>15247</v>
      </c>
      <c r="J13" s="1093">
        <v>3898252.1060000001</v>
      </c>
      <c r="K13" s="1093">
        <v>14806</v>
      </c>
      <c r="L13" s="1093">
        <v>3925636.1149999998</v>
      </c>
      <c r="M13" s="1093">
        <v>9236</v>
      </c>
      <c r="N13" s="1093">
        <v>2384402.7680000002</v>
      </c>
      <c r="O13" s="1515" t="s">
        <v>892</v>
      </c>
      <c r="Q13" s="1531" t="e">
        <f>ROUND(#REF!,0)</f>
        <v>#REF!</v>
      </c>
    </row>
    <row r="14" spans="1:17" ht="43.5" customHeight="1">
      <c r="A14" s="927">
        <v>2</v>
      </c>
      <c r="B14" s="1516" t="s">
        <v>1261</v>
      </c>
      <c r="C14" s="1093">
        <v>11346</v>
      </c>
      <c r="D14" s="1093">
        <v>1312723.0189999999</v>
      </c>
      <c r="E14" s="1093">
        <v>7084</v>
      </c>
      <c r="F14" s="1093">
        <v>776465.44799999986</v>
      </c>
      <c r="G14" s="1093">
        <v>10340</v>
      </c>
      <c r="H14" s="1093">
        <v>845907.52800000005</v>
      </c>
      <c r="I14" s="1093">
        <v>16002</v>
      </c>
      <c r="J14" s="1093">
        <v>1152381.8859999999</v>
      </c>
      <c r="K14" s="1093">
        <v>16059</v>
      </c>
      <c r="L14" s="1093">
        <v>1251308.182</v>
      </c>
      <c r="M14" s="1093">
        <v>14999</v>
      </c>
      <c r="N14" s="1093">
        <v>1314713.71</v>
      </c>
      <c r="O14" s="1517" t="s">
        <v>1262</v>
      </c>
      <c r="Q14" s="1531" t="e">
        <f>ROUND(#REF!,0)</f>
        <v>#REF!</v>
      </c>
    </row>
    <row r="15" spans="1:17" ht="31.5" customHeight="1">
      <c r="A15" s="927">
        <v>3</v>
      </c>
      <c r="B15" s="1516" t="s">
        <v>1263</v>
      </c>
      <c r="C15" s="1093">
        <v>1228700</v>
      </c>
      <c r="D15" s="1093">
        <v>8273652.8689999999</v>
      </c>
      <c r="E15" s="1093">
        <v>1181672</v>
      </c>
      <c r="F15" s="1093">
        <v>8180632.0160000008</v>
      </c>
      <c r="G15" s="1093">
        <v>1475435</v>
      </c>
      <c r="H15" s="1093">
        <v>9586451.1559999995</v>
      </c>
      <c r="I15" s="1093">
        <v>1674827</v>
      </c>
      <c r="J15" s="1093">
        <v>11747818.969999999</v>
      </c>
      <c r="K15" s="1093">
        <v>1538656</v>
      </c>
      <c r="L15" s="1093">
        <v>10299632.366</v>
      </c>
      <c r="M15" s="1093">
        <v>1593824</v>
      </c>
      <c r="N15" s="1093">
        <v>10312739.694</v>
      </c>
      <c r="O15" s="1517" t="s">
        <v>1264</v>
      </c>
      <c r="Q15" s="1531" t="e">
        <f>ROUND(#REF!,0)</f>
        <v>#REF!</v>
      </c>
    </row>
    <row r="16" spans="1:17" ht="31.5" customHeight="1">
      <c r="A16" s="927">
        <v>4</v>
      </c>
      <c r="B16" s="1516" t="s">
        <v>1265</v>
      </c>
      <c r="C16" s="1093">
        <v>233323</v>
      </c>
      <c r="D16" s="1093">
        <v>5278834.0540000005</v>
      </c>
      <c r="E16" s="1093">
        <v>210123</v>
      </c>
      <c r="F16" s="1093">
        <v>4753512.5739999991</v>
      </c>
      <c r="G16" s="1093">
        <v>230979</v>
      </c>
      <c r="H16" s="1093">
        <v>5912483.4400000004</v>
      </c>
      <c r="I16" s="1093">
        <v>242644</v>
      </c>
      <c r="J16" s="1093">
        <v>5790702.7270000009</v>
      </c>
      <c r="K16" s="1093">
        <v>233542</v>
      </c>
      <c r="L16" s="1093">
        <v>5819153.0070000002</v>
      </c>
      <c r="M16" s="1093">
        <v>232218</v>
      </c>
      <c r="N16" s="1093">
        <v>6043872.7230000002</v>
      </c>
      <c r="O16" s="1517" t="s">
        <v>1266</v>
      </c>
      <c r="Q16" s="1531" t="e">
        <f>ROUND(#REF!,0)</f>
        <v>#REF!</v>
      </c>
    </row>
    <row r="17" spans="1:17" ht="31.5" customHeight="1">
      <c r="A17" s="927">
        <v>5</v>
      </c>
      <c r="B17" s="1516" t="s">
        <v>1267</v>
      </c>
      <c r="C17" s="1093">
        <v>270833</v>
      </c>
      <c r="D17" s="1093">
        <v>88793454.766000003</v>
      </c>
      <c r="E17" s="1093">
        <v>170523</v>
      </c>
      <c r="F17" s="1093">
        <v>54630707.741999999</v>
      </c>
      <c r="G17" s="1093">
        <v>251802</v>
      </c>
      <c r="H17" s="1093">
        <v>70036967.928000003</v>
      </c>
      <c r="I17" s="1093">
        <v>244631</v>
      </c>
      <c r="J17" s="1093">
        <v>78964948.279999986</v>
      </c>
      <c r="K17" s="1093">
        <v>257819</v>
      </c>
      <c r="L17" s="1093">
        <v>73904117.765000001</v>
      </c>
      <c r="M17" s="1093">
        <v>293576</v>
      </c>
      <c r="N17" s="1093">
        <v>97160613.593999997</v>
      </c>
      <c r="O17" s="1517" t="s">
        <v>1268</v>
      </c>
      <c r="Q17" s="1531" t="e">
        <f>ROUND(#REF!,0)</f>
        <v>#REF!</v>
      </c>
    </row>
    <row r="18" spans="1:17" ht="46.8">
      <c r="A18" s="927">
        <v>6</v>
      </c>
      <c r="B18" s="1516" t="s">
        <v>1269</v>
      </c>
      <c r="C18" s="1093">
        <v>57010</v>
      </c>
      <c r="D18" s="1093">
        <v>3450358.3309999998</v>
      </c>
      <c r="E18" s="1093">
        <v>52339</v>
      </c>
      <c r="F18" s="1093">
        <v>3397489.0160000003</v>
      </c>
      <c r="G18" s="1093">
        <v>59887</v>
      </c>
      <c r="H18" s="1093">
        <v>3949310.0869999998</v>
      </c>
      <c r="I18" s="1093">
        <v>61215</v>
      </c>
      <c r="J18" s="1093">
        <v>3410570.2919999999</v>
      </c>
      <c r="K18" s="1093">
        <v>57472</v>
      </c>
      <c r="L18" s="1093">
        <v>3268466.986</v>
      </c>
      <c r="M18" s="1093">
        <v>58790</v>
      </c>
      <c r="N18" s="1093">
        <v>3773740.8419999997</v>
      </c>
      <c r="O18" s="1518" t="s">
        <v>1270</v>
      </c>
      <c r="Q18" s="1531" t="e">
        <f>ROUND(#REF!,0)</f>
        <v>#REF!</v>
      </c>
    </row>
    <row r="19" spans="1:17" ht="31.5" customHeight="1">
      <c r="A19" s="927">
        <v>7</v>
      </c>
      <c r="B19" s="1516" t="s">
        <v>1271</v>
      </c>
      <c r="C19" s="1093">
        <v>1337183</v>
      </c>
      <c r="D19" s="1093">
        <v>15291860.943</v>
      </c>
      <c r="E19" s="1093">
        <v>1345180</v>
      </c>
      <c r="F19" s="1093">
        <v>16702013.827000001</v>
      </c>
      <c r="G19" s="1093">
        <v>1310485</v>
      </c>
      <c r="H19" s="1093">
        <v>14092060.911</v>
      </c>
      <c r="I19" s="1093">
        <v>1426387</v>
      </c>
      <c r="J19" s="1093">
        <v>15165113.005000001</v>
      </c>
      <c r="K19" s="1093">
        <v>1346788</v>
      </c>
      <c r="L19" s="1093">
        <v>14759400.434999999</v>
      </c>
      <c r="M19" s="1093">
        <v>1342654</v>
      </c>
      <c r="N19" s="1093">
        <v>14354459.702000001</v>
      </c>
      <c r="O19" s="1517" t="s">
        <v>1272</v>
      </c>
      <c r="Q19" s="1531" t="e">
        <f>ROUND(#REF!,0)</f>
        <v>#REF!</v>
      </c>
    </row>
    <row r="20" spans="1:17" ht="31.5" customHeight="1">
      <c r="A20" s="927">
        <v>8</v>
      </c>
      <c r="B20" s="1516" t="s">
        <v>1273</v>
      </c>
      <c r="C20" s="1093">
        <v>9250</v>
      </c>
      <c r="D20" s="1093">
        <v>4984831.5640000002</v>
      </c>
      <c r="E20" s="1093">
        <v>9249</v>
      </c>
      <c r="F20" s="1093">
        <v>4396131.1950000003</v>
      </c>
      <c r="G20" s="1093">
        <v>9317</v>
      </c>
      <c r="H20" s="1093">
        <v>4489147.0649999995</v>
      </c>
      <c r="I20" s="1093">
        <v>11257</v>
      </c>
      <c r="J20" s="1093">
        <v>6855650.3219999997</v>
      </c>
      <c r="K20" s="1093">
        <v>12490</v>
      </c>
      <c r="L20" s="1093">
        <v>6185473.2630000003</v>
      </c>
      <c r="M20" s="1093">
        <v>9588</v>
      </c>
      <c r="N20" s="1093">
        <v>4452393.6279999996</v>
      </c>
      <c r="O20" s="1517" t="s">
        <v>1274</v>
      </c>
      <c r="Q20" s="1531" t="e">
        <f>ROUND(#REF!,0)</f>
        <v>#REF!</v>
      </c>
    </row>
    <row r="21" spans="1:17" ht="31.5" customHeight="1">
      <c r="A21" s="927">
        <v>9</v>
      </c>
      <c r="B21" s="1516" t="s">
        <v>1275</v>
      </c>
      <c r="C21" s="1093">
        <v>138127</v>
      </c>
      <c r="D21" s="1093">
        <v>3090478.8779999996</v>
      </c>
      <c r="E21" s="1093">
        <v>114449</v>
      </c>
      <c r="F21" s="1093">
        <v>2495668.5460000001</v>
      </c>
      <c r="G21" s="1093">
        <v>122199</v>
      </c>
      <c r="H21" s="1093">
        <v>2765946.3089999999</v>
      </c>
      <c r="I21" s="1093">
        <v>154333</v>
      </c>
      <c r="J21" s="1093">
        <v>3472792.1359999999</v>
      </c>
      <c r="K21" s="1093">
        <v>137137</v>
      </c>
      <c r="L21" s="1093">
        <v>3075664.3459999999</v>
      </c>
      <c r="M21" s="1093">
        <v>132228</v>
      </c>
      <c r="N21" s="1093">
        <v>3166018.4780000001</v>
      </c>
      <c r="O21" s="1517" t="s">
        <v>1276</v>
      </c>
      <c r="Q21" s="1531" t="e">
        <f>ROUND(#REF!,0)</f>
        <v>#REF!</v>
      </c>
    </row>
    <row r="22" spans="1:17" ht="31.5" customHeight="1">
      <c r="A22" s="927">
        <v>10</v>
      </c>
      <c r="B22" s="1516" t="s">
        <v>1277</v>
      </c>
      <c r="C22" s="1093">
        <v>128104</v>
      </c>
      <c r="D22" s="1093">
        <v>3686811.3350000004</v>
      </c>
      <c r="E22" s="1093">
        <v>162214</v>
      </c>
      <c r="F22" s="1093">
        <v>4326129.7280000001</v>
      </c>
      <c r="G22" s="1093">
        <v>140899</v>
      </c>
      <c r="H22" s="1093">
        <v>3820575.9699999997</v>
      </c>
      <c r="I22" s="1093">
        <v>204149</v>
      </c>
      <c r="J22" s="1093">
        <v>5671332.2919999994</v>
      </c>
      <c r="K22" s="1093">
        <v>167213</v>
      </c>
      <c r="L22" s="1093">
        <v>4680014.5529999994</v>
      </c>
      <c r="M22" s="1093">
        <v>154768</v>
      </c>
      <c r="N22" s="1093">
        <v>3974148.8859999999</v>
      </c>
      <c r="O22" s="1517" t="s">
        <v>1278</v>
      </c>
      <c r="Q22" s="1531" t="e">
        <f>ROUND(#REF!,0)</f>
        <v>#REF!</v>
      </c>
    </row>
    <row r="23" spans="1:17" ht="31.5" customHeight="1">
      <c r="A23" s="927">
        <v>11</v>
      </c>
      <c r="B23" s="1516" t="s">
        <v>1279</v>
      </c>
      <c r="C23" s="1093">
        <v>41982</v>
      </c>
      <c r="D23" s="1093">
        <v>3007159.3260000004</v>
      </c>
      <c r="E23" s="1093">
        <v>45181</v>
      </c>
      <c r="F23" s="1093">
        <v>3146700.341</v>
      </c>
      <c r="G23" s="1093">
        <v>46066</v>
      </c>
      <c r="H23" s="1093">
        <v>3824032.2980000004</v>
      </c>
      <c r="I23" s="1093">
        <v>46283</v>
      </c>
      <c r="J23" s="1093">
        <v>3650765.8189999997</v>
      </c>
      <c r="K23" s="1093">
        <v>45765</v>
      </c>
      <c r="L23" s="1093">
        <v>3423368.9439999997</v>
      </c>
      <c r="M23" s="1093">
        <v>46733</v>
      </c>
      <c r="N23" s="1093">
        <v>3510400.3810000001</v>
      </c>
      <c r="O23" s="1517" t="s">
        <v>1280</v>
      </c>
      <c r="Q23" s="1531" t="e">
        <f>ROUND(#REF!,0)</f>
        <v>#REF!</v>
      </c>
    </row>
    <row r="24" spans="1:17" ht="30" customHeight="1">
      <c r="A24" s="927">
        <v>12</v>
      </c>
      <c r="B24" s="1516" t="s">
        <v>1281</v>
      </c>
      <c r="C24" s="1093">
        <v>37623</v>
      </c>
      <c r="D24" s="1093">
        <v>2725438.8589999997</v>
      </c>
      <c r="E24" s="1093">
        <v>33541</v>
      </c>
      <c r="F24" s="1093">
        <v>2900915.2259999993</v>
      </c>
      <c r="G24" s="1093">
        <v>41963</v>
      </c>
      <c r="H24" s="1093">
        <v>3299203.2739999997</v>
      </c>
      <c r="I24" s="1093">
        <v>46060</v>
      </c>
      <c r="J24" s="1093">
        <v>3054555.0610000002</v>
      </c>
      <c r="K24" s="1093">
        <v>43854</v>
      </c>
      <c r="L24" s="1093">
        <v>2992085.8470000001</v>
      </c>
      <c r="M24" s="1093">
        <v>51702</v>
      </c>
      <c r="N24" s="1093">
        <v>3318782.8879999993</v>
      </c>
      <c r="O24" s="1517" t="s">
        <v>1282</v>
      </c>
      <c r="Q24" s="1531" t="e">
        <f>ROUND(#REF!,0)</f>
        <v>#REF!</v>
      </c>
    </row>
    <row r="25" spans="1:17" ht="31.5" customHeight="1">
      <c r="A25" s="927">
        <v>13</v>
      </c>
      <c r="B25" s="1516" t="s">
        <v>1283</v>
      </c>
      <c r="C25" s="1093">
        <v>197202</v>
      </c>
      <c r="D25" s="1093">
        <v>5872458.0459999992</v>
      </c>
      <c r="E25" s="1093">
        <v>220849</v>
      </c>
      <c r="F25" s="1093">
        <v>6662882.0560000008</v>
      </c>
      <c r="G25" s="1093">
        <v>206561</v>
      </c>
      <c r="H25" s="1093">
        <v>6718203.5</v>
      </c>
      <c r="I25" s="1093">
        <v>214538</v>
      </c>
      <c r="J25" s="1093">
        <v>6840223.5719999988</v>
      </c>
      <c r="K25" s="1093">
        <v>206160</v>
      </c>
      <c r="L25" s="1093">
        <v>6669123.6060000006</v>
      </c>
      <c r="M25" s="1093">
        <v>215318</v>
      </c>
      <c r="N25" s="1093">
        <v>7220364.1669999994</v>
      </c>
      <c r="O25" s="1517" t="s">
        <v>1284</v>
      </c>
      <c r="Q25" s="1531" t="e">
        <f>ROUND(#REF!,0)</f>
        <v>#REF!</v>
      </c>
    </row>
    <row r="26" spans="1:17" ht="31.5" customHeight="1">
      <c r="A26" s="927">
        <v>14</v>
      </c>
      <c r="B26" s="1516" t="s">
        <v>1285</v>
      </c>
      <c r="C26" s="1093">
        <v>6426</v>
      </c>
      <c r="D26" s="1093">
        <v>431265.54300000001</v>
      </c>
      <c r="E26" s="1093">
        <v>4174</v>
      </c>
      <c r="F26" s="1093">
        <v>220899.22</v>
      </c>
      <c r="G26" s="1093">
        <v>5835</v>
      </c>
      <c r="H26" s="1093">
        <v>471362.63299999997</v>
      </c>
      <c r="I26" s="1093">
        <v>7768</v>
      </c>
      <c r="J26" s="1093">
        <v>639420.32900000014</v>
      </c>
      <c r="K26" s="1093">
        <v>7690</v>
      </c>
      <c r="L26" s="1093">
        <v>658220.61999999988</v>
      </c>
      <c r="M26" s="1093">
        <v>7717</v>
      </c>
      <c r="N26" s="1093">
        <v>489271.2680000001</v>
      </c>
      <c r="O26" s="1517" t="s">
        <v>1286</v>
      </c>
      <c r="Q26" s="1531" t="e">
        <f>ROUND(#REF!,0)</f>
        <v>#REF!</v>
      </c>
    </row>
    <row r="27" spans="1:17" ht="31.2">
      <c r="A27" s="927">
        <v>15</v>
      </c>
      <c r="B27" s="1516" t="s">
        <v>1287</v>
      </c>
      <c r="C27" s="1093">
        <v>391905</v>
      </c>
      <c r="D27" s="1093">
        <v>11642449.988</v>
      </c>
      <c r="E27" s="1093">
        <v>333635</v>
      </c>
      <c r="F27" s="1093">
        <v>9808532.8990000002</v>
      </c>
      <c r="G27" s="1093">
        <v>372541</v>
      </c>
      <c r="H27" s="1093">
        <v>11314686.329</v>
      </c>
      <c r="I27" s="1093">
        <v>426801</v>
      </c>
      <c r="J27" s="1093">
        <v>10839382.138</v>
      </c>
      <c r="K27" s="1093">
        <v>419232</v>
      </c>
      <c r="L27" s="1093">
        <v>11107545.274000002</v>
      </c>
      <c r="M27" s="1093">
        <v>426846</v>
      </c>
      <c r="N27" s="1093">
        <v>11731461.209999999</v>
      </c>
      <c r="O27" s="1517" t="s">
        <v>1288</v>
      </c>
      <c r="Q27" s="1531" t="e">
        <f>ROUND(#REF!,0)</f>
        <v>#REF!</v>
      </c>
    </row>
    <row r="28" spans="1:17" ht="31.5" customHeight="1">
      <c r="A28" s="927">
        <v>16</v>
      </c>
      <c r="B28" s="1516" t="s">
        <v>1289</v>
      </c>
      <c r="C28" s="1093">
        <v>5163</v>
      </c>
      <c r="D28" s="1093">
        <v>1150123.5189999999</v>
      </c>
      <c r="E28" s="1093">
        <v>1529</v>
      </c>
      <c r="F28" s="1093">
        <v>596875.94699999993</v>
      </c>
      <c r="G28" s="1093">
        <v>3460</v>
      </c>
      <c r="H28" s="1093">
        <v>789467.57499999995</v>
      </c>
      <c r="I28" s="1093">
        <v>5754</v>
      </c>
      <c r="J28" s="1093">
        <v>1794241.5990000002</v>
      </c>
      <c r="K28" s="1093">
        <v>6012</v>
      </c>
      <c r="L28" s="1093">
        <v>1775875.852</v>
      </c>
      <c r="M28" s="1093">
        <v>7081</v>
      </c>
      <c r="N28" s="1093">
        <v>1825501.3439999998</v>
      </c>
      <c r="O28" s="1518" t="s">
        <v>1290</v>
      </c>
      <c r="Q28" s="1531" t="e">
        <f>ROUND(#REF!,0)</f>
        <v>#REF!</v>
      </c>
    </row>
    <row r="29" spans="1:17" ht="31.5" customHeight="1">
      <c r="A29" s="927">
        <v>17</v>
      </c>
      <c r="B29" s="1516" t="s">
        <v>1291</v>
      </c>
      <c r="C29" s="1093">
        <v>61408</v>
      </c>
      <c r="D29" s="1093">
        <v>1790974.0829999999</v>
      </c>
      <c r="E29" s="1093">
        <v>57843</v>
      </c>
      <c r="F29" s="1093">
        <v>999965.299</v>
      </c>
      <c r="G29" s="1093">
        <v>84096</v>
      </c>
      <c r="H29" s="1093">
        <v>1036817.464</v>
      </c>
      <c r="I29" s="1093">
        <v>112357</v>
      </c>
      <c r="J29" s="1093">
        <v>1967924.615</v>
      </c>
      <c r="K29" s="1093">
        <v>92126</v>
      </c>
      <c r="L29" s="1093">
        <v>1955227.0630000001</v>
      </c>
      <c r="M29" s="1093">
        <v>103465</v>
      </c>
      <c r="N29" s="1093">
        <v>1764166.4080000001</v>
      </c>
      <c r="O29" s="1517" t="s">
        <v>1292</v>
      </c>
      <c r="Q29" s="1531" t="e">
        <f>ROUND(#REF!,0)</f>
        <v>#REF!</v>
      </c>
    </row>
    <row r="30" spans="1:17" ht="46.5" customHeight="1">
      <c r="A30" s="927">
        <v>18</v>
      </c>
      <c r="B30" s="1516" t="s">
        <v>1293</v>
      </c>
      <c r="C30" s="1093">
        <v>24995</v>
      </c>
      <c r="D30" s="1093">
        <v>2140434.9620000003</v>
      </c>
      <c r="E30" s="1093">
        <v>20036</v>
      </c>
      <c r="F30" s="1093">
        <v>1800053.868</v>
      </c>
      <c r="G30" s="1093">
        <v>26712</v>
      </c>
      <c r="H30" s="1093">
        <v>2116393.727</v>
      </c>
      <c r="I30" s="1093">
        <v>26092</v>
      </c>
      <c r="J30" s="1093">
        <v>1971037.409</v>
      </c>
      <c r="K30" s="1093">
        <v>23111</v>
      </c>
      <c r="L30" s="1093">
        <v>1758787.6179999998</v>
      </c>
      <c r="M30" s="1093">
        <v>23902</v>
      </c>
      <c r="N30" s="1093">
        <v>1820419.199</v>
      </c>
      <c r="O30" s="1517" t="s">
        <v>1294</v>
      </c>
      <c r="Q30" s="1531" t="e">
        <f>ROUND(#REF!,0)</f>
        <v>#REF!</v>
      </c>
    </row>
    <row r="31" spans="1:17" ht="31.5" customHeight="1">
      <c r="A31" s="927">
        <v>19</v>
      </c>
      <c r="B31" s="1516" t="s">
        <v>1295</v>
      </c>
      <c r="C31" s="1093">
        <v>14586</v>
      </c>
      <c r="D31" s="1093">
        <v>378335.82199999999</v>
      </c>
      <c r="E31" s="1093">
        <v>7698</v>
      </c>
      <c r="F31" s="1093">
        <v>371854.40900000004</v>
      </c>
      <c r="G31" s="1093">
        <v>11022</v>
      </c>
      <c r="H31" s="1093">
        <v>378022.42599999998</v>
      </c>
      <c r="I31" s="1093">
        <v>11698</v>
      </c>
      <c r="J31" s="1093">
        <v>363046.75599999999</v>
      </c>
      <c r="K31" s="1093">
        <v>11340</v>
      </c>
      <c r="L31" s="1093">
        <v>376082.33799999999</v>
      </c>
      <c r="M31" s="1093">
        <v>9501</v>
      </c>
      <c r="N31" s="1093">
        <v>336966.18399999995</v>
      </c>
      <c r="O31" s="1517" t="s">
        <v>1296</v>
      </c>
      <c r="Q31" s="1531" t="e">
        <f>ROUND(#REF!,0)</f>
        <v>#REF!</v>
      </c>
    </row>
    <row r="32" spans="1:17" ht="31.5" customHeight="1">
      <c r="A32" s="927">
        <v>20</v>
      </c>
      <c r="B32" s="1516" t="s">
        <v>1297</v>
      </c>
      <c r="C32" s="1093">
        <v>470954</v>
      </c>
      <c r="D32" s="1093">
        <v>16428265.325000001</v>
      </c>
      <c r="E32" s="1093">
        <v>477408</v>
      </c>
      <c r="F32" s="1093">
        <v>13530068.173</v>
      </c>
      <c r="G32" s="1093">
        <v>470975</v>
      </c>
      <c r="H32" s="1093">
        <v>16324781.26</v>
      </c>
      <c r="I32" s="1093">
        <v>538286</v>
      </c>
      <c r="J32" s="1093">
        <v>17715223.729000002</v>
      </c>
      <c r="K32" s="1093">
        <v>505494</v>
      </c>
      <c r="L32" s="1093">
        <v>18983037.880000003</v>
      </c>
      <c r="M32" s="1093">
        <v>528212</v>
      </c>
      <c r="N32" s="1093">
        <v>23871204.858999997</v>
      </c>
      <c r="O32" s="1517" t="s">
        <v>1298</v>
      </c>
      <c r="Q32" s="1531" t="e">
        <f>ROUND(#REF!,0)</f>
        <v>#REF!</v>
      </c>
    </row>
    <row r="33" spans="1:17" s="1521" customFormat="1" ht="31.5" customHeight="1">
      <c r="A33" s="943"/>
      <c r="B33" s="1519" t="s">
        <v>392</v>
      </c>
      <c r="C33" s="966">
        <v>4681342</v>
      </c>
      <c r="D33" s="966">
        <v>184666590.55300003</v>
      </c>
      <c r="E33" s="966">
        <v>4461789</v>
      </c>
      <c r="F33" s="966">
        <v>141794082.146</v>
      </c>
      <c r="G33" s="966">
        <v>4892903</v>
      </c>
      <c r="H33" s="966">
        <v>166611173.73199996</v>
      </c>
      <c r="I33" s="966">
        <v>5486329</v>
      </c>
      <c r="J33" s="966">
        <v>184965382.623</v>
      </c>
      <c r="K33" s="966">
        <v>5142766</v>
      </c>
      <c r="L33" s="966">
        <v>176868221.55999997</v>
      </c>
      <c r="M33" s="966">
        <v>5262358</v>
      </c>
      <c r="N33" s="966">
        <v>202825642.23300001</v>
      </c>
      <c r="O33" s="1520" t="s">
        <v>382</v>
      </c>
      <c r="Q33" s="1531" t="e">
        <f>ROUND(#REF!,0)</f>
        <v>#REF!</v>
      </c>
    </row>
    <row r="34" spans="1:17" ht="27.75" customHeight="1">
      <c r="A34" s="1522" t="s">
        <v>1299</v>
      </c>
      <c r="B34" s="1523"/>
      <c r="C34" s="1524"/>
      <c r="D34" s="1524"/>
      <c r="E34" s="1524"/>
      <c r="F34" s="1524"/>
      <c r="G34" s="1524"/>
      <c r="H34" s="1524"/>
      <c r="I34" s="1524"/>
      <c r="J34" s="1524"/>
      <c r="K34" s="1524"/>
      <c r="L34" s="1524"/>
      <c r="M34" s="1524"/>
      <c r="N34" s="1524"/>
      <c r="O34" s="1525" t="s">
        <v>1300</v>
      </c>
    </row>
    <row r="35" spans="1:17" ht="17.399999999999999">
      <c r="A35" s="1522" t="s">
        <v>1301</v>
      </c>
      <c r="B35" s="1523"/>
      <c r="C35" s="1524"/>
      <c r="D35" s="1524"/>
      <c r="E35" s="1524"/>
      <c r="F35" s="1524"/>
      <c r="G35" s="1524"/>
      <c r="H35" s="1524"/>
      <c r="I35" s="1524"/>
      <c r="J35" s="1524"/>
      <c r="K35" s="1524"/>
      <c r="L35" s="1524"/>
      <c r="M35" s="1524"/>
      <c r="N35" s="1524"/>
      <c r="O35" s="1525" t="s">
        <v>1302</v>
      </c>
    </row>
    <row r="36" spans="1:17">
      <c r="A36" s="1501"/>
      <c r="B36" s="1501"/>
      <c r="C36" s="1501"/>
      <c r="D36" s="1501"/>
      <c r="E36" s="1501"/>
      <c r="F36" s="1501"/>
      <c r="G36" s="1501"/>
      <c r="H36" s="1501"/>
      <c r="I36" s="1501"/>
      <c r="J36" s="1501"/>
      <c r="K36" s="1501"/>
      <c r="L36" s="1501"/>
      <c r="M36" s="1501"/>
      <c r="N36" s="1501"/>
    </row>
    <row r="37" spans="1:17">
      <c r="A37" s="1526" t="s">
        <v>1303</v>
      </c>
      <c r="B37" s="1526"/>
      <c r="C37" s="1526"/>
      <c r="D37" s="1526"/>
      <c r="E37" s="1526"/>
      <c r="F37" s="1526"/>
      <c r="G37" s="1526"/>
      <c r="H37" s="1526"/>
      <c r="I37" s="1526"/>
      <c r="J37" s="1526"/>
      <c r="K37" s="1526"/>
      <c r="L37" s="1526"/>
      <c r="M37" s="1526"/>
      <c r="N37" s="1526"/>
      <c r="O37" s="1526"/>
    </row>
    <row r="38" spans="1:17">
      <c r="C38" s="1528"/>
      <c r="D38" s="1528"/>
      <c r="E38" s="1528"/>
      <c r="F38" s="1528"/>
      <c r="G38" s="1528"/>
      <c r="H38" s="1528"/>
      <c r="I38" s="1528"/>
      <c r="J38" s="1528"/>
      <c r="K38" s="1528"/>
      <c r="L38" s="1528"/>
      <c r="M38" s="1528"/>
      <c r="N38" s="1528"/>
    </row>
    <row r="39" spans="1:17">
      <c r="C39" s="1529"/>
      <c r="D39" s="1529"/>
      <c r="E39" s="1529"/>
      <c r="F39" s="1529"/>
      <c r="G39" s="1529"/>
      <c r="H39" s="1529"/>
      <c r="I39" s="1529"/>
      <c r="J39" s="1529"/>
      <c r="K39" s="1529"/>
      <c r="L39" s="1529"/>
      <c r="M39" s="1529"/>
      <c r="N39" s="1529"/>
    </row>
    <row r="41" spans="1:17">
      <c r="C41" s="1530"/>
      <c r="D41" s="1530"/>
      <c r="E41" s="1530"/>
      <c r="F41" s="1530"/>
      <c r="G41" s="1530"/>
      <c r="H41" s="1530"/>
      <c r="I41" s="1530"/>
      <c r="J41" s="1530"/>
      <c r="K41" s="1530"/>
      <c r="L41" s="1530"/>
      <c r="M41" s="1530"/>
      <c r="N41" s="1530"/>
      <c r="O41" s="1530"/>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5">
    <pageSetUpPr fitToPage="1"/>
  </sheetPr>
  <dimension ref="A1:O41"/>
  <sheetViews>
    <sheetView topLeftCell="C22" zoomScale="70" zoomScaleNormal="70" workbookViewId="0">
      <selection activeCell="D38" sqref="D38"/>
    </sheetView>
  </sheetViews>
  <sheetFormatPr defaultColWidth="18.21875" defaultRowHeight="15"/>
  <cols>
    <col min="1" max="1" width="6.21875" style="1527" customWidth="1"/>
    <col min="2" max="2" width="45.77734375" style="1503" customWidth="1"/>
    <col min="3" max="3" width="14.77734375" style="1503" customWidth="1"/>
    <col min="4" max="4" width="14.21875" style="1503" customWidth="1"/>
    <col min="5" max="5" width="14.77734375" style="1503" customWidth="1"/>
    <col min="6" max="6" width="14.21875" style="1503" customWidth="1"/>
    <col min="7" max="7" width="14.77734375" style="1503" customWidth="1"/>
    <col min="8" max="8" width="14.21875" style="1503" customWidth="1"/>
    <col min="9" max="9" width="14.77734375" style="1503" customWidth="1"/>
    <col min="10" max="10" width="14.21875" style="1503" customWidth="1"/>
    <col min="11" max="11" width="14.77734375" style="1503" customWidth="1"/>
    <col min="12" max="12" width="14.21875" style="1503" customWidth="1"/>
    <col min="13" max="13" width="14.77734375" style="1503" customWidth="1"/>
    <col min="14" max="14" width="14.21875" style="1503" customWidth="1"/>
    <col min="15" max="15" width="46.77734375" style="1503" customWidth="1"/>
    <col min="16" max="16384" width="18.21875" style="1503"/>
  </cols>
  <sheetData>
    <row r="1" spans="1:15" ht="18" customHeight="1">
      <c r="A1" s="949" t="s">
        <v>1743</v>
      </c>
      <c r="B1" s="948"/>
      <c r="C1" s="948"/>
      <c r="D1" s="948"/>
      <c r="E1" s="948"/>
      <c r="F1" s="948"/>
      <c r="G1" s="948"/>
      <c r="H1" s="948"/>
      <c r="I1" s="948"/>
      <c r="J1" s="948"/>
      <c r="K1" s="948"/>
      <c r="L1" s="948"/>
      <c r="M1" s="948"/>
      <c r="N1" s="948"/>
      <c r="O1" s="948"/>
    </row>
    <row r="2" spans="1:15" ht="18" customHeight="1">
      <c r="A2" s="949" t="s">
        <v>1304</v>
      </c>
      <c r="B2" s="1504"/>
      <c r="C2" s="1504"/>
      <c r="D2" s="1504"/>
      <c r="E2" s="1504"/>
      <c r="F2" s="1504"/>
      <c r="G2" s="1504"/>
      <c r="H2" s="1504"/>
      <c r="I2" s="1504"/>
      <c r="J2" s="1504"/>
      <c r="K2" s="1504"/>
      <c r="L2" s="1504"/>
      <c r="M2" s="1504"/>
      <c r="N2" s="1504"/>
      <c r="O2" s="1504"/>
    </row>
    <row r="3" spans="1:15" ht="17.399999999999999">
      <c r="A3" s="949" t="s">
        <v>1305</v>
      </c>
      <c r="B3" s="948"/>
      <c r="C3" s="948"/>
      <c r="D3" s="948"/>
      <c r="E3" s="948"/>
      <c r="F3" s="948"/>
      <c r="G3" s="948"/>
      <c r="H3" s="948"/>
      <c r="I3" s="948"/>
      <c r="J3" s="948"/>
      <c r="K3" s="948"/>
      <c r="L3" s="948"/>
      <c r="M3" s="948"/>
      <c r="N3" s="948"/>
      <c r="O3" s="948"/>
    </row>
    <row r="4" spans="1:15" ht="4.5" customHeight="1">
      <c r="A4" s="948"/>
      <c r="B4" s="948"/>
      <c r="C4" s="1505"/>
      <c r="D4" s="1505"/>
      <c r="E4" s="1505"/>
      <c r="F4" s="1505"/>
      <c r="G4" s="1505"/>
      <c r="H4" s="1505"/>
      <c r="I4" s="1505"/>
      <c r="J4" s="1505"/>
      <c r="K4" s="1505"/>
      <c r="L4" s="1505"/>
      <c r="M4" s="1505"/>
      <c r="N4" s="1505"/>
      <c r="O4" s="948"/>
    </row>
    <row r="5" spans="1:15" ht="15.75" hidden="1" customHeight="1">
      <c r="A5" s="948"/>
      <c r="B5" s="948"/>
      <c r="C5" s="1505"/>
      <c r="D5" s="1505"/>
      <c r="E5" s="1505"/>
      <c r="F5" s="1505"/>
      <c r="G5" s="1505"/>
      <c r="H5" s="1505"/>
      <c r="I5" s="1505"/>
      <c r="J5" s="1505"/>
      <c r="K5" s="1505"/>
      <c r="L5" s="1505"/>
      <c r="M5" s="1505"/>
      <c r="N5" s="1505"/>
      <c r="O5" s="948"/>
    </row>
    <row r="6" spans="1:15" ht="15.75" hidden="1" customHeight="1">
      <c r="A6" s="948"/>
      <c r="B6" s="948"/>
      <c r="C6" s="1505"/>
      <c r="D6" s="1505"/>
      <c r="E6" s="1505"/>
      <c r="F6" s="1505"/>
      <c r="G6" s="1505"/>
      <c r="H6" s="1505"/>
      <c r="I6" s="1505"/>
      <c r="J6" s="1505"/>
      <c r="K6" s="1505"/>
      <c r="L6" s="1505"/>
      <c r="M6" s="1505"/>
      <c r="N6" s="1505"/>
      <c r="O6" s="948"/>
    </row>
    <row r="7" spans="1:15" ht="15.75" hidden="1" customHeight="1">
      <c r="A7" s="948"/>
      <c r="B7" s="948"/>
      <c r="C7" s="1505"/>
      <c r="D7" s="1505"/>
      <c r="E7" s="1505"/>
      <c r="F7" s="1505"/>
      <c r="G7" s="1505"/>
      <c r="H7" s="1505"/>
      <c r="I7" s="1505"/>
      <c r="J7" s="1505"/>
      <c r="K7" s="1505"/>
      <c r="L7" s="1505"/>
      <c r="M7" s="1505"/>
      <c r="N7" s="1505"/>
      <c r="O7" s="948"/>
    </row>
    <row r="8" spans="1:15">
      <c r="A8" s="829" t="s">
        <v>1258</v>
      </c>
      <c r="C8" s="829"/>
      <c r="D8" s="829"/>
      <c r="E8" s="829"/>
      <c r="F8" s="829"/>
      <c r="G8" s="829"/>
      <c r="H8" s="829"/>
      <c r="I8" s="829"/>
      <c r="J8" s="829"/>
      <c r="K8" s="829"/>
      <c r="L8" s="829"/>
      <c r="M8" s="829"/>
      <c r="N8" s="829"/>
      <c r="O8" s="829" t="s">
        <v>1259</v>
      </c>
    </row>
    <row r="9" spans="1:15" s="1508" customFormat="1" ht="20.25" customHeight="1">
      <c r="A9" s="1506"/>
      <c r="B9" s="1506" t="s">
        <v>856</v>
      </c>
      <c r="C9" s="1507">
        <v>2026</v>
      </c>
      <c r="D9" s="1507"/>
      <c r="E9" s="1507"/>
      <c r="F9" s="1507"/>
      <c r="G9" s="1507"/>
      <c r="H9" s="1507"/>
      <c r="I9" s="1507"/>
      <c r="J9" s="1507"/>
      <c r="K9" s="1507"/>
      <c r="L9" s="1507"/>
      <c r="M9" s="1507"/>
      <c r="N9" s="1507"/>
      <c r="O9" s="1506" t="s">
        <v>857</v>
      </c>
    </row>
    <row r="10" spans="1:15" s="1508" customFormat="1" ht="20.25" customHeight="1">
      <c r="A10" s="1509"/>
      <c r="B10" s="1509"/>
      <c r="C10" s="1510" t="s">
        <v>1657</v>
      </c>
      <c r="D10" s="1511"/>
      <c r="E10" s="1510" t="s">
        <v>1678</v>
      </c>
      <c r="F10" s="1511"/>
      <c r="G10" s="1510" t="s">
        <v>1696</v>
      </c>
      <c r="H10" s="1511"/>
      <c r="I10" s="1510" t="s">
        <v>418</v>
      </c>
      <c r="J10" s="1511"/>
      <c r="K10" s="1510" t="s">
        <v>1708</v>
      </c>
      <c r="L10" s="1511"/>
      <c r="M10" s="1510" t="s">
        <v>1716</v>
      </c>
      <c r="N10" s="1511"/>
      <c r="O10" s="1509"/>
    </row>
    <row r="11" spans="1:15" s="1508" customFormat="1" ht="15.6">
      <c r="A11" s="1509"/>
      <c r="B11" s="1509"/>
      <c r="C11" s="920" t="s">
        <v>1242</v>
      </c>
      <c r="D11" s="920" t="s">
        <v>1211</v>
      </c>
      <c r="E11" s="920" t="s">
        <v>1242</v>
      </c>
      <c r="F11" s="920" t="s">
        <v>1211</v>
      </c>
      <c r="G11" s="920" t="s">
        <v>1242</v>
      </c>
      <c r="H11" s="920" t="s">
        <v>1211</v>
      </c>
      <c r="I11" s="920" t="s">
        <v>1242</v>
      </c>
      <c r="J11" s="920" t="s">
        <v>1211</v>
      </c>
      <c r="K11" s="920" t="s">
        <v>1242</v>
      </c>
      <c r="L11" s="920" t="s">
        <v>1211</v>
      </c>
      <c r="M11" s="920" t="s">
        <v>1242</v>
      </c>
      <c r="N11" s="920" t="s">
        <v>1211</v>
      </c>
      <c r="O11" s="1509"/>
    </row>
    <row r="12" spans="1:15" s="1513" customFormat="1" ht="15.6">
      <c r="A12" s="1512"/>
      <c r="B12" s="1512"/>
      <c r="C12" s="946" t="s">
        <v>1260</v>
      </c>
      <c r="D12" s="946" t="s">
        <v>1213</v>
      </c>
      <c r="E12" s="946" t="s">
        <v>1260</v>
      </c>
      <c r="F12" s="946" t="s">
        <v>1213</v>
      </c>
      <c r="G12" s="946" t="s">
        <v>1260</v>
      </c>
      <c r="H12" s="946" t="s">
        <v>1213</v>
      </c>
      <c r="I12" s="946" t="s">
        <v>1260</v>
      </c>
      <c r="J12" s="946" t="s">
        <v>1213</v>
      </c>
      <c r="K12" s="946" t="s">
        <v>1260</v>
      </c>
      <c r="L12" s="946" t="s">
        <v>1213</v>
      </c>
      <c r="M12" s="946" t="s">
        <v>1260</v>
      </c>
      <c r="N12" s="946" t="s">
        <v>1213</v>
      </c>
      <c r="O12" s="1512"/>
    </row>
    <row r="13" spans="1:15" ht="31.5" customHeight="1">
      <c r="A13" s="927">
        <v>1</v>
      </c>
      <c r="B13" s="1514" t="s">
        <v>891</v>
      </c>
      <c r="C13" s="1093">
        <v>3203</v>
      </c>
      <c r="D13" s="1093">
        <v>981535.23899999994</v>
      </c>
      <c r="E13" s="1093">
        <v>2554</v>
      </c>
      <c r="F13" s="1093">
        <v>810085.41100000008</v>
      </c>
      <c r="G13" s="1093">
        <v>3677</v>
      </c>
      <c r="H13" s="1093">
        <v>1331822.7609999999</v>
      </c>
      <c r="I13" s="1093">
        <v>4376</v>
      </c>
      <c r="J13" s="1093">
        <v>1320993.2249999999</v>
      </c>
      <c r="K13" s="1093">
        <v>4405</v>
      </c>
      <c r="L13" s="1093">
        <v>1376659.98</v>
      </c>
      <c r="M13" s="1093">
        <v>3803</v>
      </c>
      <c r="N13" s="1093">
        <v>1103793.9169999999</v>
      </c>
      <c r="O13" s="1515" t="s">
        <v>892</v>
      </c>
    </row>
    <row r="14" spans="1:15" ht="43.5" customHeight="1">
      <c r="A14" s="927">
        <v>2</v>
      </c>
      <c r="B14" s="1516" t="s">
        <v>1261</v>
      </c>
      <c r="C14" s="1093">
        <v>67113</v>
      </c>
      <c r="D14" s="1093">
        <v>6752678.2050000001</v>
      </c>
      <c r="E14" s="1093">
        <v>17198</v>
      </c>
      <c r="F14" s="1093">
        <v>2095832.7550000001</v>
      </c>
      <c r="G14" s="1093">
        <v>28132</v>
      </c>
      <c r="H14" s="1093">
        <v>2045904.5079999999</v>
      </c>
      <c r="I14" s="1093">
        <v>81472</v>
      </c>
      <c r="J14" s="1093">
        <v>7426553.6349999998</v>
      </c>
      <c r="K14" s="1093">
        <v>68676</v>
      </c>
      <c r="L14" s="1093">
        <v>5243139.6499999994</v>
      </c>
      <c r="M14" s="1093">
        <v>63928</v>
      </c>
      <c r="N14" s="1093">
        <v>4457904.9349999996</v>
      </c>
      <c r="O14" s="1517" t="s">
        <v>1262</v>
      </c>
    </row>
    <row r="15" spans="1:15" ht="31.5" customHeight="1">
      <c r="A15" s="927">
        <v>3</v>
      </c>
      <c r="B15" s="1516" t="s">
        <v>1263</v>
      </c>
      <c r="C15" s="1093">
        <v>642349</v>
      </c>
      <c r="D15" s="1093">
        <v>6837505.3030000003</v>
      </c>
      <c r="E15" s="1093">
        <v>359013</v>
      </c>
      <c r="F15" s="1093">
        <v>2844671.8569999998</v>
      </c>
      <c r="G15" s="1093">
        <v>486917</v>
      </c>
      <c r="H15" s="1093">
        <v>4444297.1450000005</v>
      </c>
      <c r="I15" s="1093">
        <v>792732</v>
      </c>
      <c r="J15" s="1093">
        <v>8976101.7920000013</v>
      </c>
      <c r="K15" s="1093">
        <v>674055</v>
      </c>
      <c r="L15" s="1093">
        <v>7036876.9050000003</v>
      </c>
      <c r="M15" s="1093">
        <v>686654</v>
      </c>
      <c r="N15" s="1093">
        <v>6672192.4909999995</v>
      </c>
      <c r="O15" s="1517" t="s">
        <v>1264</v>
      </c>
    </row>
    <row r="16" spans="1:15" ht="31.5" customHeight="1">
      <c r="A16" s="927">
        <v>4</v>
      </c>
      <c r="B16" s="1516" t="s">
        <v>1265</v>
      </c>
      <c r="C16" s="1093">
        <v>27050</v>
      </c>
      <c r="D16" s="1093">
        <v>895849.54499999993</v>
      </c>
      <c r="E16" s="1093">
        <v>12518</v>
      </c>
      <c r="F16" s="1093">
        <v>443613.96799999999</v>
      </c>
      <c r="G16" s="1093">
        <v>15871</v>
      </c>
      <c r="H16" s="1093">
        <v>535601.28099999996</v>
      </c>
      <c r="I16" s="1093">
        <v>29574</v>
      </c>
      <c r="J16" s="1093">
        <v>825807.24100000004</v>
      </c>
      <c r="K16" s="1093">
        <v>25050</v>
      </c>
      <c r="L16" s="1093">
        <v>801362.64</v>
      </c>
      <c r="M16" s="1093">
        <v>23532</v>
      </c>
      <c r="N16" s="1093">
        <v>686783.80700000003</v>
      </c>
      <c r="O16" s="1517" t="s">
        <v>1266</v>
      </c>
    </row>
    <row r="17" spans="1:15" ht="31.5" customHeight="1">
      <c r="A17" s="927">
        <v>5</v>
      </c>
      <c r="B17" s="1516" t="s">
        <v>1267</v>
      </c>
      <c r="C17" s="1093">
        <v>35429</v>
      </c>
      <c r="D17" s="1093">
        <v>1554184.5940000003</v>
      </c>
      <c r="E17" s="1093">
        <v>9627</v>
      </c>
      <c r="F17" s="1093">
        <v>847760.12099999993</v>
      </c>
      <c r="G17" s="1093">
        <v>11385</v>
      </c>
      <c r="H17" s="1093">
        <v>1006822.343</v>
      </c>
      <c r="I17" s="1093">
        <v>20082</v>
      </c>
      <c r="J17" s="1093">
        <v>789900.29700000002</v>
      </c>
      <c r="K17" s="1093">
        <v>21029</v>
      </c>
      <c r="L17" s="1093">
        <v>982994.68599999999</v>
      </c>
      <c r="M17" s="1093">
        <v>20431</v>
      </c>
      <c r="N17" s="1093">
        <v>995506.81599999999</v>
      </c>
      <c r="O17" s="1517" t="s">
        <v>1268</v>
      </c>
    </row>
    <row r="18" spans="1:15" ht="46.8">
      <c r="A18" s="927">
        <v>6</v>
      </c>
      <c r="B18" s="1516" t="s">
        <v>1269</v>
      </c>
      <c r="C18" s="1093">
        <v>9755</v>
      </c>
      <c r="D18" s="1093">
        <v>333947.54000000004</v>
      </c>
      <c r="E18" s="1093">
        <v>2250</v>
      </c>
      <c r="F18" s="1093">
        <v>252089.101</v>
      </c>
      <c r="G18" s="1093">
        <v>4712</v>
      </c>
      <c r="H18" s="1093">
        <v>267809.75399999996</v>
      </c>
      <c r="I18" s="1093">
        <v>10542</v>
      </c>
      <c r="J18" s="1093">
        <v>355697.34499999997</v>
      </c>
      <c r="K18" s="1093">
        <v>8130</v>
      </c>
      <c r="L18" s="1093">
        <v>291589.43400000001</v>
      </c>
      <c r="M18" s="1093">
        <v>7449</v>
      </c>
      <c r="N18" s="1093">
        <v>298010.08</v>
      </c>
      <c r="O18" s="1518" t="s">
        <v>1270</v>
      </c>
    </row>
    <row r="19" spans="1:15" ht="31.5" customHeight="1">
      <c r="A19" s="927">
        <v>7</v>
      </c>
      <c r="B19" s="1516" t="s">
        <v>1271</v>
      </c>
      <c r="C19" s="1093">
        <v>263111</v>
      </c>
      <c r="D19" s="1093">
        <v>2839200.6180000002</v>
      </c>
      <c r="E19" s="1093">
        <v>168439</v>
      </c>
      <c r="F19" s="1093">
        <v>1884846.6919999998</v>
      </c>
      <c r="G19" s="1093">
        <v>194475</v>
      </c>
      <c r="H19" s="1093">
        <v>1992721.3640000001</v>
      </c>
      <c r="I19" s="1093">
        <v>301379</v>
      </c>
      <c r="J19" s="1093">
        <v>3017382.2620000001</v>
      </c>
      <c r="K19" s="1093">
        <v>262161</v>
      </c>
      <c r="L19" s="1093">
        <v>2526246.6830000002</v>
      </c>
      <c r="M19" s="1093">
        <v>266366</v>
      </c>
      <c r="N19" s="1093">
        <v>2506131.861</v>
      </c>
      <c r="O19" s="1517" t="s">
        <v>1272</v>
      </c>
    </row>
    <row r="20" spans="1:15" ht="31.5" customHeight="1">
      <c r="A20" s="927">
        <v>8</v>
      </c>
      <c r="B20" s="1516" t="s">
        <v>1273</v>
      </c>
      <c r="C20" s="1093">
        <v>6267</v>
      </c>
      <c r="D20" s="1093">
        <v>5763018.2420000006</v>
      </c>
      <c r="E20" s="1093">
        <v>1297</v>
      </c>
      <c r="F20" s="1093">
        <v>1168112.4639999999</v>
      </c>
      <c r="G20" s="1093">
        <v>2279</v>
      </c>
      <c r="H20" s="1093">
        <v>2058030.176</v>
      </c>
      <c r="I20" s="1093">
        <v>6289</v>
      </c>
      <c r="J20" s="1093">
        <v>4993353.8119999999</v>
      </c>
      <c r="K20" s="1093">
        <v>4817</v>
      </c>
      <c r="L20" s="1093">
        <v>4558686.4350000005</v>
      </c>
      <c r="M20" s="1093">
        <v>3766</v>
      </c>
      <c r="N20" s="1093">
        <v>2972937.0489999996</v>
      </c>
      <c r="O20" s="1517" t="s">
        <v>1274</v>
      </c>
    </row>
    <row r="21" spans="1:15" ht="31.5" customHeight="1">
      <c r="A21" s="927">
        <v>9</v>
      </c>
      <c r="B21" s="1516" t="s">
        <v>1275</v>
      </c>
      <c r="C21" s="1093">
        <v>58243</v>
      </c>
      <c r="D21" s="1093">
        <v>1752637.7990000003</v>
      </c>
      <c r="E21" s="1093">
        <v>7733</v>
      </c>
      <c r="F21" s="1093">
        <v>225322.334</v>
      </c>
      <c r="G21" s="1093">
        <v>13345</v>
      </c>
      <c r="H21" s="1093">
        <v>303193.84999999998</v>
      </c>
      <c r="I21" s="1093">
        <v>47172</v>
      </c>
      <c r="J21" s="1093">
        <v>1174477.5610000002</v>
      </c>
      <c r="K21" s="1093">
        <v>43618</v>
      </c>
      <c r="L21" s="1093">
        <v>1273447.7879999999</v>
      </c>
      <c r="M21" s="1093">
        <v>43008</v>
      </c>
      <c r="N21" s="1093">
        <v>1204052.9939999999</v>
      </c>
      <c r="O21" s="1517" t="s">
        <v>1276</v>
      </c>
    </row>
    <row r="22" spans="1:15" ht="31.5" customHeight="1">
      <c r="A22" s="927">
        <v>10</v>
      </c>
      <c r="B22" s="1516" t="s">
        <v>1277</v>
      </c>
      <c r="C22" s="1093">
        <v>75487</v>
      </c>
      <c r="D22" s="1093">
        <v>4161455.6569999997</v>
      </c>
      <c r="E22" s="1093">
        <v>14499</v>
      </c>
      <c r="F22" s="1093">
        <v>921625.86300000001</v>
      </c>
      <c r="G22" s="1093">
        <v>31198</v>
      </c>
      <c r="H22" s="1093">
        <v>1923043.6679999998</v>
      </c>
      <c r="I22" s="1093">
        <v>106273</v>
      </c>
      <c r="J22" s="1093">
        <v>5358492.5510000009</v>
      </c>
      <c r="K22" s="1093">
        <v>62975</v>
      </c>
      <c r="L22" s="1093">
        <v>3314485.4489999996</v>
      </c>
      <c r="M22" s="1093">
        <v>59314</v>
      </c>
      <c r="N22" s="1093">
        <v>2511514.7009999999</v>
      </c>
      <c r="O22" s="1517" t="s">
        <v>1278</v>
      </c>
    </row>
    <row r="23" spans="1:15" ht="31.5" customHeight="1">
      <c r="A23" s="927">
        <v>11</v>
      </c>
      <c r="B23" s="1516" t="s">
        <v>1279</v>
      </c>
      <c r="C23" s="1093">
        <v>8850</v>
      </c>
      <c r="D23" s="1093">
        <v>354151.15299999999</v>
      </c>
      <c r="E23" s="1093">
        <v>4506</v>
      </c>
      <c r="F23" s="1093">
        <v>219474.24299999999</v>
      </c>
      <c r="G23" s="1093">
        <v>5894</v>
      </c>
      <c r="H23" s="1093">
        <v>266668.45</v>
      </c>
      <c r="I23" s="1093">
        <v>11025</v>
      </c>
      <c r="J23" s="1093">
        <v>397138.908</v>
      </c>
      <c r="K23" s="1093">
        <v>8125</v>
      </c>
      <c r="L23" s="1093">
        <v>365994.24400000001</v>
      </c>
      <c r="M23" s="1093">
        <v>7771</v>
      </c>
      <c r="N23" s="1093">
        <v>339996.38399999996</v>
      </c>
      <c r="O23" s="1517" t="s">
        <v>1280</v>
      </c>
    </row>
    <row r="24" spans="1:15" ht="30" customHeight="1">
      <c r="A24" s="927">
        <v>12</v>
      </c>
      <c r="B24" s="1516" t="s">
        <v>1281</v>
      </c>
      <c r="C24" s="1093">
        <v>85612</v>
      </c>
      <c r="D24" s="1093">
        <v>410070.39600000007</v>
      </c>
      <c r="E24" s="1093">
        <v>23492</v>
      </c>
      <c r="F24" s="1093">
        <v>182165.652</v>
      </c>
      <c r="G24" s="1093">
        <v>63730</v>
      </c>
      <c r="H24" s="1093">
        <v>322596.38299999997</v>
      </c>
      <c r="I24" s="1093">
        <v>126304</v>
      </c>
      <c r="J24" s="1093">
        <v>556796.22</v>
      </c>
      <c r="K24" s="1093">
        <v>95536</v>
      </c>
      <c r="L24" s="1093">
        <v>438605.66899999999</v>
      </c>
      <c r="M24" s="1093">
        <v>82267</v>
      </c>
      <c r="N24" s="1093">
        <v>419443.59500000003</v>
      </c>
      <c r="O24" s="1517" t="s">
        <v>1282</v>
      </c>
    </row>
    <row r="25" spans="1:15" ht="31.5" customHeight="1">
      <c r="A25" s="927">
        <v>13</v>
      </c>
      <c r="B25" s="1516" t="s">
        <v>1283</v>
      </c>
      <c r="C25" s="1093">
        <v>27779</v>
      </c>
      <c r="D25" s="1093">
        <v>418250.28300000005</v>
      </c>
      <c r="E25" s="1093">
        <v>16476</v>
      </c>
      <c r="F25" s="1093">
        <v>300368.06799999997</v>
      </c>
      <c r="G25" s="1093">
        <v>25370</v>
      </c>
      <c r="H25" s="1093">
        <v>368866.95499999996</v>
      </c>
      <c r="I25" s="1093">
        <v>48314</v>
      </c>
      <c r="J25" s="1093">
        <v>522530.41699999996</v>
      </c>
      <c r="K25" s="1093">
        <v>34060</v>
      </c>
      <c r="L25" s="1093">
        <v>426387.783</v>
      </c>
      <c r="M25" s="1093">
        <v>31933</v>
      </c>
      <c r="N25" s="1093">
        <v>422100.06599999993</v>
      </c>
      <c r="O25" s="1517" t="s">
        <v>1284</v>
      </c>
    </row>
    <row r="26" spans="1:15" ht="31.5" customHeight="1">
      <c r="A26" s="927">
        <v>14</v>
      </c>
      <c r="B26" s="1516" t="s">
        <v>1285</v>
      </c>
      <c r="C26" s="1093">
        <v>9507</v>
      </c>
      <c r="D26" s="1093">
        <v>161885.057</v>
      </c>
      <c r="E26" s="1093">
        <v>1086</v>
      </c>
      <c r="F26" s="1093">
        <v>32626.898999999998</v>
      </c>
      <c r="G26" s="1093">
        <v>1941</v>
      </c>
      <c r="H26" s="1093">
        <v>46201.376000000004</v>
      </c>
      <c r="I26" s="1093">
        <v>6081</v>
      </c>
      <c r="J26" s="1093">
        <v>106661.18700000001</v>
      </c>
      <c r="K26" s="1093">
        <v>5627</v>
      </c>
      <c r="L26" s="1093">
        <v>80877.729000000007</v>
      </c>
      <c r="M26" s="1093">
        <v>5322</v>
      </c>
      <c r="N26" s="1093">
        <v>81098.868999999992</v>
      </c>
      <c r="O26" s="1517" t="s">
        <v>1286</v>
      </c>
    </row>
    <row r="27" spans="1:15" ht="31.2">
      <c r="A27" s="927">
        <v>15</v>
      </c>
      <c r="B27" s="1516" t="s">
        <v>1287</v>
      </c>
      <c r="C27" s="1093">
        <v>56050</v>
      </c>
      <c r="D27" s="1093">
        <v>1429308.8470000001</v>
      </c>
      <c r="E27" s="1093">
        <v>20987</v>
      </c>
      <c r="F27" s="1093">
        <v>852852.45299999998</v>
      </c>
      <c r="G27" s="1093">
        <v>29732</v>
      </c>
      <c r="H27" s="1093">
        <v>851860.76699999999</v>
      </c>
      <c r="I27" s="1093">
        <v>55634</v>
      </c>
      <c r="J27" s="1093">
        <v>1318680.121</v>
      </c>
      <c r="K27" s="1093">
        <v>47389</v>
      </c>
      <c r="L27" s="1093">
        <v>1279015.1680000003</v>
      </c>
      <c r="M27" s="1093">
        <v>45168</v>
      </c>
      <c r="N27" s="1093">
        <v>1312783.46</v>
      </c>
      <c r="O27" s="1517" t="s">
        <v>1288</v>
      </c>
    </row>
    <row r="28" spans="1:15" ht="31.5" customHeight="1">
      <c r="A28" s="927">
        <v>16</v>
      </c>
      <c r="B28" s="1516" t="s">
        <v>1289</v>
      </c>
      <c r="C28" s="1093">
        <v>2212</v>
      </c>
      <c r="D28" s="1093">
        <v>352468.67500000005</v>
      </c>
      <c r="E28" s="1093">
        <v>479</v>
      </c>
      <c r="F28" s="1093">
        <v>111571.95800000001</v>
      </c>
      <c r="G28" s="1093">
        <v>656</v>
      </c>
      <c r="H28" s="1093">
        <v>176432.253</v>
      </c>
      <c r="I28" s="1093">
        <v>2006</v>
      </c>
      <c r="J28" s="1093">
        <v>321305.30200000003</v>
      </c>
      <c r="K28" s="1093">
        <v>1976</v>
      </c>
      <c r="L28" s="1093">
        <v>481958.77299999999</v>
      </c>
      <c r="M28" s="1093">
        <v>2113</v>
      </c>
      <c r="N28" s="1093">
        <v>470403.34899999993</v>
      </c>
      <c r="O28" s="1518" t="s">
        <v>1290</v>
      </c>
    </row>
    <row r="29" spans="1:15" ht="31.5" customHeight="1">
      <c r="A29" s="927">
        <v>17</v>
      </c>
      <c r="B29" s="1516" t="s">
        <v>1291</v>
      </c>
      <c r="C29" s="1093">
        <v>28492</v>
      </c>
      <c r="D29" s="1093">
        <v>822480.14600000007</v>
      </c>
      <c r="E29" s="1093">
        <v>8048</v>
      </c>
      <c r="F29" s="1093">
        <v>170303.58899999998</v>
      </c>
      <c r="G29" s="1093">
        <v>17856</v>
      </c>
      <c r="H29" s="1093">
        <v>-396359.61400000012</v>
      </c>
      <c r="I29" s="1093">
        <v>39316</v>
      </c>
      <c r="J29" s="1093">
        <v>745299.56699999992</v>
      </c>
      <c r="K29" s="1093">
        <v>27255</v>
      </c>
      <c r="L29" s="1093">
        <v>520152.42800000001</v>
      </c>
      <c r="M29" s="1093">
        <v>27825</v>
      </c>
      <c r="N29" s="1093">
        <v>504052.68900000001</v>
      </c>
      <c r="O29" s="1517" t="s">
        <v>1292</v>
      </c>
    </row>
    <row r="30" spans="1:15" ht="46.5" customHeight="1">
      <c r="A30" s="927">
        <v>18</v>
      </c>
      <c r="B30" s="1516" t="s">
        <v>1293</v>
      </c>
      <c r="C30" s="1093">
        <v>7087</v>
      </c>
      <c r="D30" s="1093">
        <v>437094.12400000001</v>
      </c>
      <c r="E30" s="1093">
        <v>1276</v>
      </c>
      <c r="F30" s="1093">
        <v>146771.87599999999</v>
      </c>
      <c r="G30" s="1093">
        <v>2860</v>
      </c>
      <c r="H30" s="1093">
        <v>286635.76399999997</v>
      </c>
      <c r="I30" s="1093">
        <v>6071</v>
      </c>
      <c r="J30" s="1093">
        <v>372238.64400000003</v>
      </c>
      <c r="K30" s="1093">
        <v>4206</v>
      </c>
      <c r="L30" s="1093">
        <v>303910.94499999995</v>
      </c>
      <c r="M30" s="1093">
        <v>4389</v>
      </c>
      <c r="N30" s="1093">
        <v>332551.15999999997</v>
      </c>
      <c r="O30" s="1517" t="s">
        <v>1294</v>
      </c>
    </row>
    <row r="31" spans="1:15" ht="31.5" customHeight="1">
      <c r="A31" s="927">
        <v>19</v>
      </c>
      <c r="B31" s="1516" t="s">
        <v>1295</v>
      </c>
      <c r="C31" s="1093">
        <v>3240</v>
      </c>
      <c r="D31" s="1093">
        <v>87502.357000000004</v>
      </c>
      <c r="E31" s="1093">
        <v>562</v>
      </c>
      <c r="F31" s="1093">
        <v>33018.741999999998</v>
      </c>
      <c r="G31" s="1093">
        <v>1047</v>
      </c>
      <c r="H31" s="1093">
        <v>39831.188999999998</v>
      </c>
      <c r="I31" s="1093">
        <v>2957</v>
      </c>
      <c r="J31" s="1093">
        <v>80845.027999999991</v>
      </c>
      <c r="K31" s="1093">
        <v>2166</v>
      </c>
      <c r="L31" s="1093">
        <v>69504.075999999986</v>
      </c>
      <c r="M31" s="1093">
        <v>1928</v>
      </c>
      <c r="N31" s="1093">
        <v>51380.737999999998</v>
      </c>
      <c r="O31" s="1517" t="s">
        <v>1296</v>
      </c>
    </row>
    <row r="32" spans="1:15" ht="31.5" customHeight="1">
      <c r="A32" s="927">
        <v>20</v>
      </c>
      <c r="B32" s="1516" t="s">
        <v>1297</v>
      </c>
      <c r="C32" s="1093">
        <v>265178</v>
      </c>
      <c r="D32" s="1093">
        <v>4826919.4230000013</v>
      </c>
      <c r="E32" s="1093">
        <v>223920</v>
      </c>
      <c r="F32" s="1093">
        <v>2664926.2389999991</v>
      </c>
      <c r="G32" s="1093">
        <v>232706</v>
      </c>
      <c r="H32" s="1093">
        <v>3313708.3289999999</v>
      </c>
      <c r="I32" s="1093">
        <v>317149</v>
      </c>
      <c r="J32" s="1093">
        <v>5772865.2630000003</v>
      </c>
      <c r="K32" s="1093">
        <v>285630</v>
      </c>
      <c r="L32" s="1093">
        <v>6094290.2230000002</v>
      </c>
      <c r="M32" s="1093">
        <v>323474</v>
      </c>
      <c r="N32" s="1093">
        <v>9844220.6470000017</v>
      </c>
      <c r="O32" s="1517" t="s">
        <v>1298</v>
      </c>
    </row>
    <row r="33" spans="1:15" s="1521" customFormat="1" ht="31.5" customHeight="1">
      <c r="A33" s="943"/>
      <c r="B33" s="1519" t="s">
        <v>392</v>
      </c>
      <c r="C33" s="966">
        <v>1682014</v>
      </c>
      <c r="D33" s="966">
        <v>41172143.103</v>
      </c>
      <c r="E33" s="966">
        <v>895960</v>
      </c>
      <c r="F33" s="966">
        <v>16208040.485000003</v>
      </c>
      <c r="G33" s="966">
        <v>1173783</v>
      </c>
      <c r="H33" s="966">
        <v>21185686.701999996</v>
      </c>
      <c r="I33" s="966">
        <v>2014748</v>
      </c>
      <c r="J33" s="966">
        <v>44433120.277999997</v>
      </c>
      <c r="K33" s="966">
        <v>1686886</v>
      </c>
      <c r="L33" s="966">
        <v>37466187.387999997</v>
      </c>
      <c r="M33" s="966">
        <v>1710441</v>
      </c>
      <c r="N33" s="966">
        <v>37186859.607999995</v>
      </c>
      <c r="O33" s="1520" t="s">
        <v>382</v>
      </c>
    </row>
    <row r="34" spans="1:15" ht="27.75" customHeight="1">
      <c r="A34" s="1522" t="s">
        <v>1299</v>
      </c>
      <c r="B34" s="1523"/>
      <c r="C34" s="1524"/>
      <c r="D34" s="1524"/>
      <c r="E34" s="1524"/>
      <c r="F34" s="1524"/>
      <c r="G34" s="1524"/>
      <c r="H34" s="1524"/>
      <c r="I34" s="1524"/>
      <c r="J34" s="1524"/>
      <c r="K34" s="1524"/>
      <c r="L34" s="1524"/>
      <c r="M34" s="1524"/>
      <c r="N34" s="1524"/>
      <c r="O34" s="1525" t="s">
        <v>1300</v>
      </c>
    </row>
    <row r="35" spans="1:15" ht="17.399999999999999">
      <c r="A35" s="1522" t="s">
        <v>1301</v>
      </c>
      <c r="B35" s="1523"/>
      <c r="C35" s="1524"/>
      <c r="D35" s="1524"/>
      <c r="E35" s="1524"/>
      <c r="F35" s="1524"/>
      <c r="G35" s="1524"/>
      <c r="H35" s="1524"/>
      <c r="I35" s="1524"/>
      <c r="J35" s="1524"/>
      <c r="K35" s="1524"/>
      <c r="L35" s="1524"/>
      <c r="M35" s="1524"/>
      <c r="N35" s="1524"/>
      <c r="O35" s="1525" t="s">
        <v>1302</v>
      </c>
    </row>
    <row r="36" spans="1:15" ht="17.399999999999999">
      <c r="A36" s="1522"/>
      <c r="B36" s="1523"/>
      <c r="C36" s="1524"/>
      <c r="D36" s="1524"/>
      <c r="E36" s="1524"/>
      <c r="F36" s="1524"/>
      <c r="G36" s="1524"/>
      <c r="H36" s="1524"/>
      <c r="I36" s="1524"/>
      <c r="J36" s="1524"/>
      <c r="K36" s="1524"/>
      <c r="L36" s="1524"/>
      <c r="M36" s="1524"/>
      <c r="N36" s="1524"/>
      <c r="O36" s="1525"/>
    </row>
    <row r="37" spans="1:15">
      <c r="A37" s="1526" t="s">
        <v>1306</v>
      </c>
      <c r="B37" s="1526"/>
      <c r="C37" s="1526"/>
      <c r="D37" s="1526"/>
      <c r="E37" s="1526"/>
      <c r="F37" s="1526"/>
      <c r="G37" s="1526"/>
      <c r="H37" s="1526"/>
      <c r="I37" s="1526"/>
      <c r="J37" s="1526"/>
      <c r="K37" s="1526"/>
      <c r="L37" s="1526"/>
      <c r="M37" s="1526"/>
      <c r="N37" s="1526"/>
      <c r="O37" s="1526"/>
    </row>
    <row r="38" spans="1:15">
      <c r="C38" s="1528"/>
      <c r="D38" s="1528"/>
      <c r="E38" s="1528"/>
      <c r="F38" s="1528"/>
      <c r="G38" s="1528"/>
      <c r="H38" s="1528"/>
      <c r="I38" s="1528"/>
      <c r="J38" s="1528"/>
      <c r="K38" s="1528"/>
      <c r="L38" s="1528"/>
      <c r="M38" s="1528"/>
      <c r="N38" s="1528"/>
    </row>
    <row r="39" spans="1:15">
      <c r="C39" s="1529"/>
      <c r="D39" s="1529"/>
      <c r="E39" s="1529"/>
      <c r="F39" s="1529"/>
      <c r="G39" s="1529"/>
      <c r="H39" s="1529"/>
      <c r="I39" s="1529"/>
      <c r="J39" s="1529"/>
      <c r="K39" s="1529"/>
      <c r="L39" s="1529"/>
      <c r="M39" s="1529"/>
      <c r="N39" s="1529"/>
    </row>
    <row r="41" spans="1:15">
      <c r="C41" s="1530"/>
      <c r="D41" s="1530"/>
      <c r="E41" s="1530"/>
      <c r="F41" s="1530"/>
      <c r="G41" s="1530"/>
      <c r="H41" s="1530"/>
      <c r="I41" s="1530"/>
      <c r="J41" s="1530"/>
      <c r="K41" s="1530"/>
      <c r="L41" s="1530"/>
      <c r="M41" s="1530"/>
      <c r="N41" s="1530"/>
      <c r="O41" s="1530"/>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47"/>
  <sheetViews>
    <sheetView zoomScale="90" zoomScaleNormal="90" workbookViewId="0">
      <pane ySplit="12" topLeftCell="A41" activePane="bottomLeft" state="frozen"/>
      <selection activeCell="B2" sqref="B2"/>
      <selection pane="bottomLeft" activeCell="M1" sqref="M1:M1048576"/>
    </sheetView>
  </sheetViews>
  <sheetFormatPr defaultColWidth="7.77734375" defaultRowHeight="13.2"/>
  <cols>
    <col min="1" max="2" width="9.77734375" style="1413" customWidth="1"/>
    <col min="3" max="11" width="14.77734375" style="25" customWidth="1"/>
    <col min="12" max="12" width="14.77734375" style="156" customWidth="1"/>
    <col min="13" max="16384" width="7.77734375" style="25"/>
  </cols>
  <sheetData>
    <row r="1" spans="1:13" s="23" customFormat="1" ht="17.399999999999999">
      <c r="A1" s="16" t="s">
        <v>1785</v>
      </c>
      <c r="B1" s="4"/>
      <c r="C1" s="4"/>
      <c r="D1" s="4"/>
      <c r="E1" s="4"/>
      <c r="F1" s="4"/>
      <c r="G1" s="4"/>
      <c r="H1" s="4"/>
      <c r="I1" s="4"/>
      <c r="J1" s="4"/>
      <c r="K1" s="4"/>
      <c r="L1" s="1982"/>
    </row>
    <row r="2" spans="1:13" s="23" customFormat="1" ht="17.399999999999999">
      <c r="A2" s="1983" t="s">
        <v>7</v>
      </c>
      <c r="B2" s="4"/>
      <c r="C2" s="4"/>
      <c r="D2" s="4"/>
      <c r="E2" s="4"/>
      <c r="F2" s="4"/>
      <c r="G2" s="4"/>
      <c r="H2" s="4"/>
      <c r="I2" s="4"/>
      <c r="J2" s="4"/>
      <c r="K2" s="4"/>
      <c r="L2" s="1982"/>
    </row>
    <row r="3" spans="1:13" s="23" customFormat="1" ht="17.399999999999999">
      <c r="A3" s="16" t="s">
        <v>6</v>
      </c>
      <c r="B3" s="4"/>
      <c r="C3" s="4"/>
      <c r="D3" s="4"/>
      <c r="E3" s="4"/>
      <c r="F3" s="4"/>
      <c r="G3" s="4"/>
      <c r="H3" s="4"/>
      <c r="I3" s="4"/>
      <c r="J3" s="4"/>
      <c r="K3" s="3"/>
      <c r="L3" s="150"/>
    </row>
    <row r="4" spans="1:13" s="23" customFormat="1" ht="0.6" customHeight="1">
      <c r="A4" s="16"/>
      <c r="B4" s="4"/>
      <c r="C4" s="4"/>
      <c r="D4" s="4"/>
      <c r="E4" s="4"/>
      <c r="F4" s="4"/>
      <c r="G4" s="4"/>
      <c r="H4" s="4"/>
      <c r="I4" s="4"/>
      <c r="J4" s="4"/>
      <c r="K4" s="3"/>
      <c r="L4" s="150"/>
    </row>
    <row r="5" spans="1:13" s="23" customFormat="1" ht="0.6" customHeight="1">
      <c r="A5" s="16"/>
      <c r="B5" s="4"/>
      <c r="C5" s="4"/>
      <c r="D5" s="4"/>
      <c r="E5" s="4"/>
      <c r="F5" s="4"/>
      <c r="G5" s="4"/>
      <c r="H5" s="4"/>
      <c r="I5" s="4"/>
      <c r="J5" s="4"/>
      <c r="K5" s="3"/>
      <c r="L5" s="150"/>
    </row>
    <row r="6" spans="1:13" s="13" customFormat="1" ht="14.85" customHeight="1">
      <c r="A6" s="37" t="s">
        <v>369</v>
      </c>
      <c r="L6" s="151" t="s">
        <v>370</v>
      </c>
    </row>
    <row r="7" spans="1:13" s="41" customFormat="1" ht="18" customHeight="1">
      <c r="A7" s="28"/>
      <c r="B7" s="43"/>
      <c r="C7" s="264" t="s">
        <v>424</v>
      </c>
      <c r="D7" s="40"/>
      <c r="E7" s="40"/>
      <c r="F7" s="123"/>
      <c r="G7" s="123"/>
      <c r="H7" s="213"/>
      <c r="I7" s="222"/>
      <c r="J7" s="267" t="s">
        <v>425</v>
      </c>
      <c r="K7" s="303"/>
      <c r="L7" s="214"/>
    </row>
    <row r="8" spans="1:13" s="41" customFormat="1" ht="18" customHeight="1">
      <c r="A8" s="158"/>
      <c r="B8" s="104"/>
      <c r="C8" s="265" t="s">
        <v>426</v>
      </c>
      <c r="D8" s="40"/>
      <c r="E8" s="123"/>
      <c r="F8" s="243"/>
      <c r="G8" s="123"/>
      <c r="H8" s="266" t="s">
        <v>427</v>
      </c>
      <c r="I8" s="95"/>
      <c r="J8" s="72"/>
      <c r="K8" s="79" t="s">
        <v>428</v>
      </c>
      <c r="L8" s="152" t="s">
        <v>425</v>
      </c>
    </row>
    <row r="9" spans="1:13" s="34" customFormat="1" ht="18" customHeight="1">
      <c r="A9" s="24" t="s">
        <v>379</v>
      </c>
      <c r="B9" s="74"/>
      <c r="C9" s="39"/>
      <c r="D9" s="75"/>
      <c r="E9" s="75"/>
      <c r="F9" s="76"/>
      <c r="G9" s="77"/>
      <c r="H9" s="78" t="s">
        <v>429</v>
      </c>
      <c r="I9" s="270" t="s">
        <v>430</v>
      </c>
      <c r="J9" s="271" t="s">
        <v>382</v>
      </c>
      <c r="K9" s="79" t="s">
        <v>431</v>
      </c>
      <c r="L9" s="152" t="s">
        <v>432</v>
      </c>
    </row>
    <row r="10" spans="1:13" s="41" customFormat="1" ht="18" customHeight="1">
      <c r="A10" s="80" t="s">
        <v>387</v>
      </c>
      <c r="B10" s="81"/>
      <c r="C10" s="73" t="s">
        <v>433</v>
      </c>
      <c r="D10" s="79" t="s">
        <v>434</v>
      </c>
      <c r="E10" s="79" t="s">
        <v>435</v>
      </c>
      <c r="F10" s="79" t="s">
        <v>436</v>
      </c>
      <c r="G10" s="638" t="s">
        <v>437</v>
      </c>
      <c r="H10" s="79" t="s">
        <v>438</v>
      </c>
      <c r="I10" s="269" t="s">
        <v>439</v>
      </c>
      <c r="J10" s="268" t="s">
        <v>392</v>
      </c>
      <c r="K10" s="64" t="s">
        <v>6</v>
      </c>
      <c r="L10" s="153" t="s">
        <v>6</v>
      </c>
    </row>
    <row r="11" spans="1:13" s="50" customFormat="1" ht="18" customHeight="1">
      <c r="A11" s="82"/>
      <c r="B11" s="83"/>
      <c r="C11" s="84" t="s">
        <v>440</v>
      </c>
      <c r="D11" s="84" t="s">
        <v>441</v>
      </c>
      <c r="E11" s="84" t="s">
        <v>442</v>
      </c>
      <c r="F11" s="84" t="s">
        <v>443</v>
      </c>
      <c r="G11" s="85" t="s">
        <v>444</v>
      </c>
      <c r="H11" s="86" t="s">
        <v>392</v>
      </c>
      <c r="I11" s="84"/>
      <c r="J11" s="84"/>
      <c r="K11" s="64" t="s">
        <v>445</v>
      </c>
      <c r="L11" s="154" t="s">
        <v>446</v>
      </c>
    </row>
    <row r="12" spans="1:13" s="50" customFormat="1" ht="18" customHeight="1">
      <c r="A12" s="87"/>
      <c r="B12" s="88"/>
      <c r="C12" s="48"/>
      <c r="D12" s="89"/>
      <c r="E12" s="90"/>
      <c r="F12" s="90"/>
      <c r="G12" s="91"/>
      <c r="H12" s="92" t="s">
        <v>447</v>
      </c>
      <c r="I12" s="93"/>
      <c r="J12" s="90"/>
      <c r="K12" s="90" t="s">
        <v>448</v>
      </c>
      <c r="L12" s="155" t="s">
        <v>405</v>
      </c>
    </row>
    <row r="13" spans="1:13" s="306" customFormat="1" ht="20.25" customHeight="1">
      <c r="A13" s="405">
        <v>2016</v>
      </c>
      <c r="B13" s="406"/>
      <c r="C13" s="1984">
        <v>529.29999999999995</v>
      </c>
      <c r="D13" s="657">
        <v>69.7</v>
      </c>
      <c r="E13" s="1985">
        <v>20.6</v>
      </c>
      <c r="F13" s="1985">
        <v>23.2</v>
      </c>
      <c r="G13" s="1985">
        <v>8</v>
      </c>
      <c r="H13" s="1905">
        <v>650.80000000000007</v>
      </c>
      <c r="I13" s="1985">
        <v>19.8</v>
      </c>
      <c r="J13" s="1905">
        <v>670.6</v>
      </c>
      <c r="K13" s="657">
        <v>135.30073358308633</v>
      </c>
      <c r="L13" s="1986">
        <v>535.29926641691372</v>
      </c>
      <c r="M13" s="314"/>
    </row>
    <row r="14" spans="1:13" s="408" customFormat="1" ht="14.25" customHeight="1">
      <c r="A14" s="356">
        <v>2017</v>
      </c>
      <c r="B14" s="407"/>
      <c r="C14" s="1987">
        <v>517.6</v>
      </c>
      <c r="D14" s="1980">
        <v>71.099999999999994</v>
      </c>
      <c r="E14" s="1988">
        <v>21.8</v>
      </c>
      <c r="F14" s="1988">
        <v>23.4</v>
      </c>
      <c r="G14" s="1988">
        <v>8.1999999999999993</v>
      </c>
      <c r="H14" s="1987">
        <v>642.1</v>
      </c>
      <c r="I14" s="1988">
        <v>20.6</v>
      </c>
      <c r="J14" s="1987">
        <v>662.7</v>
      </c>
      <c r="K14" s="1980">
        <v>135.87010868949105</v>
      </c>
      <c r="L14" s="1987">
        <v>526.82989131050897</v>
      </c>
      <c r="M14" s="314"/>
    </row>
    <row r="15" spans="1:13" s="321" customFormat="1" ht="14.25" customHeight="1">
      <c r="A15" s="747">
        <v>2018</v>
      </c>
      <c r="B15" s="748"/>
      <c r="C15" s="1138">
        <v>522.29999999999995</v>
      </c>
      <c r="D15" s="1162">
        <v>79.400000000000006</v>
      </c>
      <c r="E15" s="1163">
        <v>24.4</v>
      </c>
      <c r="F15" s="1163">
        <v>24.9</v>
      </c>
      <c r="G15" s="1163">
        <v>9.1999999999999993</v>
      </c>
      <c r="H15" s="1138">
        <v>660.19999999999993</v>
      </c>
      <c r="I15" s="1163">
        <v>21.5</v>
      </c>
      <c r="J15" s="1138">
        <v>681.7</v>
      </c>
      <c r="K15" s="1162">
        <v>153.61401866671198</v>
      </c>
      <c r="L15" s="1164">
        <v>528.08598133328803</v>
      </c>
      <c r="M15" s="762"/>
    </row>
    <row r="16" spans="1:13" s="321" customFormat="1" ht="14.25" customHeight="1">
      <c r="A16" s="747">
        <v>2019</v>
      </c>
      <c r="B16" s="748"/>
      <c r="C16" s="1138">
        <v>521.5</v>
      </c>
      <c r="D16" s="1162">
        <v>81</v>
      </c>
      <c r="E16" s="1163">
        <v>28.2</v>
      </c>
      <c r="F16" s="1163">
        <v>24.9</v>
      </c>
      <c r="G16" s="1163">
        <v>9.1</v>
      </c>
      <c r="H16" s="1138">
        <v>664.7</v>
      </c>
      <c r="I16" s="1163">
        <v>22.4</v>
      </c>
      <c r="J16" s="1138">
        <v>687.1</v>
      </c>
      <c r="K16" s="1162">
        <v>152.01815108439322</v>
      </c>
      <c r="L16" s="1164">
        <v>535.08184891560677</v>
      </c>
      <c r="M16" s="762"/>
    </row>
    <row r="17" spans="1:22" s="321" customFormat="1" ht="14.25" customHeight="1">
      <c r="A17" s="747">
        <v>2020</v>
      </c>
      <c r="B17" s="748"/>
      <c r="C17" s="1138">
        <v>575.9</v>
      </c>
      <c r="D17" s="1162">
        <v>82.1</v>
      </c>
      <c r="E17" s="1163">
        <v>29.8</v>
      </c>
      <c r="F17" s="1163">
        <v>24.5</v>
      </c>
      <c r="G17" s="1163">
        <v>9.8000000000000007</v>
      </c>
      <c r="H17" s="1138">
        <v>722.09999999999991</v>
      </c>
      <c r="I17" s="1163">
        <v>23</v>
      </c>
      <c r="J17" s="1138">
        <v>745.1</v>
      </c>
      <c r="K17" s="1162">
        <v>152.14040643960661</v>
      </c>
      <c r="L17" s="1164">
        <v>592.95959356039339</v>
      </c>
      <c r="M17" s="762"/>
    </row>
    <row r="18" spans="1:22" s="321" customFormat="1" ht="14.25" customHeight="1">
      <c r="A18" s="747">
        <v>2021</v>
      </c>
      <c r="B18" s="748"/>
      <c r="C18" s="1138">
        <v>539.70000000000005</v>
      </c>
      <c r="D18" s="1162">
        <v>76.599999999999994</v>
      </c>
      <c r="E18" s="1163">
        <v>31.4</v>
      </c>
      <c r="F18" s="1163">
        <v>24.6</v>
      </c>
      <c r="G18" s="1163">
        <v>8.9</v>
      </c>
      <c r="H18" s="1138">
        <v>681.2</v>
      </c>
      <c r="I18" s="1163">
        <v>22.8</v>
      </c>
      <c r="J18" s="1138">
        <v>704</v>
      </c>
      <c r="K18" s="1162">
        <v>145.95841701867218</v>
      </c>
      <c r="L18" s="1164">
        <v>558.04158298132779</v>
      </c>
      <c r="M18" s="762"/>
    </row>
    <row r="19" spans="1:22" s="321" customFormat="1" ht="14.25" customHeight="1">
      <c r="A19" s="747">
        <v>2022</v>
      </c>
      <c r="B19" s="748"/>
      <c r="C19" s="1138">
        <v>515.9</v>
      </c>
      <c r="D19" s="1162">
        <v>72.7</v>
      </c>
      <c r="E19" s="1163">
        <v>37.299999999999997</v>
      </c>
      <c r="F19" s="1163">
        <v>25.8</v>
      </c>
      <c r="G19" s="1163">
        <v>9.8000000000000007</v>
      </c>
      <c r="H19" s="1138">
        <v>661.49999999999989</v>
      </c>
      <c r="I19" s="1163">
        <v>22.9</v>
      </c>
      <c r="J19" s="1138">
        <v>684.4</v>
      </c>
      <c r="K19" s="1162">
        <v>177.85355717154039</v>
      </c>
      <c r="L19" s="1164">
        <v>506.54644282845959</v>
      </c>
      <c r="M19" s="762"/>
    </row>
    <row r="20" spans="1:22" s="321" customFormat="1" ht="14.25" customHeight="1">
      <c r="A20" s="747">
        <v>2023</v>
      </c>
      <c r="B20" s="748"/>
      <c r="C20" s="1138">
        <v>502.4</v>
      </c>
      <c r="D20" s="1162">
        <v>69.7</v>
      </c>
      <c r="E20" s="1163">
        <v>35.9</v>
      </c>
      <c r="F20" s="1163">
        <v>26.3</v>
      </c>
      <c r="G20" s="1163">
        <v>10.4</v>
      </c>
      <c r="H20" s="1138">
        <v>644.69999999999993</v>
      </c>
      <c r="I20" s="1163">
        <v>23.1</v>
      </c>
      <c r="J20" s="1138">
        <v>667.8</v>
      </c>
      <c r="K20" s="1162">
        <v>135.90690119702001</v>
      </c>
      <c r="L20" s="1164">
        <v>531.89309880297992</v>
      </c>
      <c r="M20" s="762"/>
    </row>
    <row r="21" spans="1:22" s="321" customFormat="1" ht="14.25" customHeight="1">
      <c r="A21" s="747">
        <v>2024</v>
      </c>
      <c r="B21" s="748"/>
      <c r="C21" s="1138">
        <v>508.5</v>
      </c>
      <c r="D21" s="1162">
        <v>66.7</v>
      </c>
      <c r="E21" s="1163">
        <v>34</v>
      </c>
      <c r="F21" s="1163">
        <v>26.5</v>
      </c>
      <c r="G21" s="1163">
        <v>11.9</v>
      </c>
      <c r="H21" s="1138">
        <v>647.6</v>
      </c>
      <c r="I21" s="1163">
        <v>23.2</v>
      </c>
      <c r="J21" s="1138">
        <v>670.8</v>
      </c>
      <c r="K21" s="1162">
        <v>136.80272008418029</v>
      </c>
      <c r="L21" s="1164">
        <v>533.99727991581972</v>
      </c>
      <c r="M21" s="762"/>
    </row>
    <row r="22" spans="1:22" s="321" customFormat="1" ht="14.25" customHeight="1">
      <c r="A22" s="906">
        <v>2025</v>
      </c>
      <c r="B22" s="997"/>
      <c r="C22" s="1056">
        <f t="shared" ref="C22:L22" si="0">C28</f>
        <v>516.9</v>
      </c>
      <c r="D22" s="1085">
        <f t="shared" si="0"/>
        <v>65.599999999999994</v>
      </c>
      <c r="E22" s="1086">
        <f t="shared" si="0"/>
        <v>33.4</v>
      </c>
      <c r="F22" s="1086">
        <f t="shared" si="0"/>
        <v>27</v>
      </c>
      <c r="G22" s="1086">
        <f t="shared" si="0"/>
        <v>11.6</v>
      </c>
      <c r="H22" s="1056">
        <f t="shared" si="0"/>
        <v>654.5</v>
      </c>
      <c r="I22" s="1086">
        <f t="shared" si="0"/>
        <v>23.4</v>
      </c>
      <c r="J22" s="1056">
        <f t="shared" si="0"/>
        <v>677.9</v>
      </c>
      <c r="K22" s="1085">
        <f t="shared" si="0"/>
        <v>174.48180280008069</v>
      </c>
      <c r="L22" s="1087">
        <f t="shared" si="0"/>
        <v>503.41819719991929</v>
      </c>
      <c r="M22" s="762"/>
    </row>
    <row r="23" spans="1:22" s="321" customFormat="1" ht="21" customHeight="1">
      <c r="A23" s="747">
        <v>2024</v>
      </c>
      <c r="B23" s="748" t="s">
        <v>237</v>
      </c>
      <c r="C23" s="1138">
        <v>506.1</v>
      </c>
      <c r="D23" s="1162">
        <v>67.900000000000006</v>
      </c>
      <c r="E23" s="1163">
        <v>35.1</v>
      </c>
      <c r="F23" s="1163">
        <v>28</v>
      </c>
      <c r="G23" s="1163">
        <v>12.4</v>
      </c>
      <c r="H23" s="1138">
        <v>649.5</v>
      </c>
      <c r="I23" s="1163">
        <v>23.2</v>
      </c>
      <c r="J23" s="1138">
        <v>672.7</v>
      </c>
      <c r="K23" s="1162">
        <v>128.34604386187928</v>
      </c>
      <c r="L23" s="1138">
        <v>544.35395613812079</v>
      </c>
      <c r="M23" s="762"/>
    </row>
    <row r="24" spans="1:22" s="321" customFormat="1" ht="15" customHeight="1">
      <c r="A24" s="747"/>
      <c r="B24" s="748" t="s">
        <v>238</v>
      </c>
      <c r="C24" s="1138">
        <v>508.5</v>
      </c>
      <c r="D24" s="1162">
        <v>66.7</v>
      </c>
      <c r="E24" s="1163">
        <v>34</v>
      </c>
      <c r="F24" s="1163">
        <v>26.5</v>
      </c>
      <c r="G24" s="1163">
        <v>11.9</v>
      </c>
      <c r="H24" s="1138">
        <v>647.6</v>
      </c>
      <c r="I24" s="1163">
        <v>23.2</v>
      </c>
      <c r="J24" s="1138">
        <v>670.8</v>
      </c>
      <c r="K24" s="1162">
        <v>136.80272008418029</v>
      </c>
      <c r="L24" s="1138">
        <v>533.99727991581972</v>
      </c>
      <c r="M24" s="762"/>
    </row>
    <row r="25" spans="1:22" s="321" customFormat="1" ht="21" customHeight="1">
      <c r="A25" s="747">
        <v>2025</v>
      </c>
      <c r="B25" s="748" t="s">
        <v>239</v>
      </c>
      <c r="C25" s="1138">
        <v>529.4</v>
      </c>
      <c r="D25" s="1162">
        <v>70.400000000000006</v>
      </c>
      <c r="E25" s="1163">
        <v>37.1</v>
      </c>
      <c r="F25" s="1163">
        <v>30.4</v>
      </c>
      <c r="G25" s="1163">
        <v>13.8</v>
      </c>
      <c r="H25" s="1138">
        <v>681.09999999999991</v>
      </c>
      <c r="I25" s="1163">
        <v>23.4</v>
      </c>
      <c r="J25" s="1138">
        <v>704.5</v>
      </c>
      <c r="K25" s="1162">
        <v>112.65437204347867</v>
      </c>
      <c r="L25" s="1138">
        <v>591.8456279565213</v>
      </c>
      <c r="M25" s="762"/>
    </row>
    <row r="26" spans="1:22" s="321" customFormat="1" ht="15" customHeight="1">
      <c r="A26" s="747"/>
      <c r="B26" s="748" t="s">
        <v>240</v>
      </c>
      <c r="C26" s="1138">
        <v>530.29999999999995</v>
      </c>
      <c r="D26" s="1162">
        <v>69.8</v>
      </c>
      <c r="E26" s="1163">
        <v>35.9</v>
      </c>
      <c r="F26" s="1163">
        <v>31.7</v>
      </c>
      <c r="G26" s="1163">
        <v>14.8</v>
      </c>
      <c r="H26" s="1138">
        <v>682.49999999999989</v>
      </c>
      <c r="I26" s="1163">
        <v>23.4</v>
      </c>
      <c r="J26" s="1138">
        <v>705.9</v>
      </c>
      <c r="K26" s="1162">
        <v>127.21298189242717</v>
      </c>
      <c r="L26" s="1138">
        <v>578.68701810757284</v>
      </c>
      <c r="M26" s="762"/>
    </row>
    <row r="27" spans="1:22" s="321" customFormat="1" ht="15" customHeight="1">
      <c r="A27" s="747"/>
      <c r="B27" s="748" t="s">
        <v>237</v>
      </c>
      <c r="C27" s="1138">
        <v>515.4</v>
      </c>
      <c r="D27" s="1162">
        <v>65.400000000000006</v>
      </c>
      <c r="E27" s="1163">
        <v>33.700000000000003</v>
      </c>
      <c r="F27" s="1163">
        <v>28.9</v>
      </c>
      <c r="G27" s="1163">
        <v>12.8</v>
      </c>
      <c r="H27" s="1138">
        <v>656.19999999999993</v>
      </c>
      <c r="I27" s="1163">
        <v>23.3</v>
      </c>
      <c r="J27" s="1138">
        <v>679.5</v>
      </c>
      <c r="K27" s="1162">
        <v>220.8016936297899</v>
      </c>
      <c r="L27" s="1138">
        <v>458.6983063702101</v>
      </c>
      <c r="M27" s="762"/>
    </row>
    <row r="28" spans="1:22" s="321" customFormat="1" ht="15" customHeight="1">
      <c r="A28" s="747"/>
      <c r="B28" s="748" t="s">
        <v>238</v>
      </c>
      <c r="C28" s="1138">
        <f t="shared" ref="C28:L28" si="1">C36</f>
        <v>516.9</v>
      </c>
      <c r="D28" s="1162">
        <f t="shared" si="1"/>
        <v>65.599999999999994</v>
      </c>
      <c r="E28" s="1163">
        <f t="shared" si="1"/>
        <v>33.4</v>
      </c>
      <c r="F28" s="1163">
        <f t="shared" si="1"/>
        <v>27</v>
      </c>
      <c r="G28" s="1163">
        <f t="shared" si="1"/>
        <v>11.6</v>
      </c>
      <c r="H28" s="1138">
        <f t="shared" si="1"/>
        <v>654.5</v>
      </c>
      <c r="I28" s="1163">
        <f t="shared" si="1"/>
        <v>23.4</v>
      </c>
      <c r="J28" s="1138">
        <f t="shared" si="1"/>
        <v>677.9</v>
      </c>
      <c r="K28" s="1162">
        <f t="shared" si="1"/>
        <v>174.48180280008069</v>
      </c>
      <c r="L28" s="1138">
        <f t="shared" si="1"/>
        <v>503.41819719991929</v>
      </c>
      <c r="M28" s="762"/>
    </row>
    <row r="29" spans="1:22" s="321" customFormat="1" ht="21" customHeight="1">
      <c r="A29" s="747">
        <v>2026</v>
      </c>
      <c r="B29" s="748" t="s">
        <v>239</v>
      </c>
      <c r="C29" s="1138">
        <f t="shared" ref="C29:L29" si="2">C39</f>
        <v>605.4</v>
      </c>
      <c r="D29" s="1162">
        <f t="shared" si="2"/>
        <v>80.7</v>
      </c>
      <c r="E29" s="1163">
        <f t="shared" si="2"/>
        <v>38.799999999999997</v>
      </c>
      <c r="F29" s="1163">
        <f t="shared" si="2"/>
        <v>29.6</v>
      </c>
      <c r="G29" s="1163">
        <f t="shared" si="2"/>
        <v>13.2</v>
      </c>
      <c r="H29" s="1138">
        <f t="shared" si="2"/>
        <v>767.7</v>
      </c>
      <c r="I29" s="1163">
        <f t="shared" si="2"/>
        <v>23.6</v>
      </c>
      <c r="J29" s="1138">
        <f t="shared" si="2"/>
        <v>791.3</v>
      </c>
      <c r="K29" s="1162">
        <f t="shared" si="2"/>
        <v>229.9947986622667</v>
      </c>
      <c r="L29" s="1138">
        <f t="shared" si="2"/>
        <v>561.30520133773325</v>
      </c>
      <c r="M29" s="762"/>
    </row>
    <row r="30" spans="1:22" s="321" customFormat="1" ht="15" customHeight="1">
      <c r="A30" s="906"/>
      <c r="B30" s="997" t="s">
        <v>240</v>
      </c>
      <c r="C30" s="1056">
        <f t="shared" ref="C30:L30" si="3">C42</f>
        <v>577.1</v>
      </c>
      <c r="D30" s="1085">
        <f t="shared" si="3"/>
        <v>73.599999999999994</v>
      </c>
      <c r="E30" s="1086">
        <f t="shared" si="3"/>
        <v>35.6</v>
      </c>
      <c r="F30" s="1086">
        <f t="shared" si="3"/>
        <v>31.9</v>
      </c>
      <c r="G30" s="1086">
        <f t="shared" si="3"/>
        <v>14.7</v>
      </c>
      <c r="H30" s="1056">
        <f t="shared" si="3"/>
        <v>732.90000000000009</v>
      </c>
      <c r="I30" s="1086">
        <f t="shared" si="3"/>
        <v>23.6</v>
      </c>
      <c r="J30" s="1056">
        <f t="shared" si="3"/>
        <v>756.5</v>
      </c>
      <c r="K30" s="1085">
        <f t="shared" si="3"/>
        <v>232.05649587926197</v>
      </c>
      <c r="L30" s="1056">
        <f t="shared" si="3"/>
        <v>524.443504120738</v>
      </c>
      <c r="M30" s="762"/>
    </row>
    <row r="31" spans="1:22" s="306" customFormat="1" ht="21" customHeight="1">
      <c r="A31" s="405">
        <v>2025</v>
      </c>
      <c r="B31" s="406" t="s">
        <v>420</v>
      </c>
      <c r="C31" s="1138">
        <v>523</v>
      </c>
      <c r="D31" s="1162">
        <v>66.7</v>
      </c>
      <c r="E31" s="1163">
        <v>34.200000000000003</v>
      </c>
      <c r="F31" s="1163">
        <v>30.6</v>
      </c>
      <c r="G31" s="1163">
        <v>14</v>
      </c>
      <c r="H31" s="1138">
        <f t="shared" ref="H31" si="4">SUM(C31:G31)</f>
        <v>668.50000000000011</v>
      </c>
      <c r="I31" s="1163">
        <v>23.4</v>
      </c>
      <c r="J31" s="1138">
        <f>'1'!J31</f>
        <v>691.9</v>
      </c>
      <c r="K31" s="1162">
        <f>'14'!C31</f>
        <v>184.00138336706829</v>
      </c>
      <c r="L31" s="1164">
        <f t="shared" ref="L31" si="5">J31-K31</f>
        <v>507.89861663293169</v>
      </c>
      <c r="M31" s="778"/>
      <c r="N31" s="321"/>
      <c r="O31" s="321"/>
      <c r="P31" s="321"/>
      <c r="Q31" s="321"/>
      <c r="R31" s="321"/>
      <c r="S31" s="321"/>
      <c r="T31" s="321"/>
      <c r="U31" s="321"/>
      <c r="V31" s="321"/>
    </row>
    <row r="32" spans="1:22" s="306" customFormat="1" ht="15" customHeight="1">
      <c r="A32" s="405"/>
      <c r="B32" s="406" t="s">
        <v>421</v>
      </c>
      <c r="C32" s="1138">
        <v>515.4</v>
      </c>
      <c r="D32" s="1162">
        <v>64.900000000000006</v>
      </c>
      <c r="E32" s="1163">
        <v>33.6</v>
      </c>
      <c r="F32" s="1163">
        <v>29.8</v>
      </c>
      <c r="G32" s="1163">
        <v>13.4</v>
      </c>
      <c r="H32" s="1138">
        <f t="shared" ref="H32" si="6">SUM(C32:G32)</f>
        <v>657.09999999999991</v>
      </c>
      <c r="I32" s="1163">
        <v>23.4</v>
      </c>
      <c r="J32" s="1138">
        <f>'1'!J32</f>
        <v>680.5</v>
      </c>
      <c r="K32" s="1162">
        <f>'14'!C32</f>
        <v>172.37130876621356</v>
      </c>
      <c r="L32" s="1164">
        <f t="shared" ref="L32" si="7">J32-K32</f>
        <v>508.12869123378641</v>
      </c>
      <c r="M32" s="778"/>
      <c r="N32" s="321"/>
      <c r="O32" s="321"/>
      <c r="P32" s="321"/>
      <c r="Q32" s="321"/>
      <c r="R32" s="321"/>
      <c r="S32" s="321"/>
      <c r="T32" s="321"/>
      <c r="U32" s="321"/>
      <c r="V32" s="321"/>
    </row>
    <row r="33" spans="1:22" s="306" customFormat="1" ht="15" customHeight="1">
      <c r="A33" s="405"/>
      <c r="B33" s="406" t="s">
        <v>422</v>
      </c>
      <c r="C33" s="1138">
        <v>515.4</v>
      </c>
      <c r="D33" s="1162">
        <v>65.400000000000006</v>
      </c>
      <c r="E33" s="1163">
        <v>33.700000000000003</v>
      </c>
      <c r="F33" s="1163">
        <v>28.9</v>
      </c>
      <c r="G33" s="1163">
        <v>12.8</v>
      </c>
      <c r="H33" s="1138">
        <f t="shared" ref="H33" si="8">SUM(C33:G33)</f>
        <v>656.19999999999993</v>
      </c>
      <c r="I33" s="1163">
        <v>23.3</v>
      </c>
      <c r="J33" s="1138">
        <f>'1'!J33</f>
        <v>679.5</v>
      </c>
      <c r="K33" s="1162">
        <f>'14'!C33</f>
        <v>220.8016936297899</v>
      </c>
      <c r="L33" s="1164">
        <f t="shared" ref="L33" si="9">J33-K33</f>
        <v>458.6983063702101</v>
      </c>
      <c r="M33" s="778"/>
      <c r="N33" s="321"/>
      <c r="O33" s="321"/>
      <c r="P33" s="321"/>
      <c r="Q33" s="321"/>
      <c r="R33" s="321"/>
      <c r="S33" s="321"/>
      <c r="T33" s="321"/>
      <c r="U33" s="321"/>
      <c r="V33" s="321"/>
    </row>
    <row r="34" spans="1:22" s="306" customFormat="1" ht="15" customHeight="1">
      <c r="A34" s="405"/>
      <c r="B34" s="406" t="s">
        <v>411</v>
      </c>
      <c r="C34" s="1138">
        <v>511.7</v>
      </c>
      <c r="D34" s="1162">
        <v>64.599999999999994</v>
      </c>
      <c r="E34" s="1163">
        <v>33.5</v>
      </c>
      <c r="F34" s="1163">
        <v>28.2</v>
      </c>
      <c r="G34" s="1163">
        <v>12.3</v>
      </c>
      <c r="H34" s="1138">
        <f t="shared" ref="H34" si="10">SUM(C34:G34)</f>
        <v>650.29999999999995</v>
      </c>
      <c r="I34" s="1163">
        <v>23.4</v>
      </c>
      <c r="J34" s="1138">
        <f>'1'!J34</f>
        <v>673.7</v>
      </c>
      <c r="K34" s="1162">
        <f>'14'!C34</f>
        <v>176.86320916793096</v>
      </c>
      <c r="L34" s="1164">
        <f t="shared" ref="L34" si="11">J34-K34</f>
        <v>496.83679083206908</v>
      </c>
      <c r="M34" s="778"/>
      <c r="N34" s="321"/>
      <c r="O34" s="321"/>
      <c r="P34" s="321"/>
      <c r="Q34" s="321"/>
      <c r="R34" s="321"/>
      <c r="S34" s="321"/>
      <c r="T34" s="321"/>
      <c r="U34" s="321"/>
      <c r="V34" s="321"/>
    </row>
    <row r="35" spans="1:22" s="306" customFormat="1" ht="15" customHeight="1">
      <c r="A35" s="405"/>
      <c r="B35" s="406" t="s">
        <v>412</v>
      </c>
      <c r="C35" s="1138">
        <v>520.70000000000005</v>
      </c>
      <c r="D35" s="1162">
        <v>65.400000000000006</v>
      </c>
      <c r="E35" s="1163">
        <v>33.1</v>
      </c>
      <c r="F35" s="1163">
        <v>27.7</v>
      </c>
      <c r="G35" s="1163">
        <v>12.2</v>
      </c>
      <c r="H35" s="1138">
        <f t="shared" ref="H35" si="12">SUM(C35:G35)</f>
        <v>659.10000000000014</v>
      </c>
      <c r="I35" s="1163">
        <v>23.4</v>
      </c>
      <c r="J35" s="1138">
        <f>'1'!J35</f>
        <v>682.5</v>
      </c>
      <c r="K35" s="1162">
        <f>'14'!C35</f>
        <v>177.79739423573886</v>
      </c>
      <c r="L35" s="1164">
        <f t="shared" ref="L35" si="13">J35-K35</f>
        <v>504.70260576426114</v>
      </c>
      <c r="M35" s="778"/>
      <c r="N35" s="321"/>
      <c r="O35" s="321"/>
      <c r="P35" s="321"/>
      <c r="Q35" s="321"/>
      <c r="R35" s="321"/>
      <c r="S35" s="321"/>
      <c r="T35" s="321"/>
      <c r="U35" s="321"/>
      <c r="V35" s="321"/>
    </row>
    <row r="36" spans="1:22" s="306" customFormat="1" ht="15" customHeight="1">
      <c r="A36" s="405"/>
      <c r="B36" s="406" t="s">
        <v>413</v>
      </c>
      <c r="C36" s="1138">
        <v>516.9</v>
      </c>
      <c r="D36" s="1162">
        <v>65.599999999999994</v>
      </c>
      <c r="E36" s="1163">
        <v>33.4</v>
      </c>
      <c r="F36" s="1163">
        <v>27</v>
      </c>
      <c r="G36" s="1163">
        <v>11.6</v>
      </c>
      <c r="H36" s="1138">
        <f t="shared" ref="H36" si="14">SUM(C36:G36)</f>
        <v>654.5</v>
      </c>
      <c r="I36" s="1163">
        <v>23.4</v>
      </c>
      <c r="J36" s="1138">
        <f>'1'!J36</f>
        <v>677.9</v>
      </c>
      <c r="K36" s="1162">
        <f>'14'!C36</f>
        <v>174.48180280008069</v>
      </c>
      <c r="L36" s="1164">
        <f t="shared" ref="L36" si="15">J36-K36</f>
        <v>503.41819719991929</v>
      </c>
      <c r="M36" s="778"/>
      <c r="N36" s="321"/>
      <c r="O36" s="321"/>
      <c r="P36" s="321"/>
      <c r="Q36" s="321"/>
      <c r="R36" s="321"/>
      <c r="S36" s="321"/>
      <c r="T36" s="321"/>
      <c r="U36" s="321"/>
      <c r="V36" s="321"/>
    </row>
    <row r="37" spans="1:22" s="306" customFormat="1" ht="21" customHeight="1">
      <c r="A37" s="405">
        <v>2026</v>
      </c>
      <c r="B37" s="406" t="s">
        <v>414</v>
      </c>
      <c r="C37" s="1138">
        <v>519.20000000000005</v>
      </c>
      <c r="D37" s="1162">
        <v>65.8</v>
      </c>
      <c r="E37" s="1163">
        <v>33.1</v>
      </c>
      <c r="F37" s="1163">
        <v>26.9</v>
      </c>
      <c r="G37" s="1163">
        <v>11.6</v>
      </c>
      <c r="H37" s="1138">
        <f t="shared" ref="H37" si="16">SUM(C37:G37)</f>
        <v>656.6</v>
      </c>
      <c r="I37" s="1163">
        <v>23.5</v>
      </c>
      <c r="J37" s="1138">
        <f>'1'!J37</f>
        <v>680.1</v>
      </c>
      <c r="K37" s="1162">
        <f>'14'!C37</f>
        <v>148.71714707124693</v>
      </c>
      <c r="L37" s="1164">
        <f t="shared" ref="L37" si="17">J37-K37</f>
        <v>531.3828529287531</v>
      </c>
      <c r="M37" s="778"/>
      <c r="N37" s="321"/>
      <c r="O37" s="321"/>
      <c r="P37" s="321"/>
      <c r="Q37" s="321"/>
      <c r="R37" s="321"/>
      <c r="S37" s="321"/>
      <c r="T37" s="321"/>
      <c r="U37" s="321"/>
      <c r="V37" s="321"/>
    </row>
    <row r="38" spans="1:22" s="306" customFormat="1" ht="15" customHeight="1">
      <c r="A38" s="405"/>
      <c r="B38" s="406" t="s">
        <v>415</v>
      </c>
      <c r="C38" s="1138">
        <v>520.5</v>
      </c>
      <c r="D38" s="1162">
        <v>65.8</v>
      </c>
      <c r="E38" s="1163">
        <v>33.1</v>
      </c>
      <c r="F38" s="1163">
        <v>26.7</v>
      </c>
      <c r="G38" s="1163">
        <v>11.5</v>
      </c>
      <c r="H38" s="1138">
        <f t="shared" ref="H38" si="18">SUM(C38:G38)</f>
        <v>657.6</v>
      </c>
      <c r="I38" s="1163">
        <v>23.6</v>
      </c>
      <c r="J38" s="1138">
        <f>'1'!J38</f>
        <v>681.2</v>
      </c>
      <c r="K38" s="1162">
        <f>'14'!C38</f>
        <v>152.51064858497352</v>
      </c>
      <c r="L38" s="1164">
        <f t="shared" ref="L38" si="19">J38-K38</f>
        <v>528.68935141502652</v>
      </c>
      <c r="M38" s="778"/>
      <c r="N38" s="321"/>
      <c r="O38" s="321"/>
      <c r="P38" s="321"/>
      <c r="Q38" s="321"/>
      <c r="R38" s="321"/>
      <c r="S38" s="321"/>
      <c r="T38" s="321"/>
      <c r="U38" s="321"/>
      <c r="V38" s="321"/>
    </row>
    <row r="39" spans="1:22" s="306" customFormat="1" ht="15" customHeight="1">
      <c r="A39" s="405"/>
      <c r="B39" s="406" t="s">
        <v>416</v>
      </c>
      <c r="C39" s="1138">
        <v>605.4</v>
      </c>
      <c r="D39" s="1162">
        <v>80.7</v>
      </c>
      <c r="E39" s="1163">
        <v>38.799999999999997</v>
      </c>
      <c r="F39" s="1163">
        <v>29.6</v>
      </c>
      <c r="G39" s="1163">
        <v>13.2</v>
      </c>
      <c r="H39" s="1138">
        <f t="shared" ref="H39" si="20">SUM(C39:G39)</f>
        <v>767.7</v>
      </c>
      <c r="I39" s="1163">
        <v>23.6</v>
      </c>
      <c r="J39" s="1138">
        <f>'1'!J39</f>
        <v>791.3</v>
      </c>
      <c r="K39" s="1162">
        <f>'14'!C39</f>
        <v>229.9947986622667</v>
      </c>
      <c r="L39" s="1164">
        <f t="shared" ref="L39" si="21">J39-K39</f>
        <v>561.30520133773325</v>
      </c>
      <c r="M39" s="778"/>
      <c r="N39" s="321"/>
      <c r="O39" s="321"/>
      <c r="P39" s="321"/>
      <c r="Q39" s="321"/>
      <c r="R39" s="321"/>
      <c r="S39" s="321"/>
      <c r="T39" s="321"/>
      <c r="U39" s="321"/>
      <c r="V39" s="321"/>
    </row>
    <row r="40" spans="1:22" s="306" customFormat="1" ht="15" customHeight="1">
      <c r="A40" s="405"/>
      <c r="B40" s="406" t="s">
        <v>417</v>
      </c>
      <c r="C40" s="1138">
        <v>612.6</v>
      </c>
      <c r="D40" s="1162">
        <v>77.7</v>
      </c>
      <c r="E40" s="1163">
        <v>36.299999999999997</v>
      </c>
      <c r="F40" s="1163">
        <v>29.2</v>
      </c>
      <c r="G40" s="1163">
        <v>13.1</v>
      </c>
      <c r="H40" s="1138">
        <f t="shared" ref="H40" si="22">SUM(C40:G40)</f>
        <v>768.90000000000009</v>
      </c>
      <c r="I40" s="1163">
        <v>23.6</v>
      </c>
      <c r="J40" s="1138">
        <f>'1'!J40</f>
        <v>792.5</v>
      </c>
      <c r="K40" s="1162">
        <f>'14'!C40</f>
        <v>235.77267743399887</v>
      </c>
      <c r="L40" s="1164">
        <f t="shared" ref="L40" si="23">J40-K40</f>
        <v>556.72732256600113</v>
      </c>
      <c r="M40" s="778"/>
      <c r="N40" s="321"/>
      <c r="O40" s="321"/>
      <c r="P40" s="321"/>
      <c r="Q40" s="321"/>
      <c r="R40" s="321"/>
      <c r="S40" s="321"/>
      <c r="T40" s="321"/>
      <c r="U40" s="321"/>
      <c r="V40" s="321"/>
    </row>
    <row r="41" spans="1:22" s="306" customFormat="1" ht="15" customHeight="1">
      <c r="A41" s="405"/>
      <c r="B41" s="406" t="s">
        <v>418</v>
      </c>
      <c r="C41" s="1138">
        <v>602.9</v>
      </c>
      <c r="D41" s="1162">
        <v>78.099999999999994</v>
      </c>
      <c r="E41" s="1163">
        <v>39</v>
      </c>
      <c r="F41" s="1163">
        <v>32.5</v>
      </c>
      <c r="G41" s="1163">
        <v>14.9</v>
      </c>
      <c r="H41" s="1138">
        <f t="shared" ref="H41" si="24">SUM(C41:G41)</f>
        <v>767.4</v>
      </c>
      <c r="I41" s="1163">
        <v>23.6</v>
      </c>
      <c r="J41" s="1138">
        <f>'1'!J41</f>
        <v>791</v>
      </c>
      <c r="K41" s="1162">
        <f>'14'!C41</f>
        <v>346.25538439750238</v>
      </c>
      <c r="L41" s="1164">
        <f t="shared" ref="L41" si="25">J41-K41</f>
        <v>444.74461560249762</v>
      </c>
      <c r="M41" s="778"/>
      <c r="N41" s="321"/>
      <c r="O41" s="321"/>
      <c r="P41" s="321"/>
      <c r="Q41" s="321"/>
      <c r="R41" s="321"/>
      <c r="S41" s="321"/>
      <c r="T41" s="321"/>
      <c r="U41" s="321"/>
      <c r="V41" s="321"/>
    </row>
    <row r="42" spans="1:22" s="306" customFormat="1" ht="15" customHeight="1">
      <c r="A42" s="405"/>
      <c r="B42" s="406" t="s">
        <v>419</v>
      </c>
      <c r="C42" s="1138">
        <v>577.1</v>
      </c>
      <c r="D42" s="1162">
        <v>73.599999999999994</v>
      </c>
      <c r="E42" s="1163">
        <v>35.6</v>
      </c>
      <c r="F42" s="1163">
        <v>31.9</v>
      </c>
      <c r="G42" s="1163">
        <v>14.7</v>
      </c>
      <c r="H42" s="1138">
        <f t="shared" ref="H42" si="26">SUM(C42:G42)</f>
        <v>732.90000000000009</v>
      </c>
      <c r="I42" s="1163">
        <v>23.6</v>
      </c>
      <c r="J42" s="1138">
        <f>'1'!J42</f>
        <v>756.5</v>
      </c>
      <c r="K42" s="1162">
        <f>'14'!C42</f>
        <v>232.05649587926197</v>
      </c>
      <c r="L42" s="1164">
        <f t="shared" ref="L42" si="27">J42-K42</f>
        <v>524.443504120738</v>
      </c>
      <c r="M42" s="778"/>
      <c r="N42" s="321"/>
      <c r="O42" s="321"/>
      <c r="P42" s="321"/>
      <c r="Q42" s="321"/>
      <c r="R42" s="321"/>
      <c r="S42" s="321"/>
      <c r="T42" s="321"/>
      <c r="U42" s="321"/>
      <c r="V42" s="321"/>
    </row>
    <row r="43" spans="1:22" s="306" customFormat="1" ht="15" customHeight="1">
      <c r="A43" s="405"/>
      <c r="B43" s="406" t="s">
        <v>420</v>
      </c>
      <c r="C43" s="1138">
        <v>564.9</v>
      </c>
      <c r="D43" s="1162">
        <v>71.599999999999994</v>
      </c>
      <c r="E43" s="1163">
        <v>35.1</v>
      </c>
      <c r="F43" s="1163">
        <v>31.5</v>
      </c>
      <c r="G43" s="1163">
        <v>14.6</v>
      </c>
      <c r="H43" s="1138">
        <f t="shared" ref="H43" si="28">SUM(C43:G43)</f>
        <v>717.7</v>
      </c>
      <c r="I43" s="1163">
        <v>23.6</v>
      </c>
      <c r="J43" s="1138">
        <f>'1'!J43</f>
        <v>741.3</v>
      </c>
      <c r="K43" s="1162">
        <f>'14'!C43</f>
        <v>192.77631963968315</v>
      </c>
      <c r="L43" s="1164">
        <f t="shared" ref="L43" si="29">J43-K43</f>
        <v>548.5236803603168</v>
      </c>
      <c r="M43" s="778"/>
      <c r="N43" s="321"/>
      <c r="O43" s="321"/>
      <c r="P43" s="321"/>
      <c r="Q43" s="321"/>
      <c r="R43" s="321"/>
      <c r="S43" s="321"/>
      <c r="T43" s="321"/>
      <c r="U43" s="321"/>
      <c r="V43" s="321"/>
    </row>
    <row r="44" spans="1:22" ht="19.5" customHeight="1">
      <c r="A44" s="221" t="s">
        <v>449</v>
      </c>
      <c r="B44" s="220"/>
      <c r="C44" s="220"/>
      <c r="D44" s="220"/>
      <c r="E44" s="220"/>
      <c r="F44" s="220"/>
      <c r="G44" s="220"/>
      <c r="H44" s="220"/>
      <c r="I44" s="220"/>
      <c r="J44" s="220"/>
      <c r="K44" s="220"/>
      <c r="L44" s="235" t="s">
        <v>450</v>
      </c>
    </row>
    <row r="45" spans="1:22" ht="13.8">
      <c r="A45" s="25"/>
      <c r="B45" s="25"/>
      <c r="C45" s="1989"/>
      <c r="H45" s="1989"/>
      <c r="I45" s="146"/>
      <c r="J45" s="304"/>
      <c r="K45" s="1413"/>
      <c r="L45" s="157"/>
    </row>
    <row r="46" spans="1:22" ht="13.8">
      <c r="A46" s="25"/>
      <c r="B46" s="25"/>
      <c r="C46" s="1989"/>
      <c r="H46" s="1989"/>
      <c r="K46" s="1413"/>
      <c r="L46" s="1990"/>
    </row>
    <row r="47" spans="1:22" ht="13.8">
      <c r="A47" s="318" t="s">
        <v>451</v>
      </c>
      <c r="B47" s="1414"/>
      <c r="C47" s="1991"/>
      <c r="D47" s="3"/>
      <c r="E47" s="3"/>
      <c r="F47" s="3"/>
      <c r="G47" s="3"/>
      <c r="H47" s="1991"/>
      <c r="I47" s="3"/>
      <c r="J47" s="3"/>
      <c r="K47" s="3"/>
      <c r="L47" s="150"/>
    </row>
  </sheetData>
  <phoneticPr fontId="0" type="noConversion"/>
  <printOptions horizontalCentered="1" verticalCentered="1"/>
  <pageMargins left="0" right="0" top="0" bottom="0" header="0.51181102362204722" footer="0.51181102362204722"/>
  <pageSetup scale="82"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6">
    <pageSetUpPr fitToPage="1"/>
  </sheetPr>
  <dimension ref="A1:O41"/>
  <sheetViews>
    <sheetView topLeftCell="C20" zoomScale="70" zoomScaleNormal="70" workbookViewId="0">
      <selection activeCell="D38" sqref="D38"/>
    </sheetView>
  </sheetViews>
  <sheetFormatPr defaultColWidth="18.21875" defaultRowHeight="15"/>
  <cols>
    <col min="1" max="1" width="6.21875" style="1527" customWidth="1"/>
    <col min="2" max="2" width="45.77734375" style="1503" customWidth="1"/>
    <col min="3" max="3" width="14.77734375" style="1503" customWidth="1"/>
    <col min="4" max="4" width="15.44140625" style="1503" customWidth="1"/>
    <col min="5" max="5" width="14.77734375" style="1503" customWidth="1"/>
    <col min="6" max="6" width="15.44140625" style="1503" customWidth="1"/>
    <col min="7" max="7" width="14.77734375" style="1503" customWidth="1"/>
    <col min="8" max="8" width="15.44140625" style="1503" customWidth="1"/>
    <col min="9" max="9" width="14.77734375" style="1503" customWidth="1"/>
    <col min="10" max="10" width="15.44140625" style="1503" customWidth="1"/>
    <col min="11" max="11" width="14.77734375" style="1503" customWidth="1"/>
    <col min="12" max="12" width="15.44140625" style="1503" customWidth="1"/>
    <col min="13" max="13" width="14.77734375" style="1503" customWidth="1"/>
    <col min="14" max="14" width="15.44140625" style="1503" customWidth="1"/>
    <col min="15" max="15" width="46.77734375" style="1503" customWidth="1"/>
    <col min="16" max="16384" width="18.21875" style="1503"/>
  </cols>
  <sheetData>
    <row r="1" spans="1:15" ht="18" customHeight="1">
      <c r="A1" s="949" t="s">
        <v>1742</v>
      </c>
      <c r="B1" s="948"/>
      <c r="C1" s="948"/>
      <c r="D1" s="948"/>
      <c r="E1" s="948"/>
      <c r="F1" s="948"/>
      <c r="G1" s="948"/>
      <c r="H1" s="948"/>
      <c r="I1" s="948"/>
      <c r="J1" s="948"/>
      <c r="K1" s="948"/>
      <c r="L1" s="948"/>
      <c r="M1" s="948"/>
      <c r="N1" s="948"/>
      <c r="O1" s="948"/>
    </row>
    <row r="2" spans="1:15" ht="18" customHeight="1">
      <c r="A2" s="949" t="s">
        <v>1307</v>
      </c>
      <c r="B2" s="1504"/>
      <c r="C2" s="1504"/>
      <c r="D2" s="1504"/>
      <c r="E2" s="1504"/>
      <c r="F2" s="1504"/>
      <c r="G2" s="1504"/>
      <c r="H2" s="1504"/>
      <c r="I2" s="1504"/>
      <c r="J2" s="1504"/>
      <c r="K2" s="1504"/>
      <c r="L2" s="1504"/>
      <c r="M2" s="1504"/>
      <c r="N2" s="1504"/>
      <c r="O2" s="1504"/>
    </row>
    <row r="3" spans="1:15" ht="17.399999999999999">
      <c r="A3" s="949" t="s">
        <v>1308</v>
      </c>
      <c r="B3" s="948"/>
      <c r="C3" s="948"/>
      <c r="D3" s="948"/>
      <c r="E3" s="948"/>
      <c r="F3" s="948"/>
      <c r="G3" s="948"/>
      <c r="H3" s="948"/>
      <c r="I3" s="948"/>
      <c r="J3" s="948"/>
      <c r="K3" s="948"/>
      <c r="L3" s="948"/>
      <c r="M3" s="948"/>
      <c r="N3" s="948"/>
      <c r="O3" s="948"/>
    </row>
    <row r="4" spans="1:15" ht="4.5" customHeight="1">
      <c r="A4" s="948"/>
      <c r="B4" s="948"/>
      <c r="C4" s="1505"/>
      <c r="D4" s="1505"/>
      <c r="E4" s="1505"/>
      <c r="F4" s="1505"/>
      <c r="G4" s="1505"/>
      <c r="H4" s="1505"/>
      <c r="I4" s="1505"/>
      <c r="J4" s="1505"/>
      <c r="K4" s="1505"/>
      <c r="L4" s="1505"/>
      <c r="M4" s="1505"/>
      <c r="N4" s="1505"/>
      <c r="O4" s="948"/>
    </row>
    <row r="5" spans="1:15" ht="15.75" hidden="1" customHeight="1">
      <c r="A5" s="948"/>
      <c r="B5" s="948"/>
      <c r="C5" s="1505"/>
      <c r="D5" s="1505"/>
      <c r="E5" s="1505"/>
      <c r="F5" s="1505"/>
      <c r="G5" s="1505"/>
      <c r="H5" s="1505"/>
      <c r="I5" s="1505"/>
      <c r="J5" s="1505"/>
      <c r="K5" s="1505"/>
      <c r="L5" s="1505"/>
      <c r="M5" s="1505"/>
      <c r="N5" s="1505"/>
      <c r="O5" s="948"/>
    </row>
    <row r="6" spans="1:15" ht="15.75" hidden="1" customHeight="1">
      <c r="A6" s="948"/>
      <c r="B6" s="948"/>
      <c r="C6" s="1505"/>
      <c r="D6" s="1505"/>
      <c r="E6" s="1505"/>
      <c r="F6" s="1505"/>
      <c r="G6" s="1505"/>
      <c r="H6" s="1505"/>
      <c r="I6" s="1505"/>
      <c r="J6" s="1505"/>
      <c r="K6" s="1505"/>
      <c r="L6" s="1505"/>
      <c r="M6" s="1505"/>
      <c r="N6" s="1505"/>
      <c r="O6" s="948"/>
    </row>
    <row r="7" spans="1:15" ht="15.75" hidden="1" customHeight="1">
      <c r="A7" s="948"/>
      <c r="B7" s="948"/>
      <c r="C7" s="1505"/>
      <c r="D7" s="1505"/>
      <c r="E7" s="1505"/>
      <c r="F7" s="1505"/>
      <c r="G7" s="1505"/>
      <c r="H7" s="1505"/>
      <c r="I7" s="1505"/>
      <c r="J7" s="1505"/>
      <c r="K7" s="1505"/>
      <c r="L7" s="1505"/>
      <c r="M7" s="1505"/>
      <c r="N7" s="1505"/>
      <c r="O7" s="948"/>
    </row>
    <row r="8" spans="1:15">
      <c r="A8" s="829" t="s">
        <v>1258</v>
      </c>
      <c r="C8" s="829"/>
      <c r="D8" s="829"/>
      <c r="E8" s="829"/>
      <c r="F8" s="829"/>
      <c r="G8" s="829"/>
      <c r="H8" s="829"/>
      <c r="I8" s="829"/>
      <c r="J8" s="829"/>
      <c r="K8" s="829"/>
      <c r="L8" s="829"/>
      <c r="M8" s="829"/>
      <c r="N8" s="829"/>
      <c r="O8" s="829" t="s">
        <v>1259</v>
      </c>
    </row>
    <row r="9" spans="1:15" s="1508" customFormat="1" ht="20.25" customHeight="1">
      <c r="A9" s="1506"/>
      <c r="B9" s="1506" t="s">
        <v>856</v>
      </c>
      <c r="C9" s="1507">
        <v>2026</v>
      </c>
      <c r="D9" s="1507"/>
      <c r="E9" s="1507"/>
      <c r="F9" s="1507"/>
      <c r="G9" s="1507"/>
      <c r="H9" s="1507"/>
      <c r="I9" s="1507"/>
      <c r="J9" s="1507"/>
      <c r="K9" s="1507"/>
      <c r="L9" s="1507"/>
      <c r="M9" s="1507"/>
      <c r="N9" s="1507"/>
      <c r="O9" s="1506" t="s">
        <v>857</v>
      </c>
    </row>
    <row r="10" spans="1:15" s="1508" customFormat="1" ht="20.25" customHeight="1">
      <c r="A10" s="1509"/>
      <c r="B10" s="1509"/>
      <c r="C10" s="1510" t="s">
        <v>1657</v>
      </c>
      <c r="D10" s="1511"/>
      <c r="E10" s="1510" t="s">
        <v>1678</v>
      </c>
      <c r="F10" s="1511"/>
      <c r="G10" s="1510" t="s">
        <v>1696</v>
      </c>
      <c r="H10" s="1511"/>
      <c r="I10" s="1510" t="s">
        <v>418</v>
      </c>
      <c r="J10" s="1511"/>
      <c r="K10" s="1510" t="s">
        <v>1708</v>
      </c>
      <c r="L10" s="1511"/>
      <c r="M10" s="1510" t="s">
        <v>1716</v>
      </c>
      <c r="N10" s="1511"/>
      <c r="O10" s="1509"/>
    </row>
    <row r="11" spans="1:15" s="1508" customFormat="1" ht="15.6">
      <c r="A11" s="1509"/>
      <c r="B11" s="1509"/>
      <c r="C11" s="920" t="s">
        <v>1242</v>
      </c>
      <c r="D11" s="920" t="s">
        <v>1211</v>
      </c>
      <c r="E11" s="920" t="s">
        <v>1242</v>
      </c>
      <c r="F11" s="920" t="s">
        <v>1211</v>
      </c>
      <c r="G11" s="920" t="s">
        <v>1242</v>
      </c>
      <c r="H11" s="920" t="s">
        <v>1211</v>
      </c>
      <c r="I11" s="920" t="s">
        <v>1242</v>
      </c>
      <c r="J11" s="920" t="s">
        <v>1211</v>
      </c>
      <c r="K11" s="920" t="s">
        <v>1242</v>
      </c>
      <c r="L11" s="920" t="s">
        <v>1211</v>
      </c>
      <c r="M11" s="920" t="s">
        <v>1242</v>
      </c>
      <c r="N11" s="920" t="s">
        <v>1211</v>
      </c>
      <c r="O11" s="1509"/>
    </row>
    <row r="12" spans="1:15" s="1513" customFormat="1" ht="15.6">
      <c r="A12" s="1512"/>
      <c r="B12" s="1512"/>
      <c r="C12" s="946" t="s">
        <v>1260</v>
      </c>
      <c r="D12" s="946" t="s">
        <v>1213</v>
      </c>
      <c r="E12" s="946" t="s">
        <v>1260</v>
      </c>
      <c r="F12" s="946" t="s">
        <v>1213</v>
      </c>
      <c r="G12" s="946" t="s">
        <v>1260</v>
      </c>
      <c r="H12" s="946" t="s">
        <v>1213</v>
      </c>
      <c r="I12" s="946" t="s">
        <v>1260</v>
      </c>
      <c r="J12" s="946" t="s">
        <v>1213</v>
      </c>
      <c r="K12" s="946" t="s">
        <v>1260</v>
      </c>
      <c r="L12" s="946" t="s">
        <v>1213</v>
      </c>
      <c r="M12" s="946" t="s">
        <v>1260</v>
      </c>
      <c r="N12" s="946" t="s">
        <v>1213</v>
      </c>
      <c r="O12" s="1512"/>
    </row>
    <row r="13" spans="1:15" ht="31.5" customHeight="1">
      <c r="A13" s="927">
        <v>1</v>
      </c>
      <c r="B13" s="1514" t="s">
        <v>891</v>
      </c>
      <c r="C13" s="1093">
        <v>20894</v>
      </c>
      <c r="D13" s="1093">
        <v>2247244.4089999995</v>
      </c>
      <c r="E13" s="1093">
        <v>10176</v>
      </c>
      <c r="F13" s="1093">
        <v>1162381.3530000001</v>
      </c>
      <c r="G13" s="1093">
        <v>18707</v>
      </c>
      <c r="H13" s="1093">
        <v>2049522.0349999999</v>
      </c>
      <c r="I13" s="1093">
        <v>21436</v>
      </c>
      <c r="J13" s="1093">
        <v>1817666.3309999998</v>
      </c>
      <c r="K13" s="1093">
        <v>22793</v>
      </c>
      <c r="L13" s="1093">
        <v>1944666.8859999999</v>
      </c>
      <c r="M13" s="1093">
        <v>21834</v>
      </c>
      <c r="N13" s="1093">
        <v>1819801.71</v>
      </c>
      <c r="O13" s="1515" t="s">
        <v>892</v>
      </c>
    </row>
    <row r="14" spans="1:15" ht="43.5" customHeight="1">
      <c r="A14" s="927">
        <v>2</v>
      </c>
      <c r="B14" s="1516" t="s">
        <v>1261</v>
      </c>
      <c r="C14" s="1093">
        <v>17741</v>
      </c>
      <c r="D14" s="1093">
        <v>571545.78999999992</v>
      </c>
      <c r="E14" s="1093">
        <v>10896</v>
      </c>
      <c r="F14" s="1093">
        <v>429120.99999999994</v>
      </c>
      <c r="G14" s="1093">
        <v>19017</v>
      </c>
      <c r="H14" s="1093">
        <v>586415.83699999994</v>
      </c>
      <c r="I14" s="1093">
        <v>27977</v>
      </c>
      <c r="J14" s="1093">
        <v>803503.17</v>
      </c>
      <c r="K14" s="1093">
        <v>29836</v>
      </c>
      <c r="L14" s="1093">
        <v>907646.41899999999</v>
      </c>
      <c r="M14" s="1093">
        <v>28439</v>
      </c>
      <c r="N14" s="1093">
        <v>754589.33699999994</v>
      </c>
      <c r="O14" s="1517" t="s">
        <v>1262</v>
      </c>
    </row>
    <row r="15" spans="1:15" ht="31.5" customHeight="1">
      <c r="A15" s="927">
        <v>3</v>
      </c>
      <c r="B15" s="1516" t="s">
        <v>1263</v>
      </c>
      <c r="C15" s="1093">
        <v>3749898</v>
      </c>
      <c r="D15" s="1093">
        <v>17206556.981000002</v>
      </c>
      <c r="E15" s="1093">
        <v>3662551</v>
      </c>
      <c r="F15" s="1093">
        <v>18980891.192000002</v>
      </c>
      <c r="G15" s="1093">
        <v>4484164</v>
      </c>
      <c r="H15" s="1093">
        <v>21086244.432</v>
      </c>
      <c r="I15" s="1093">
        <v>5098178</v>
      </c>
      <c r="J15" s="1093">
        <v>25276787.855000012</v>
      </c>
      <c r="K15" s="1093">
        <v>4592001</v>
      </c>
      <c r="L15" s="1093">
        <v>21796962.894000001</v>
      </c>
      <c r="M15" s="1093">
        <v>4786870</v>
      </c>
      <c r="N15" s="1093">
        <v>22168567.835000001</v>
      </c>
      <c r="O15" s="1517" t="s">
        <v>1264</v>
      </c>
    </row>
    <row r="16" spans="1:15" ht="31.5" customHeight="1">
      <c r="A16" s="927">
        <v>4</v>
      </c>
      <c r="B16" s="1516" t="s">
        <v>1265</v>
      </c>
      <c r="C16" s="1093">
        <v>663879</v>
      </c>
      <c r="D16" s="1093">
        <v>8829221.7440000009</v>
      </c>
      <c r="E16" s="1093">
        <v>639994</v>
      </c>
      <c r="F16" s="1093">
        <v>8484055.9759999998</v>
      </c>
      <c r="G16" s="1093">
        <v>680179</v>
      </c>
      <c r="H16" s="1093">
        <v>9955908.2880000006</v>
      </c>
      <c r="I16" s="1093">
        <v>705487</v>
      </c>
      <c r="J16" s="1093">
        <v>9874851.6070000008</v>
      </c>
      <c r="K16" s="1093">
        <v>667237</v>
      </c>
      <c r="L16" s="1093">
        <v>9656184.2760000005</v>
      </c>
      <c r="M16" s="1093">
        <v>694669</v>
      </c>
      <c r="N16" s="1093">
        <v>10418497.262</v>
      </c>
      <c r="O16" s="1517" t="s">
        <v>1266</v>
      </c>
    </row>
    <row r="17" spans="1:15" ht="31.5" customHeight="1">
      <c r="A17" s="927">
        <v>5</v>
      </c>
      <c r="B17" s="1516" t="s">
        <v>1267</v>
      </c>
      <c r="C17" s="1093">
        <v>248057</v>
      </c>
      <c r="D17" s="1093">
        <v>11764628.231000002</v>
      </c>
      <c r="E17" s="1093">
        <v>154752</v>
      </c>
      <c r="F17" s="1093">
        <v>6343950.3210000005</v>
      </c>
      <c r="G17" s="1093">
        <v>238967</v>
      </c>
      <c r="H17" s="1093">
        <v>9661225.472000001</v>
      </c>
      <c r="I17" s="1093">
        <v>234999</v>
      </c>
      <c r="J17" s="1093">
        <v>9193360.0419999994</v>
      </c>
      <c r="K17" s="1093">
        <v>249374</v>
      </c>
      <c r="L17" s="1093">
        <v>9702344.2050000001</v>
      </c>
      <c r="M17" s="1093">
        <v>288944</v>
      </c>
      <c r="N17" s="1093">
        <v>11318609.255999999</v>
      </c>
      <c r="O17" s="1517" t="s">
        <v>1268</v>
      </c>
    </row>
    <row r="18" spans="1:15" ht="46.8">
      <c r="A18" s="927">
        <v>6</v>
      </c>
      <c r="B18" s="1516" t="s">
        <v>1269</v>
      </c>
      <c r="C18" s="1093">
        <v>159551</v>
      </c>
      <c r="D18" s="1093">
        <v>2211630.8780000005</v>
      </c>
      <c r="E18" s="1093">
        <v>161162</v>
      </c>
      <c r="F18" s="1093">
        <v>2303497.9699999997</v>
      </c>
      <c r="G18" s="1093">
        <v>159032</v>
      </c>
      <c r="H18" s="1093">
        <v>2444349.6100000003</v>
      </c>
      <c r="I18" s="1093">
        <v>177886</v>
      </c>
      <c r="J18" s="1093">
        <v>2469535.4510000004</v>
      </c>
      <c r="K18" s="1093">
        <v>153120</v>
      </c>
      <c r="L18" s="1093">
        <v>2205592.6460000002</v>
      </c>
      <c r="M18" s="1093">
        <v>165139</v>
      </c>
      <c r="N18" s="1093">
        <v>2347753.8990000002</v>
      </c>
      <c r="O18" s="1518" t="s">
        <v>1270</v>
      </c>
    </row>
    <row r="19" spans="1:15" ht="31.5" customHeight="1">
      <c r="A19" s="927">
        <v>7</v>
      </c>
      <c r="B19" s="1516" t="s">
        <v>1271</v>
      </c>
      <c r="C19" s="1093">
        <v>4301186</v>
      </c>
      <c r="D19" s="1093">
        <v>29641414.666000005</v>
      </c>
      <c r="E19" s="1093">
        <v>4292457</v>
      </c>
      <c r="F19" s="1093">
        <v>32334290.313999996</v>
      </c>
      <c r="G19" s="1093">
        <v>4417436</v>
      </c>
      <c r="H19" s="1093">
        <v>27775472.495999999</v>
      </c>
      <c r="I19" s="1093">
        <v>4849337</v>
      </c>
      <c r="J19" s="1093">
        <v>29999885.703000002</v>
      </c>
      <c r="K19" s="1093">
        <v>4502169</v>
      </c>
      <c r="L19" s="1093">
        <v>28288387.336999997</v>
      </c>
      <c r="M19" s="1093">
        <v>4758112</v>
      </c>
      <c r="N19" s="1093">
        <v>29213211.583999999</v>
      </c>
      <c r="O19" s="1517" t="s">
        <v>1272</v>
      </c>
    </row>
    <row r="20" spans="1:15" ht="31.5" customHeight="1">
      <c r="A20" s="927">
        <v>8</v>
      </c>
      <c r="B20" s="1516" t="s">
        <v>1273</v>
      </c>
      <c r="C20" s="1093">
        <v>11807</v>
      </c>
      <c r="D20" s="1093">
        <v>1633340.3119999999</v>
      </c>
      <c r="E20" s="1093">
        <v>13784</v>
      </c>
      <c r="F20" s="1093">
        <v>1936422.6930000002</v>
      </c>
      <c r="G20" s="1093">
        <v>12313</v>
      </c>
      <c r="H20" s="1093">
        <v>1944678.9810000001</v>
      </c>
      <c r="I20" s="1093">
        <v>16289</v>
      </c>
      <c r="J20" s="1093">
        <v>2547635.0319999997</v>
      </c>
      <c r="K20" s="1093">
        <v>15456</v>
      </c>
      <c r="L20" s="1093">
        <v>2755276.9800000004</v>
      </c>
      <c r="M20" s="1093">
        <v>13528</v>
      </c>
      <c r="N20" s="1093">
        <v>1970512.6659999997</v>
      </c>
      <c r="O20" s="1517" t="s">
        <v>1274</v>
      </c>
    </row>
    <row r="21" spans="1:15" ht="31.5" customHeight="1">
      <c r="A21" s="927">
        <v>9</v>
      </c>
      <c r="B21" s="1516" t="s">
        <v>1275</v>
      </c>
      <c r="C21" s="1093">
        <v>473997</v>
      </c>
      <c r="D21" s="1093">
        <v>5601792.8260000004</v>
      </c>
      <c r="E21" s="1093">
        <v>419440</v>
      </c>
      <c r="F21" s="1093">
        <v>5054059.7360000005</v>
      </c>
      <c r="G21" s="1093">
        <v>433805</v>
      </c>
      <c r="H21" s="1093">
        <v>4775703.2489999998</v>
      </c>
      <c r="I21" s="1093">
        <v>527912</v>
      </c>
      <c r="J21" s="1093">
        <v>6146393.0659999996</v>
      </c>
      <c r="K21" s="1093">
        <v>444269</v>
      </c>
      <c r="L21" s="1093">
        <v>5141573.3169999998</v>
      </c>
      <c r="M21" s="1093">
        <v>452799</v>
      </c>
      <c r="N21" s="1093">
        <v>5365555.0140000004</v>
      </c>
      <c r="O21" s="1517" t="s">
        <v>1276</v>
      </c>
    </row>
    <row r="22" spans="1:15" ht="31.5" customHeight="1">
      <c r="A22" s="927">
        <v>10</v>
      </c>
      <c r="B22" s="1516" t="s">
        <v>1277</v>
      </c>
      <c r="C22" s="1093">
        <v>340756</v>
      </c>
      <c r="D22" s="1093">
        <v>5911162.5599999996</v>
      </c>
      <c r="E22" s="1093">
        <v>525227</v>
      </c>
      <c r="F22" s="1093">
        <v>9170203.6130000018</v>
      </c>
      <c r="G22" s="1093">
        <v>375320</v>
      </c>
      <c r="H22" s="1093">
        <v>6178112.8640000001</v>
      </c>
      <c r="I22" s="1093">
        <v>551040</v>
      </c>
      <c r="J22" s="1093">
        <v>9655050.2060000002</v>
      </c>
      <c r="K22" s="1093">
        <v>399018</v>
      </c>
      <c r="L22" s="1093">
        <v>6659324.5860000001</v>
      </c>
      <c r="M22" s="1093">
        <v>398067</v>
      </c>
      <c r="N22" s="1093">
        <v>6378775.1100000003</v>
      </c>
      <c r="O22" s="1517" t="s">
        <v>1278</v>
      </c>
    </row>
    <row r="23" spans="1:15" ht="31.5" customHeight="1">
      <c r="A23" s="927">
        <v>11</v>
      </c>
      <c r="B23" s="1516" t="s">
        <v>1279</v>
      </c>
      <c r="C23" s="1093">
        <v>92563</v>
      </c>
      <c r="D23" s="1093">
        <v>2818525.2420000001</v>
      </c>
      <c r="E23" s="1093">
        <v>83660</v>
      </c>
      <c r="F23" s="1093">
        <v>2874966.5350000001</v>
      </c>
      <c r="G23" s="1093">
        <v>83806</v>
      </c>
      <c r="H23" s="1093">
        <v>2991824.5430000001</v>
      </c>
      <c r="I23" s="1093">
        <v>95370</v>
      </c>
      <c r="J23" s="1093">
        <v>3011628.6780000003</v>
      </c>
      <c r="K23" s="1093">
        <v>99275</v>
      </c>
      <c r="L23" s="1093">
        <v>2899286.872</v>
      </c>
      <c r="M23" s="1093">
        <v>112856</v>
      </c>
      <c r="N23" s="1093">
        <v>3083937.3720000004</v>
      </c>
      <c r="O23" s="1517" t="s">
        <v>1280</v>
      </c>
    </row>
    <row r="24" spans="1:15" ht="30" customHeight="1">
      <c r="A24" s="927">
        <v>12</v>
      </c>
      <c r="B24" s="1516" t="s">
        <v>1281</v>
      </c>
      <c r="C24" s="1093">
        <v>57958</v>
      </c>
      <c r="D24" s="1093">
        <v>1534065.8519999995</v>
      </c>
      <c r="E24" s="1093">
        <v>47214</v>
      </c>
      <c r="F24" s="1093">
        <v>1598264.18</v>
      </c>
      <c r="G24" s="1093">
        <v>59184</v>
      </c>
      <c r="H24" s="1093">
        <v>1815080.602</v>
      </c>
      <c r="I24" s="1093">
        <v>67025</v>
      </c>
      <c r="J24" s="1093">
        <v>1563137.0729999999</v>
      </c>
      <c r="K24" s="1093">
        <v>61465</v>
      </c>
      <c r="L24" s="1093">
        <v>1633639.2899999998</v>
      </c>
      <c r="M24" s="1093">
        <v>63260</v>
      </c>
      <c r="N24" s="1093">
        <v>1893596.7389999996</v>
      </c>
      <c r="O24" s="1517" t="s">
        <v>1282</v>
      </c>
    </row>
    <row r="25" spans="1:15" ht="31.5" customHeight="1">
      <c r="A25" s="927">
        <v>13</v>
      </c>
      <c r="B25" s="1516" t="s">
        <v>1283</v>
      </c>
      <c r="C25" s="1093">
        <v>527669</v>
      </c>
      <c r="D25" s="1093">
        <v>32843367.295000002</v>
      </c>
      <c r="E25" s="1093">
        <v>587977</v>
      </c>
      <c r="F25" s="1093">
        <v>39645555.916000001</v>
      </c>
      <c r="G25" s="1093">
        <v>564214</v>
      </c>
      <c r="H25" s="1093">
        <v>36206375.539999999</v>
      </c>
      <c r="I25" s="1093">
        <v>597846</v>
      </c>
      <c r="J25" s="1093">
        <v>39707240.938000008</v>
      </c>
      <c r="K25" s="1093">
        <v>556716</v>
      </c>
      <c r="L25" s="1093">
        <v>37168978.895999998</v>
      </c>
      <c r="M25" s="1093">
        <v>601092</v>
      </c>
      <c r="N25" s="1093">
        <v>42598542.302999988</v>
      </c>
      <c r="O25" s="1517" t="s">
        <v>1284</v>
      </c>
    </row>
    <row r="26" spans="1:15" ht="31.5" customHeight="1">
      <c r="A26" s="927">
        <v>14</v>
      </c>
      <c r="B26" s="1516" t="s">
        <v>1285</v>
      </c>
      <c r="C26" s="1093">
        <v>9267</v>
      </c>
      <c r="D26" s="1093">
        <v>190654.42199999999</v>
      </c>
      <c r="E26" s="1093">
        <v>7448</v>
      </c>
      <c r="F26" s="1093">
        <v>147783.269</v>
      </c>
      <c r="G26" s="1093">
        <v>10565</v>
      </c>
      <c r="H26" s="1093">
        <v>192316.11499999999</v>
      </c>
      <c r="I26" s="1093">
        <v>14553</v>
      </c>
      <c r="J26" s="1093">
        <v>232440.81299999999</v>
      </c>
      <c r="K26" s="1093">
        <v>14723</v>
      </c>
      <c r="L26" s="1093">
        <v>241330.79500000001</v>
      </c>
      <c r="M26" s="1093">
        <v>13977</v>
      </c>
      <c r="N26" s="1093">
        <v>236322.28899999999</v>
      </c>
      <c r="O26" s="1517" t="s">
        <v>1286</v>
      </c>
    </row>
    <row r="27" spans="1:15" ht="31.2">
      <c r="A27" s="927">
        <v>15</v>
      </c>
      <c r="B27" s="1516" t="s">
        <v>1287</v>
      </c>
      <c r="C27" s="1093">
        <v>1569629</v>
      </c>
      <c r="D27" s="1093">
        <v>11840493.225999998</v>
      </c>
      <c r="E27" s="1093">
        <v>1327470</v>
      </c>
      <c r="F27" s="1093">
        <v>10676598.030999999</v>
      </c>
      <c r="G27" s="1093">
        <v>1522352</v>
      </c>
      <c r="H27" s="1093">
        <v>12067793.343999999</v>
      </c>
      <c r="I27" s="1093">
        <v>1781840</v>
      </c>
      <c r="J27" s="1093">
        <v>13909258.331999999</v>
      </c>
      <c r="K27" s="1093">
        <v>1741187</v>
      </c>
      <c r="L27" s="1093">
        <v>13745309.573999999</v>
      </c>
      <c r="M27" s="1093">
        <v>1807800</v>
      </c>
      <c r="N27" s="1093">
        <v>14153163.030999999</v>
      </c>
      <c r="O27" s="1517" t="s">
        <v>1288</v>
      </c>
    </row>
    <row r="28" spans="1:15" ht="31.5" customHeight="1">
      <c r="A28" s="927">
        <v>16</v>
      </c>
      <c r="B28" s="1516" t="s">
        <v>1289</v>
      </c>
      <c r="C28" s="1093">
        <v>7369</v>
      </c>
      <c r="D28" s="1093">
        <v>756619.56200000003</v>
      </c>
      <c r="E28" s="1093">
        <v>2366</v>
      </c>
      <c r="F28" s="1093">
        <v>363245.36099999998</v>
      </c>
      <c r="G28" s="1093">
        <v>5582</v>
      </c>
      <c r="H28" s="1093">
        <v>661878.76599999995</v>
      </c>
      <c r="I28" s="1093">
        <v>8534</v>
      </c>
      <c r="J28" s="1093">
        <v>767692.50800000015</v>
      </c>
      <c r="K28" s="1093">
        <v>10071</v>
      </c>
      <c r="L28" s="1093">
        <v>733725.55799999996</v>
      </c>
      <c r="M28" s="1093">
        <v>15419</v>
      </c>
      <c r="N28" s="1093">
        <v>801155.55200000003</v>
      </c>
      <c r="O28" s="1518" t="s">
        <v>1290</v>
      </c>
    </row>
    <row r="29" spans="1:15" ht="31.5" customHeight="1">
      <c r="A29" s="927">
        <v>17</v>
      </c>
      <c r="B29" s="1516" t="s">
        <v>1291</v>
      </c>
      <c r="C29" s="1093">
        <v>119296</v>
      </c>
      <c r="D29" s="1093">
        <v>1578161.595</v>
      </c>
      <c r="E29" s="1093">
        <v>127858</v>
      </c>
      <c r="F29" s="1093">
        <v>1375300.8570000001</v>
      </c>
      <c r="G29" s="1093">
        <v>176418</v>
      </c>
      <c r="H29" s="1093">
        <v>1878813.3160000001</v>
      </c>
      <c r="I29" s="1093">
        <v>239357</v>
      </c>
      <c r="J29" s="1093">
        <v>2632474.3670000001</v>
      </c>
      <c r="K29" s="1093">
        <v>195709</v>
      </c>
      <c r="L29" s="1093">
        <v>2413478.2769999998</v>
      </c>
      <c r="M29" s="1093">
        <v>229978</v>
      </c>
      <c r="N29" s="1093">
        <v>2615680.375</v>
      </c>
      <c r="O29" s="1517" t="s">
        <v>1292</v>
      </c>
    </row>
    <row r="30" spans="1:15" ht="46.5" customHeight="1">
      <c r="A30" s="927">
        <v>18</v>
      </c>
      <c r="B30" s="1516" t="s">
        <v>1293</v>
      </c>
      <c r="C30" s="1093">
        <v>50306</v>
      </c>
      <c r="D30" s="1093">
        <v>1588294.97</v>
      </c>
      <c r="E30" s="1093">
        <v>38986</v>
      </c>
      <c r="F30" s="1093">
        <v>1258575.8629999999</v>
      </c>
      <c r="G30" s="1093">
        <v>56579</v>
      </c>
      <c r="H30" s="1093">
        <v>1646844.652</v>
      </c>
      <c r="I30" s="1093">
        <v>56301</v>
      </c>
      <c r="J30" s="1093">
        <v>1525685.635</v>
      </c>
      <c r="K30" s="1093">
        <v>48580</v>
      </c>
      <c r="L30" s="1093">
        <v>1275459.888</v>
      </c>
      <c r="M30" s="1093">
        <v>54410</v>
      </c>
      <c r="N30" s="1093">
        <v>1325855.1189999999</v>
      </c>
      <c r="O30" s="1517" t="s">
        <v>1294</v>
      </c>
    </row>
    <row r="31" spans="1:15" ht="31.5" customHeight="1">
      <c r="A31" s="927">
        <v>19</v>
      </c>
      <c r="B31" s="1516" t="s">
        <v>1295</v>
      </c>
      <c r="C31" s="1093">
        <v>39718</v>
      </c>
      <c r="D31" s="1093">
        <v>453614.43500000006</v>
      </c>
      <c r="E31" s="1093">
        <v>19234</v>
      </c>
      <c r="F31" s="1093">
        <v>384035.41500000004</v>
      </c>
      <c r="G31" s="1093">
        <v>26836</v>
      </c>
      <c r="H31" s="1093">
        <v>422883.69500000001</v>
      </c>
      <c r="I31" s="1093">
        <v>31299</v>
      </c>
      <c r="J31" s="1093">
        <v>446857.32799999998</v>
      </c>
      <c r="K31" s="1093">
        <v>31169</v>
      </c>
      <c r="L31" s="1093">
        <v>435513.34199999995</v>
      </c>
      <c r="M31" s="1093">
        <v>27574</v>
      </c>
      <c r="N31" s="1093">
        <v>377465.17500000005</v>
      </c>
      <c r="O31" s="1517" t="s">
        <v>1296</v>
      </c>
    </row>
    <row r="32" spans="1:15" ht="31.5" customHeight="1">
      <c r="A32" s="927">
        <v>20</v>
      </c>
      <c r="B32" s="1516" t="s">
        <v>1297</v>
      </c>
      <c r="C32" s="1093">
        <v>710165</v>
      </c>
      <c r="D32" s="1093">
        <v>19687154.608999833</v>
      </c>
      <c r="E32" s="1093">
        <v>737550</v>
      </c>
      <c r="F32" s="1093">
        <v>24673674.585999768</v>
      </c>
      <c r="G32" s="1093">
        <v>680450</v>
      </c>
      <c r="H32" s="1093">
        <v>22526935.20999974</v>
      </c>
      <c r="I32" s="1093">
        <v>821925</v>
      </c>
      <c r="J32" s="1093">
        <v>23890444.741999622</v>
      </c>
      <c r="K32" s="1093">
        <v>737902</v>
      </c>
      <c r="L32" s="1093">
        <v>21497790.173999958</v>
      </c>
      <c r="M32" s="1093">
        <v>769482</v>
      </c>
      <c r="N32" s="1093">
        <v>23997469.656999789</v>
      </c>
      <c r="O32" s="1517" t="s">
        <v>1298</v>
      </c>
    </row>
    <row r="33" spans="1:15" s="1521" customFormat="1" ht="31.5" customHeight="1">
      <c r="A33" s="943"/>
      <c r="B33" s="1519" t="s">
        <v>392</v>
      </c>
      <c r="C33" s="966">
        <v>13171706</v>
      </c>
      <c r="D33" s="966">
        <v>158909489.80499983</v>
      </c>
      <c r="E33" s="966">
        <v>12870202</v>
      </c>
      <c r="F33" s="966">
        <v>169196874.08099973</v>
      </c>
      <c r="G33" s="966">
        <v>14024926</v>
      </c>
      <c r="H33" s="966">
        <v>166868379.04699975</v>
      </c>
      <c r="I33" s="966">
        <v>15924591</v>
      </c>
      <c r="J33" s="966">
        <v>185471528.87699962</v>
      </c>
      <c r="K33" s="966">
        <v>14572070</v>
      </c>
      <c r="L33" s="966">
        <v>171102471.912</v>
      </c>
      <c r="M33" s="966">
        <v>15304249</v>
      </c>
      <c r="N33" s="966">
        <v>182839061.18499973</v>
      </c>
      <c r="O33" s="1520" t="s">
        <v>382</v>
      </c>
    </row>
    <row r="34" spans="1:15" ht="27.75" customHeight="1">
      <c r="A34" s="1522" t="s">
        <v>1299</v>
      </c>
      <c r="B34" s="1523"/>
      <c r="C34" s="1524"/>
      <c r="D34" s="1524"/>
      <c r="E34" s="1524"/>
      <c r="F34" s="1524"/>
      <c r="G34" s="1524"/>
      <c r="H34" s="1524"/>
      <c r="I34" s="1524"/>
      <c r="J34" s="1524"/>
      <c r="K34" s="1524"/>
      <c r="L34" s="1524"/>
      <c r="M34" s="1524"/>
      <c r="N34" s="1524"/>
      <c r="O34" s="1525" t="s">
        <v>1300</v>
      </c>
    </row>
    <row r="35" spans="1:15" ht="17.399999999999999">
      <c r="A35" s="1522" t="s">
        <v>1301</v>
      </c>
      <c r="B35" s="1523"/>
      <c r="C35" s="1524"/>
      <c r="D35" s="1524"/>
      <c r="E35" s="1524"/>
      <c r="F35" s="1524"/>
      <c r="G35" s="1524"/>
      <c r="H35" s="1524"/>
      <c r="I35" s="1524"/>
      <c r="J35" s="1524"/>
      <c r="K35" s="1524"/>
      <c r="L35" s="1524"/>
      <c r="M35" s="1524"/>
      <c r="N35" s="1524"/>
      <c r="O35" s="1525" t="s">
        <v>1302</v>
      </c>
    </row>
    <row r="36" spans="1:15" ht="17.399999999999999">
      <c r="A36" s="1522"/>
      <c r="B36" s="1523"/>
      <c r="C36" s="1524"/>
      <c r="D36" s="1524"/>
      <c r="E36" s="1524"/>
      <c r="F36" s="1524"/>
      <c r="G36" s="1524"/>
      <c r="H36" s="1524"/>
      <c r="I36" s="1524"/>
      <c r="J36" s="1524"/>
      <c r="K36" s="1524"/>
      <c r="L36" s="1524"/>
      <c r="M36" s="1524"/>
      <c r="N36" s="1524"/>
      <c r="O36" s="1525"/>
    </row>
    <row r="37" spans="1:15">
      <c r="A37" s="1526" t="s">
        <v>1309</v>
      </c>
      <c r="B37" s="1526"/>
      <c r="C37" s="1526"/>
      <c r="D37" s="1526"/>
      <c r="E37" s="1526"/>
      <c r="F37" s="1526"/>
      <c r="G37" s="1526"/>
      <c r="H37" s="1526"/>
      <c r="I37" s="1526"/>
      <c r="J37" s="1526"/>
      <c r="K37" s="1526"/>
      <c r="L37" s="1526"/>
      <c r="M37" s="1526"/>
      <c r="N37" s="1526"/>
      <c r="O37" s="1526"/>
    </row>
    <row r="38" spans="1:15">
      <c r="C38" s="1528"/>
      <c r="D38" s="1528"/>
      <c r="E38" s="1528"/>
      <c r="F38" s="1528"/>
      <c r="G38" s="1528"/>
      <c r="H38" s="1528"/>
      <c r="I38" s="1528"/>
      <c r="J38" s="1528"/>
      <c r="K38" s="1528"/>
      <c r="L38" s="1528"/>
      <c r="M38" s="1528"/>
      <c r="N38" s="1528"/>
    </row>
    <row r="39" spans="1:15">
      <c r="C39" s="1529"/>
      <c r="D39" s="1529"/>
      <c r="E39" s="1529"/>
      <c r="F39" s="1529"/>
      <c r="G39" s="1529"/>
      <c r="H39" s="1529"/>
      <c r="I39" s="1529"/>
      <c r="J39" s="1529"/>
      <c r="K39" s="1529"/>
      <c r="L39" s="1529"/>
      <c r="M39" s="1529"/>
      <c r="N39" s="1529"/>
    </row>
    <row r="41" spans="1:15">
      <c r="C41" s="1530"/>
      <c r="D41" s="1530"/>
      <c r="E41" s="1530"/>
      <c r="F41" s="1530"/>
      <c r="G41" s="1530"/>
      <c r="H41" s="1530"/>
      <c r="I41" s="1530"/>
      <c r="J41" s="1530"/>
      <c r="K41" s="1530"/>
      <c r="L41" s="1530"/>
      <c r="M41" s="1530"/>
      <c r="N41" s="1530"/>
      <c r="O41" s="1530"/>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7">
    <pageSetUpPr fitToPage="1"/>
  </sheetPr>
  <dimension ref="A1:Q41"/>
  <sheetViews>
    <sheetView topLeftCell="C25" zoomScale="70" zoomScaleNormal="70" workbookViewId="0">
      <selection activeCell="D38" sqref="D38"/>
    </sheetView>
  </sheetViews>
  <sheetFormatPr defaultColWidth="18.21875" defaultRowHeight="15"/>
  <cols>
    <col min="1" max="1" width="6.21875" style="1527" customWidth="1"/>
    <col min="2" max="2" width="45.77734375" style="1503" customWidth="1"/>
    <col min="3" max="14" width="14.77734375" style="1503" customWidth="1"/>
    <col min="15" max="15" width="46.77734375" style="1503" customWidth="1"/>
    <col min="16" max="16384" width="18.21875" style="1503"/>
  </cols>
  <sheetData>
    <row r="1" spans="1:15" ht="18" customHeight="1">
      <c r="A1" s="949" t="s">
        <v>1741</v>
      </c>
      <c r="B1" s="948"/>
      <c r="C1" s="948"/>
      <c r="D1" s="948"/>
      <c r="E1" s="948"/>
      <c r="F1" s="948"/>
      <c r="G1" s="948"/>
      <c r="H1" s="948"/>
      <c r="I1" s="948"/>
      <c r="J1" s="948"/>
      <c r="K1" s="948"/>
      <c r="L1" s="948"/>
      <c r="M1" s="948"/>
      <c r="N1" s="948"/>
      <c r="O1" s="948"/>
    </row>
    <row r="2" spans="1:15" ht="18" customHeight="1">
      <c r="A2" s="949" t="s">
        <v>1310</v>
      </c>
      <c r="B2" s="1504"/>
      <c r="C2" s="1504"/>
      <c r="D2" s="1504"/>
      <c r="E2" s="1504"/>
      <c r="F2" s="1504"/>
      <c r="G2" s="1504"/>
      <c r="H2" s="1504"/>
      <c r="I2" s="1504"/>
      <c r="J2" s="1504"/>
      <c r="K2" s="1504"/>
      <c r="L2" s="1504"/>
      <c r="M2" s="1504"/>
      <c r="N2" s="1504"/>
      <c r="O2" s="1504"/>
    </row>
    <row r="3" spans="1:15" ht="17.399999999999999">
      <c r="A3" s="949" t="s">
        <v>1311</v>
      </c>
      <c r="B3" s="948"/>
      <c r="C3" s="948"/>
      <c r="D3" s="948"/>
      <c r="E3" s="948"/>
      <c r="F3" s="948"/>
      <c r="G3" s="948"/>
      <c r="H3" s="948"/>
      <c r="I3" s="948"/>
      <c r="J3" s="948"/>
      <c r="K3" s="948"/>
      <c r="L3" s="948"/>
      <c r="M3" s="948"/>
      <c r="N3" s="948"/>
      <c r="O3" s="948"/>
    </row>
    <row r="4" spans="1:15" ht="4.5" customHeight="1">
      <c r="A4" s="948"/>
      <c r="B4" s="948"/>
      <c r="C4" s="1505"/>
      <c r="D4" s="1505"/>
      <c r="E4" s="1505"/>
      <c r="F4" s="1505"/>
      <c r="G4" s="1505"/>
      <c r="H4" s="1505"/>
      <c r="I4" s="1505"/>
      <c r="J4" s="1505"/>
      <c r="K4" s="1505"/>
      <c r="L4" s="1505"/>
      <c r="M4" s="1505"/>
      <c r="N4" s="1505"/>
      <c r="O4" s="948"/>
    </row>
    <row r="5" spans="1:15" ht="15.75" hidden="1" customHeight="1">
      <c r="A5" s="948"/>
      <c r="B5" s="948"/>
      <c r="C5" s="1505"/>
      <c r="D5" s="1505"/>
      <c r="E5" s="1505"/>
      <c r="F5" s="1505"/>
      <c r="G5" s="1505"/>
      <c r="H5" s="1505"/>
      <c r="I5" s="1505"/>
      <c r="J5" s="1505"/>
      <c r="K5" s="1505"/>
      <c r="L5" s="1505"/>
      <c r="M5" s="1505"/>
      <c r="N5" s="1505"/>
      <c r="O5" s="948"/>
    </row>
    <row r="6" spans="1:15" ht="15.75" hidden="1" customHeight="1">
      <c r="A6" s="948"/>
      <c r="B6" s="948"/>
      <c r="C6" s="1505"/>
      <c r="D6" s="1505"/>
      <c r="E6" s="1505"/>
      <c r="F6" s="1505"/>
      <c r="G6" s="1505"/>
      <c r="H6" s="1505"/>
      <c r="I6" s="1505"/>
      <c r="J6" s="1505"/>
      <c r="K6" s="1505"/>
      <c r="L6" s="1505"/>
      <c r="M6" s="1505"/>
      <c r="N6" s="1505"/>
      <c r="O6" s="948"/>
    </row>
    <row r="7" spans="1:15" ht="15.75" hidden="1" customHeight="1">
      <c r="A7" s="948"/>
      <c r="B7" s="948"/>
      <c r="C7" s="1505"/>
      <c r="D7" s="1505"/>
      <c r="E7" s="1505"/>
      <c r="F7" s="1505"/>
      <c r="G7" s="1505"/>
      <c r="H7" s="1505"/>
      <c r="I7" s="1505"/>
      <c r="J7" s="1505"/>
      <c r="K7" s="1505"/>
      <c r="L7" s="1505"/>
      <c r="M7" s="1505"/>
      <c r="N7" s="1505"/>
      <c r="O7" s="948"/>
    </row>
    <row r="8" spans="1:15">
      <c r="A8" s="829" t="s">
        <v>1258</v>
      </c>
      <c r="C8" s="829"/>
      <c r="D8" s="829"/>
      <c r="E8" s="829"/>
      <c r="F8" s="829"/>
      <c r="G8" s="829"/>
      <c r="H8" s="829"/>
      <c r="I8" s="829"/>
      <c r="J8" s="829"/>
      <c r="K8" s="829"/>
      <c r="L8" s="829"/>
      <c r="M8" s="829"/>
      <c r="N8" s="829"/>
      <c r="O8" s="829" t="s">
        <v>1259</v>
      </c>
    </row>
    <row r="9" spans="1:15" s="1508" customFormat="1" ht="20.25" customHeight="1">
      <c r="A9" s="1506"/>
      <c r="B9" s="1506" t="s">
        <v>856</v>
      </c>
      <c r="C9" s="1507">
        <v>2026</v>
      </c>
      <c r="D9" s="1507"/>
      <c r="E9" s="1507"/>
      <c r="F9" s="1507"/>
      <c r="G9" s="1507"/>
      <c r="H9" s="1507"/>
      <c r="I9" s="1507"/>
      <c r="J9" s="1507"/>
      <c r="K9" s="1507"/>
      <c r="L9" s="1507"/>
      <c r="M9" s="1507"/>
      <c r="N9" s="1507"/>
      <c r="O9" s="1506" t="s">
        <v>857</v>
      </c>
    </row>
    <row r="10" spans="1:15" s="1508" customFormat="1" ht="20.25" customHeight="1">
      <c r="A10" s="1509"/>
      <c r="B10" s="1509"/>
      <c r="C10" s="1510" t="s">
        <v>1657</v>
      </c>
      <c r="D10" s="1511"/>
      <c r="E10" s="1510" t="s">
        <v>1678</v>
      </c>
      <c r="F10" s="1511"/>
      <c r="G10" s="1510" t="s">
        <v>1696</v>
      </c>
      <c r="H10" s="1511"/>
      <c r="I10" s="1510" t="s">
        <v>418</v>
      </c>
      <c r="J10" s="1511"/>
      <c r="K10" s="1510" t="s">
        <v>1708</v>
      </c>
      <c r="L10" s="1511"/>
      <c r="M10" s="1510" t="s">
        <v>1716</v>
      </c>
      <c r="N10" s="1511"/>
      <c r="O10" s="1509"/>
    </row>
    <row r="11" spans="1:15" s="1508" customFormat="1" ht="15.6">
      <c r="A11" s="1509"/>
      <c r="B11" s="1509"/>
      <c r="C11" s="920" t="s">
        <v>1242</v>
      </c>
      <c r="D11" s="920" t="s">
        <v>1211</v>
      </c>
      <c r="E11" s="920" t="s">
        <v>1242</v>
      </c>
      <c r="F11" s="920" t="s">
        <v>1211</v>
      </c>
      <c r="G11" s="920" t="s">
        <v>1242</v>
      </c>
      <c r="H11" s="920" t="s">
        <v>1211</v>
      </c>
      <c r="I11" s="920" t="s">
        <v>1242</v>
      </c>
      <c r="J11" s="920" t="s">
        <v>1211</v>
      </c>
      <c r="K11" s="920" t="s">
        <v>1242</v>
      </c>
      <c r="L11" s="920" t="s">
        <v>1211</v>
      </c>
      <c r="M11" s="920" t="s">
        <v>1242</v>
      </c>
      <c r="N11" s="920" t="s">
        <v>1211</v>
      </c>
      <c r="O11" s="1509"/>
    </row>
    <row r="12" spans="1:15" s="1513" customFormat="1" ht="15.6">
      <c r="A12" s="1512"/>
      <c r="B12" s="1512"/>
      <c r="C12" s="946" t="s">
        <v>1260</v>
      </c>
      <c r="D12" s="946" t="s">
        <v>1213</v>
      </c>
      <c r="E12" s="946" t="s">
        <v>1260</v>
      </c>
      <c r="F12" s="946" t="s">
        <v>1213</v>
      </c>
      <c r="G12" s="946" t="s">
        <v>1260</v>
      </c>
      <c r="H12" s="946" t="s">
        <v>1213</v>
      </c>
      <c r="I12" s="946" t="s">
        <v>1260</v>
      </c>
      <c r="J12" s="946" t="s">
        <v>1213</v>
      </c>
      <c r="K12" s="946" t="s">
        <v>1260</v>
      </c>
      <c r="L12" s="946" t="s">
        <v>1213</v>
      </c>
      <c r="M12" s="946" t="s">
        <v>1260</v>
      </c>
      <c r="N12" s="946" t="s">
        <v>1213</v>
      </c>
      <c r="O12" s="1512"/>
    </row>
    <row r="13" spans="1:15" ht="31.5" customHeight="1">
      <c r="A13" s="927">
        <v>1</v>
      </c>
      <c r="B13" s="1514" t="s">
        <v>891</v>
      </c>
      <c r="C13" s="1093">
        <v>3811</v>
      </c>
      <c r="D13" s="1093">
        <v>569183.62</v>
      </c>
      <c r="E13" s="1093">
        <v>2563</v>
      </c>
      <c r="F13" s="1093">
        <v>455415.12600000005</v>
      </c>
      <c r="G13" s="1093">
        <v>3798</v>
      </c>
      <c r="H13" s="1093">
        <v>705361.375</v>
      </c>
      <c r="I13" s="1093">
        <v>4086</v>
      </c>
      <c r="J13" s="1093">
        <v>726629.80199999991</v>
      </c>
      <c r="K13" s="1093">
        <v>4450</v>
      </c>
      <c r="L13" s="1093">
        <v>746982.56900000002</v>
      </c>
      <c r="M13" s="1093">
        <v>4075</v>
      </c>
      <c r="N13" s="1093">
        <v>658748.6939999999</v>
      </c>
      <c r="O13" s="1515" t="s">
        <v>892</v>
      </c>
    </row>
    <row r="14" spans="1:15" ht="43.5" customHeight="1">
      <c r="A14" s="927">
        <v>2</v>
      </c>
      <c r="B14" s="1516" t="s">
        <v>1261</v>
      </c>
      <c r="C14" s="1093">
        <v>53254</v>
      </c>
      <c r="D14" s="1093">
        <v>2312660.4389999998</v>
      </c>
      <c r="E14" s="1093">
        <v>13284</v>
      </c>
      <c r="F14" s="1093">
        <v>516065.74199999997</v>
      </c>
      <c r="G14" s="1093">
        <v>31834</v>
      </c>
      <c r="H14" s="1093">
        <v>1132781.4679999999</v>
      </c>
      <c r="I14" s="1093">
        <v>76844</v>
      </c>
      <c r="J14" s="1093">
        <v>3112247.8060000003</v>
      </c>
      <c r="K14" s="1093">
        <v>67360</v>
      </c>
      <c r="L14" s="1093">
        <v>2506915.1970000002</v>
      </c>
      <c r="M14" s="1093">
        <v>70425</v>
      </c>
      <c r="N14" s="1093">
        <v>2513221.8879999998</v>
      </c>
      <c r="O14" s="1517" t="s">
        <v>1262</v>
      </c>
    </row>
    <row r="15" spans="1:15" ht="31.5" customHeight="1">
      <c r="A15" s="927">
        <v>3</v>
      </c>
      <c r="B15" s="1516" t="s">
        <v>1263</v>
      </c>
      <c r="C15" s="1093">
        <v>795899</v>
      </c>
      <c r="D15" s="1093">
        <v>7207605.7869999995</v>
      </c>
      <c r="E15" s="1093">
        <v>343480</v>
      </c>
      <c r="F15" s="1093">
        <v>2425206.8930000002</v>
      </c>
      <c r="G15" s="1093">
        <v>555486</v>
      </c>
      <c r="H15" s="1093">
        <v>4755054.7829999998</v>
      </c>
      <c r="I15" s="1093">
        <v>1016211</v>
      </c>
      <c r="J15" s="1093">
        <v>10425611.646</v>
      </c>
      <c r="K15" s="1093">
        <v>797472</v>
      </c>
      <c r="L15" s="1093">
        <v>7540600.5060000001</v>
      </c>
      <c r="M15" s="1093">
        <v>827168</v>
      </c>
      <c r="N15" s="1093">
        <v>7434540</v>
      </c>
      <c r="O15" s="1517" t="s">
        <v>1264</v>
      </c>
    </row>
    <row r="16" spans="1:15" ht="31.5" customHeight="1">
      <c r="A16" s="927">
        <v>4</v>
      </c>
      <c r="B16" s="1516" t="s">
        <v>1265</v>
      </c>
      <c r="C16" s="1093">
        <v>57669</v>
      </c>
      <c r="D16" s="1093">
        <v>1206502.3470000001</v>
      </c>
      <c r="E16" s="1093">
        <v>32473</v>
      </c>
      <c r="F16" s="1093">
        <v>687216.65700000001</v>
      </c>
      <c r="G16" s="1093">
        <v>37069</v>
      </c>
      <c r="H16" s="1093">
        <v>882416.99300000002</v>
      </c>
      <c r="I16" s="1093">
        <v>60111</v>
      </c>
      <c r="J16" s="1093">
        <v>1212817.9239999999</v>
      </c>
      <c r="K16" s="1093">
        <v>50876</v>
      </c>
      <c r="L16" s="1093">
        <v>1182498.2169999999</v>
      </c>
      <c r="M16" s="1093">
        <v>52008</v>
      </c>
      <c r="N16" s="1093">
        <v>1143553.273</v>
      </c>
      <c r="O16" s="1517" t="s">
        <v>1266</v>
      </c>
    </row>
    <row r="17" spans="1:15" ht="31.5" customHeight="1">
      <c r="A17" s="927">
        <v>5</v>
      </c>
      <c r="B17" s="1516" t="s">
        <v>1267</v>
      </c>
      <c r="C17" s="1093">
        <v>36987</v>
      </c>
      <c r="D17" s="1093">
        <v>644728.07100000011</v>
      </c>
      <c r="E17" s="1093">
        <v>13637</v>
      </c>
      <c r="F17" s="1093">
        <v>268186.41500000004</v>
      </c>
      <c r="G17" s="1093">
        <v>18809</v>
      </c>
      <c r="H17" s="1093">
        <v>336724.03100000002</v>
      </c>
      <c r="I17" s="1093">
        <v>27137</v>
      </c>
      <c r="J17" s="1093">
        <v>398818.97200000001</v>
      </c>
      <c r="K17" s="1093">
        <v>26914</v>
      </c>
      <c r="L17" s="1093">
        <v>443623.00400000002</v>
      </c>
      <c r="M17" s="1093">
        <v>27902</v>
      </c>
      <c r="N17" s="1093">
        <v>466147.446</v>
      </c>
      <c r="O17" s="1517" t="s">
        <v>1268</v>
      </c>
    </row>
    <row r="18" spans="1:15" ht="46.8">
      <c r="A18" s="927">
        <v>6</v>
      </c>
      <c r="B18" s="1516" t="s">
        <v>1269</v>
      </c>
      <c r="C18" s="1093">
        <v>21742</v>
      </c>
      <c r="D18" s="1093">
        <v>378102.92300000001</v>
      </c>
      <c r="E18" s="1093">
        <v>5605</v>
      </c>
      <c r="F18" s="1093">
        <v>129371.11900000001</v>
      </c>
      <c r="G18" s="1093">
        <v>11696</v>
      </c>
      <c r="H18" s="1093">
        <v>242538.54399999997</v>
      </c>
      <c r="I18" s="1093">
        <v>24890</v>
      </c>
      <c r="J18" s="1093">
        <v>415342.59599999996</v>
      </c>
      <c r="K18" s="1093">
        <v>16401</v>
      </c>
      <c r="L18" s="1093">
        <v>286042.60399999999</v>
      </c>
      <c r="M18" s="1093">
        <v>16903</v>
      </c>
      <c r="N18" s="1093">
        <v>294091.68300000002</v>
      </c>
      <c r="O18" s="1518" t="s">
        <v>1270</v>
      </c>
    </row>
    <row r="19" spans="1:15" ht="31.5" customHeight="1">
      <c r="A19" s="927">
        <v>7</v>
      </c>
      <c r="B19" s="1516" t="s">
        <v>1271</v>
      </c>
      <c r="C19" s="1093">
        <v>417401</v>
      </c>
      <c r="D19" s="1093">
        <v>3519458.4169999994</v>
      </c>
      <c r="E19" s="1093">
        <v>211415</v>
      </c>
      <c r="F19" s="1093">
        <v>1744929.5180000002</v>
      </c>
      <c r="G19" s="1093">
        <v>302123</v>
      </c>
      <c r="H19" s="1093">
        <v>2315925.8560000001</v>
      </c>
      <c r="I19" s="1093">
        <v>488693</v>
      </c>
      <c r="J19" s="1093">
        <v>3759234.3840000005</v>
      </c>
      <c r="K19" s="1093">
        <v>394206</v>
      </c>
      <c r="L19" s="1093">
        <v>2880072.344</v>
      </c>
      <c r="M19" s="1093">
        <v>415004</v>
      </c>
      <c r="N19" s="1093">
        <v>2935083.1170000001</v>
      </c>
      <c r="O19" s="1517" t="s">
        <v>1272</v>
      </c>
    </row>
    <row r="20" spans="1:15" ht="31.5" customHeight="1">
      <c r="A20" s="927">
        <v>8</v>
      </c>
      <c r="B20" s="1516" t="s">
        <v>1273</v>
      </c>
      <c r="C20" s="1093">
        <v>7435</v>
      </c>
      <c r="D20" s="1093">
        <v>3748878.824</v>
      </c>
      <c r="E20" s="1093">
        <v>1777</v>
      </c>
      <c r="F20" s="1093">
        <v>699609.78399999999</v>
      </c>
      <c r="G20" s="1093">
        <v>3014</v>
      </c>
      <c r="H20" s="1093">
        <v>1336555.5049999999</v>
      </c>
      <c r="I20" s="1093">
        <v>8148</v>
      </c>
      <c r="J20" s="1093">
        <v>3217336.5809999998</v>
      </c>
      <c r="K20" s="1093">
        <v>5394</v>
      </c>
      <c r="L20" s="1093">
        <v>2541824.4950000001</v>
      </c>
      <c r="M20" s="1093">
        <v>4819</v>
      </c>
      <c r="N20" s="1093">
        <v>2069333.6869999999</v>
      </c>
      <c r="O20" s="1517" t="s">
        <v>1274</v>
      </c>
    </row>
    <row r="21" spans="1:15" ht="31.5" customHeight="1">
      <c r="A21" s="927">
        <v>9</v>
      </c>
      <c r="B21" s="1516" t="s">
        <v>1275</v>
      </c>
      <c r="C21" s="1093">
        <v>107081</v>
      </c>
      <c r="D21" s="1093">
        <v>1901098.7310000001</v>
      </c>
      <c r="E21" s="1093">
        <v>28951</v>
      </c>
      <c r="F21" s="1093">
        <v>340830.57</v>
      </c>
      <c r="G21" s="1093">
        <v>43311</v>
      </c>
      <c r="H21" s="1093">
        <v>491712.33199999999</v>
      </c>
      <c r="I21" s="1093">
        <v>96451</v>
      </c>
      <c r="J21" s="1093">
        <v>1462928.3929999999</v>
      </c>
      <c r="K21" s="1093">
        <v>78881</v>
      </c>
      <c r="L21" s="1093">
        <v>1296942.8090000001</v>
      </c>
      <c r="M21" s="1093">
        <v>82605</v>
      </c>
      <c r="N21" s="1093">
        <v>1269272.0870000001</v>
      </c>
      <c r="O21" s="1517" t="s">
        <v>1276</v>
      </c>
    </row>
    <row r="22" spans="1:15" ht="31.5" customHeight="1">
      <c r="A22" s="927">
        <v>10</v>
      </c>
      <c r="B22" s="1516" t="s">
        <v>1277</v>
      </c>
      <c r="C22" s="1093">
        <v>120053</v>
      </c>
      <c r="D22" s="1093">
        <v>4510456.7889999999</v>
      </c>
      <c r="E22" s="1093">
        <v>26392</v>
      </c>
      <c r="F22" s="1093">
        <v>950466.63899999997</v>
      </c>
      <c r="G22" s="1093">
        <v>50538</v>
      </c>
      <c r="H22" s="1093">
        <v>1987731.4339999999</v>
      </c>
      <c r="I22" s="1093">
        <v>163143</v>
      </c>
      <c r="J22" s="1093">
        <v>5775389.8110000007</v>
      </c>
      <c r="K22" s="1093">
        <v>89334</v>
      </c>
      <c r="L22" s="1093">
        <v>3088955.727</v>
      </c>
      <c r="M22" s="1093">
        <v>93792</v>
      </c>
      <c r="N22" s="1093">
        <v>2864047.977</v>
      </c>
      <c r="O22" s="1517" t="s">
        <v>1278</v>
      </c>
    </row>
    <row r="23" spans="1:15" ht="31.5" customHeight="1">
      <c r="A23" s="927">
        <v>11</v>
      </c>
      <c r="B23" s="1516" t="s">
        <v>1279</v>
      </c>
      <c r="C23" s="1093">
        <v>13530</v>
      </c>
      <c r="D23" s="1093">
        <v>386243.734</v>
      </c>
      <c r="E23" s="1093">
        <v>4197</v>
      </c>
      <c r="F23" s="1093">
        <v>179672.64999999997</v>
      </c>
      <c r="G23" s="1093">
        <v>6939</v>
      </c>
      <c r="H23" s="1093">
        <v>224274.99299999999</v>
      </c>
      <c r="I23" s="1093">
        <v>15060</v>
      </c>
      <c r="J23" s="1093">
        <v>412239.88</v>
      </c>
      <c r="K23" s="1093">
        <v>10704</v>
      </c>
      <c r="L23" s="1093">
        <v>320383.20799999998</v>
      </c>
      <c r="M23" s="1093">
        <v>10910</v>
      </c>
      <c r="N23" s="1093">
        <v>326442.92099999997</v>
      </c>
      <c r="O23" s="1517" t="s">
        <v>1280</v>
      </c>
    </row>
    <row r="24" spans="1:15" ht="30" customHeight="1">
      <c r="A24" s="927">
        <v>12</v>
      </c>
      <c r="B24" s="1516" t="s">
        <v>1281</v>
      </c>
      <c r="C24" s="1093">
        <v>119317</v>
      </c>
      <c r="D24" s="1093">
        <v>579757.20400000003</v>
      </c>
      <c r="E24" s="1093">
        <v>36231</v>
      </c>
      <c r="F24" s="1093">
        <v>221359.81100000002</v>
      </c>
      <c r="G24" s="1093">
        <v>86846</v>
      </c>
      <c r="H24" s="1093">
        <v>412126.21799999999</v>
      </c>
      <c r="I24" s="1093">
        <v>164977</v>
      </c>
      <c r="J24" s="1093">
        <v>762286.67400000012</v>
      </c>
      <c r="K24" s="1093">
        <v>121997</v>
      </c>
      <c r="L24" s="1093">
        <v>576344.25799999991</v>
      </c>
      <c r="M24" s="1093">
        <v>102694</v>
      </c>
      <c r="N24" s="1093">
        <v>547540.11899999995</v>
      </c>
      <c r="O24" s="1517" t="s">
        <v>1282</v>
      </c>
    </row>
    <row r="25" spans="1:15" ht="31.5" customHeight="1">
      <c r="A25" s="927">
        <v>13</v>
      </c>
      <c r="B25" s="1516" t="s">
        <v>1283</v>
      </c>
      <c r="C25" s="1093">
        <v>33472</v>
      </c>
      <c r="D25" s="1093">
        <v>438583.29200000002</v>
      </c>
      <c r="E25" s="1093">
        <v>19401</v>
      </c>
      <c r="F25" s="1093">
        <v>290059.41200000001</v>
      </c>
      <c r="G25" s="1093">
        <v>31374</v>
      </c>
      <c r="H25" s="1093">
        <v>360002.272</v>
      </c>
      <c r="I25" s="1093">
        <v>57990</v>
      </c>
      <c r="J25" s="1093">
        <v>576574.36599999992</v>
      </c>
      <c r="K25" s="1093">
        <v>40459</v>
      </c>
      <c r="L25" s="1093">
        <v>457273.821</v>
      </c>
      <c r="M25" s="1093">
        <v>39682</v>
      </c>
      <c r="N25" s="1093">
        <v>459230.06599999999</v>
      </c>
      <c r="O25" s="1517" t="s">
        <v>1284</v>
      </c>
    </row>
    <row r="26" spans="1:15" ht="31.5" customHeight="1">
      <c r="A26" s="927">
        <v>14</v>
      </c>
      <c r="B26" s="1516" t="s">
        <v>1285</v>
      </c>
      <c r="C26" s="1093">
        <v>10846</v>
      </c>
      <c r="D26" s="1093">
        <v>131331.04799999998</v>
      </c>
      <c r="E26" s="1093">
        <v>1591</v>
      </c>
      <c r="F26" s="1093">
        <v>30063.194000000003</v>
      </c>
      <c r="G26" s="1093">
        <v>3810</v>
      </c>
      <c r="H26" s="1093">
        <v>52461.815999999999</v>
      </c>
      <c r="I26" s="1093">
        <v>10275</v>
      </c>
      <c r="J26" s="1093">
        <v>113329.868</v>
      </c>
      <c r="K26" s="1093">
        <v>8165</v>
      </c>
      <c r="L26" s="1093">
        <v>95072.375</v>
      </c>
      <c r="M26" s="1093">
        <v>8113</v>
      </c>
      <c r="N26" s="1093">
        <v>111468.18400000001</v>
      </c>
      <c r="O26" s="1517" t="s">
        <v>1286</v>
      </c>
    </row>
    <row r="27" spans="1:15" ht="31.2">
      <c r="A27" s="927">
        <v>15</v>
      </c>
      <c r="B27" s="1516" t="s">
        <v>1287</v>
      </c>
      <c r="C27" s="1093">
        <v>136986</v>
      </c>
      <c r="D27" s="1093">
        <v>1501952.9550000001</v>
      </c>
      <c r="E27" s="1093">
        <v>81221</v>
      </c>
      <c r="F27" s="1093">
        <v>901004.66999999993</v>
      </c>
      <c r="G27" s="1093">
        <v>101940</v>
      </c>
      <c r="H27" s="1093">
        <v>1090234.1499999999</v>
      </c>
      <c r="I27" s="1093">
        <v>153090</v>
      </c>
      <c r="J27" s="1093">
        <v>1630049.96</v>
      </c>
      <c r="K27" s="1093">
        <v>136492</v>
      </c>
      <c r="L27" s="1093">
        <v>1503621.719</v>
      </c>
      <c r="M27" s="1093">
        <v>139515</v>
      </c>
      <c r="N27" s="1093">
        <v>1456338.6359999999</v>
      </c>
      <c r="O27" s="1517" t="s">
        <v>1288</v>
      </c>
    </row>
    <row r="28" spans="1:15" ht="31.5" customHeight="1">
      <c r="A28" s="927">
        <v>16</v>
      </c>
      <c r="B28" s="1516" t="s">
        <v>1289</v>
      </c>
      <c r="C28" s="1093">
        <v>2367</v>
      </c>
      <c r="D28" s="1093">
        <v>173519.829</v>
      </c>
      <c r="E28" s="1093">
        <v>336</v>
      </c>
      <c r="F28" s="1093">
        <v>52217.108000000007</v>
      </c>
      <c r="G28" s="1093">
        <v>789</v>
      </c>
      <c r="H28" s="1093">
        <v>66912.577000000019</v>
      </c>
      <c r="I28" s="1093">
        <v>2345</v>
      </c>
      <c r="J28" s="1093">
        <v>172234.95400000003</v>
      </c>
      <c r="K28" s="1093">
        <v>2513</v>
      </c>
      <c r="L28" s="1093">
        <v>198824.761</v>
      </c>
      <c r="M28" s="1093">
        <v>3106</v>
      </c>
      <c r="N28" s="1093">
        <v>284503.01900000003</v>
      </c>
      <c r="O28" s="1518" t="s">
        <v>1290</v>
      </c>
    </row>
    <row r="29" spans="1:15" ht="31.5" customHeight="1">
      <c r="A29" s="927">
        <v>17</v>
      </c>
      <c r="B29" s="1516" t="s">
        <v>1291</v>
      </c>
      <c r="C29" s="1093">
        <v>39123</v>
      </c>
      <c r="D29" s="1093">
        <v>607360.68500000006</v>
      </c>
      <c r="E29" s="1093">
        <v>14701</v>
      </c>
      <c r="F29" s="1093">
        <v>183442.44099999999</v>
      </c>
      <c r="G29" s="1093">
        <v>27219</v>
      </c>
      <c r="H29" s="1093">
        <v>77684.659999999974</v>
      </c>
      <c r="I29" s="1093">
        <v>58581</v>
      </c>
      <c r="J29" s="1093">
        <v>842149.42</v>
      </c>
      <c r="K29" s="1093">
        <v>39030</v>
      </c>
      <c r="L29" s="1093">
        <v>556463.41099999996</v>
      </c>
      <c r="M29" s="1093">
        <v>42202</v>
      </c>
      <c r="N29" s="1093">
        <v>599911.98100000003</v>
      </c>
      <c r="O29" s="1517" t="s">
        <v>1292</v>
      </c>
    </row>
    <row r="30" spans="1:15" ht="46.5" customHeight="1">
      <c r="A30" s="927">
        <v>18</v>
      </c>
      <c r="B30" s="1516" t="s">
        <v>1293</v>
      </c>
      <c r="C30" s="1093">
        <v>10585</v>
      </c>
      <c r="D30" s="1093">
        <v>391516.73600000003</v>
      </c>
      <c r="E30" s="1093">
        <v>1848</v>
      </c>
      <c r="F30" s="1093">
        <v>93695.130999999994</v>
      </c>
      <c r="G30" s="1093">
        <v>4272</v>
      </c>
      <c r="H30" s="1093">
        <v>215707.70600000001</v>
      </c>
      <c r="I30" s="1093">
        <v>8986</v>
      </c>
      <c r="J30" s="1093">
        <v>303487.41000000003</v>
      </c>
      <c r="K30" s="1093">
        <v>6159</v>
      </c>
      <c r="L30" s="1093">
        <v>205851.848</v>
      </c>
      <c r="M30" s="1093">
        <v>6677</v>
      </c>
      <c r="N30" s="1093">
        <v>214693.87300000002</v>
      </c>
      <c r="O30" s="1517" t="s">
        <v>1294</v>
      </c>
    </row>
    <row r="31" spans="1:15" ht="31.5" customHeight="1">
      <c r="A31" s="927">
        <v>19</v>
      </c>
      <c r="B31" s="1516" t="s">
        <v>1295</v>
      </c>
      <c r="C31" s="1093">
        <v>5213</v>
      </c>
      <c r="D31" s="1093">
        <v>98461.062000000005</v>
      </c>
      <c r="E31" s="1093">
        <v>855</v>
      </c>
      <c r="F31" s="1093">
        <v>32671.495999999999</v>
      </c>
      <c r="G31" s="1093">
        <v>1816</v>
      </c>
      <c r="H31" s="1093">
        <v>41987.68</v>
      </c>
      <c r="I31" s="1093">
        <v>4833</v>
      </c>
      <c r="J31" s="1093">
        <v>86564.368000000002</v>
      </c>
      <c r="K31" s="1093">
        <v>3760</v>
      </c>
      <c r="L31" s="1093">
        <v>74901.176999999996</v>
      </c>
      <c r="M31" s="1093">
        <v>3184</v>
      </c>
      <c r="N31" s="1093">
        <v>57722.465000000004</v>
      </c>
      <c r="O31" s="1517" t="s">
        <v>1296</v>
      </c>
    </row>
    <row r="32" spans="1:15" ht="31.5" customHeight="1">
      <c r="A32" s="927">
        <v>20</v>
      </c>
      <c r="B32" s="1516" t="s">
        <v>1297</v>
      </c>
      <c r="C32" s="1093">
        <v>213956</v>
      </c>
      <c r="D32" s="1093">
        <v>5057657.4180000024</v>
      </c>
      <c r="E32" s="1093">
        <v>81654</v>
      </c>
      <c r="F32" s="1093">
        <v>1914938.477</v>
      </c>
      <c r="G32" s="1093">
        <v>130694</v>
      </c>
      <c r="H32" s="1093">
        <v>3387782.699</v>
      </c>
      <c r="I32" s="1093">
        <v>256331</v>
      </c>
      <c r="J32" s="1093">
        <v>6264804.8059999989</v>
      </c>
      <c r="K32" s="1093">
        <v>204335</v>
      </c>
      <c r="L32" s="1093">
        <v>5939015.620000001</v>
      </c>
      <c r="M32" s="1093">
        <v>239082</v>
      </c>
      <c r="N32" s="1093">
        <v>13757938.226</v>
      </c>
      <c r="O32" s="1517" t="s">
        <v>1298</v>
      </c>
    </row>
    <row r="33" spans="1:17" s="1521" customFormat="1" ht="31.5" customHeight="1">
      <c r="A33" s="943"/>
      <c r="B33" s="1519" t="s">
        <v>392</v>
      </c>
      <c r="C33" s="966">
        <v>2206727</v>
      </c>
      <c r="D33" s="966">
        <v>35365060.310999997</v>
      </c>
      <c r="E33" s="966">
        <v>921612</v>
      </c>
      <c r="F33" s="966">
        <v>12116422.953000002</v>
      </c>
      <c r="G33" s="966">
        <v>1453377</v>
      </c>
      <c r="H33" s="966">
        <v>20115978.092</v>
      </c>
      <c r="I33" s="966">
        <v>2698182</v>
      </c>
      <c r="J33" s="966">
        <v>41670079.82100001</v>
      </c>
      <c r="K33" s="966">
        <v>2104902</v>
      </c>
      <c r="L33" s="966">
        <v>32442209.770000007</v>
      </c>
      <c r="M33" s="966">
        <v>2189866</v>
      </c>
      <c r="N33" s="966">
        <v>39463829.341999993</v>
      </c>
      <c r="O33" s="1520" t="s">
        <v>382</v>
      </c>
      <c r="P33" s="1503"/>
      <c r="Q33" s="1503"/>
    </row>
    <row r="34" spans="1:17" ht="27.75" customHeight="1">
      <c r="A34" s="1522" t="s">
        <v>1299</v>
      </c>
      <c r="B34" s="1523"/>
      <c r="C34" s="1524"/>
      <c r="D34" s="1524"/>
      <c r="E34" s="1524"/>
      <c r="F34" s="1524"/>
      <c r="G34" s="1524"/>
      <c r="H34" s="1524"/>
      <c r="I34" s="1524"/>
      <c r="J34" s="1524"/>
      <c r="K34" s="1524"/>
      <c r="L34" s="1524"/>
      <c r="M34" s="1524"/>
      <c r="N34" s="1524"/>
      <c r="O34" s="1525" t="s">
        <v>1300</v>
      </c>
    </row>
    <row r="35" spans="1:17" ht="17.399999999999999">
      <c r="A35" s="1522" t="s">
        <v>1301</v>
      </c>
      <c r="B35" s="1523"/>
      <c r="C35" s="1524"/>
      <c r="D35" s="1524"/>
      <c r="E35" s="1524"/>
      <c r="F35" s="1524"/>
      <c r="G35" s="1524"/>
      <c r="H35" s="1524"/>
      <c r="I35" s="1524"/>
      <c r="J35" s="1524"/>
      <c r="K35" s="1524"/>
      <c r="L35" s="1524"/>
      <c r="M35" s="1524"/>
      <c r="N35" s="1524"/>
      <c r="O35" s="1525" t="s">
        <v>1302</v>
      </c>
    </row>
    <row r="36" spans="1:17">
      <c r="A36" s="1501"/>
      <c r="B36" s="1501"/>
      <c r="C36" s="1501"/>
      <c r="D36" s="1501"/>
      <c r="E36" s="1501"/>
      <c r="F36" s="1501"/>
      <c r="G36" s="1501"/>
      <c r="H36" s="1501"/>
      <c r="I36" s="1501"/>
      <c r="J36" s="1501"/>
      <c r="K36" s="1501"/>
      <c r="L36" s="1501"/>
      <c r="M36" s="1501"/>
      <c r="N36" s="1501"/>
    </row>
    <row r="37" spans="1:17">
      <c r="A37" s="1526" t="s">
        <v>1312</v>
      </c>
      <c r="B37" s="1526"/>
      <c r="C37" s="1526"/>
      <c r="D37" s="1526"/>
      <c r="E37" s="1526"/>
      <c r="F37" s="1526"/>
      <c r="G37" s="1526"/>
      <c r="H37" s="1526"/>
      <c r="I37" s="1526"/>
      <c r="J37" s="1526"/>
      <c r="K37" s="1526"/>
      <c r="L37" s="1526"/>
      <c r="M37" s="1526"/>
      <c r="N37" s="1526"/>
      <c r="O37" s="1526"/>
    </row>
    <row r="38" spans="1:17">
      <c r="C38" s="1528"/>
      <c r="D38" s="1528"/>
      <c r="E38" s="1528"/>
      <c r="F38" s="1528"/>
      <c r="G38" s="1528"/>
      <c r="H38" s="1528"/>
      <c r="I38" s="1528"/>
      <c r="J38" s="1528"/>
      <c r="K38" s="1528"/>
      <c r="L38" s="1528"/>
      <c r="M38" s="1528"/>
      <c r="N38" s="1528"/>
    </row>
    <row r="39" spans="1:17">
      <c r="C39" s="1529"/>
      <c r="D39" s="1529"/>
      <c r="E39" s="1529"/>
      <c r="F39" s="1529"/>
      <c r="G39" s="1529"/>
      <c r="H39" s="1529"/>
      <c r="I39" s="1529"/>
      <c r="J39" s="1529"/>
      <c r="K39" s="1529"/>
      <c r="L39" s="1529"/>
      <c r="M39" s="1529"/>
      <c r="N39" s="1529"/>
    </row>
    <row r="41" spans="1:17">
      <c r="C41" s="1530"/>
      <c r="D41" s="1530"/>
      <c r="E41" s="1530"/>
      <c r="F41" s="1530"/>
      <c r="G41" s="1530"/>
      <c r="H41" s="1530"/>
      <c r="I41" s="1530"/>
      <c r="J41" s="1530"/>
      <c r="K41" s="1530"/>
      <c r="L41" s="1530"/>
      <c r="M41" s="1530"/>
      <c r="N41" s="1530"/>
      <c r="O41" s="1530"/>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O50"/>
  <sheetViews>
    <sheetView zoomScale="80" zoomScaleNormal="80" workbookViewId="0">
      <pane ySplit="16" topLeftCell="A39" activePane="bottomLeft" state="frozen"/>
      <selection activeCell="B2" sqref="B2"/>
      <selection pane="bottomLeft" activeCell="B2" sqref="B2"/>
    </sheetView>
  </sheetViews>
  <sheetFormatPr defaultColWidth="18.21875" defaultRowHeight="15.6"/>
  <cols>
    <col min="1" max="1" width="10.77734375" style="939" customWidth="1"/>
    <col min="2" max="2" width="10.77734375" style="845" customWidth="1"/>
    <col min="3" max="4" width="12.77734375" style="845" customWidth="1"/>
    <col min="5" max="5" width="18.77734375" style="845" bestFit="1" customWidth="1"/>
    <col min="6" max="7" width="12.77734375" style="845" customWidth="1"/>
    <col min="8" max="8" width="17.44140625" style="845" bestFit="1" customWidth="1"/>
    <col min="9" max="9" width="13.77734375" style="845" customWidth="1"/>
    <col min="10" max="11" width="12.77734375" style="845" customWidth="1"/>
    <col min="12" max="12" width="11.44140625" style="845" bestFit="1" customWidth="1"/>
    <col min="13" max="13" width="11.44140625" style="845" customWidth="1"/>
    <col min="14" max="14" width="12.77734375" style="845" customWidth="1"/>
    <col min="15" max="15" width="13.5546875" style="845" customWidth="1"/>
    <col min="16" max="16384" width="18.21875" style="845"/>
  </cols>
  <sheetData>
    <row r="1" spans="1:14" ht="18" customHeight="1">
      <c r="A1" s="807" t="s">
        <v>1313</v>
      </c>
      <c r="B1" s="951"/>
      <c r="C1" s="951"/>
      <c r="D1" s="951"/>
      <c r="E1" s="951"/>
      <c r="F1" s="951"/>
      <c r="G1" s="951"/>
      <c r="H1" s="951"/>
      <c r="I1" s="951"/>
      <c r="J1" s="951"/>
      <c r="K1" s="951"/>
      <c r="L1" s="951"/>
      <c r="M1" s="951"/>
      <c r="N1" s="951"/>
    </row>
    <row r="2" spans="1:14" ht="18" customHeight="1">
      <c r="A2" s="949" t="s">
        <v>92</v>
      </c>
      <c r="B2" s="950"/>
      <c r="C2" s="950"/>
      <c r="D2" s="950"/>
      <c r="E2" s="950"/>
      <c r="F2" s="950"/>
      <c r="G2" s="950"/>
      <c r="H2" s="950"/>
      <c r="I2" s="950"/>
      <c r="J2" s="950"/>
      <c r="K2" s="950"/>
      <c r="L2" s="950"/>
      <c r="M2" s="950"/>
      <c r="N2" s="950"/>
    </row>
    <row r="3" spans="1:14" ht="18" customHeight="1">
      <c r="A3" s="949" t="s">
        <v>1314</v>
      </c>
      <c r="B3" s="950"/>
      <c r="C3" s="950"/>
      <c r="D3" s="950"/>
      <c r="E3" s="950"/>
      <c r="F3" s="950"/>
      <c r="G3" s="950"/>
      <c r="H3" s="950"/>
      <c r="I3" s="950"/>
      <c r="J3" s="950"/>
      <c r="K3" s="950"/>
      <c r="L3" s="950"/>
      <c r="M3" s="950"/>
      <c r="N3" s="950"/>
    </row>
    <row r="4" spans="1:14" ht="18" customHeight="1">
      <c r="A4" s="949" t="s">
        <v>91</v>
      </c>
      <c r="B4" s="950"/>
      <c r="C4" s="950"/>
      <c r="D4" s="950"/>
      <c r="E4" s="950"/>
      <c r="F4" s="950"/>
      <c r="G4" s="950"/>
      <c r="H4" s="950"/>
      <c r="I4" s="950"/>
      <c r="J4" s="950"/>
      <c r="K4" s="950"/>
      <c r="L4" s="950"/>
      <c r="M4" s="950"/>
      <c r="N4" s="950"/>
    </row>
    <row r="5" spans="1:14" ht="17.399999999999999">
      <c r="A5" s="949" t="s">
        <v>1315</v>
      </c>
      <c r="B5" s="948"/>
      <c r="C5" s="948"/>
      <c r="D5" s="948"/>
      <c r="E5" s="948"/>
      <c r="F5" s="948"/>
      <c r="G5" s="948"/>
      <c r="H5" s="948"/>
      <c r="I5" s="948"/>
      <c r="J5" s="948"/>
      <c r="K5" s="948"/>
      <c r="L5" s="948"/>
      <c r="M5" s="948"/>
      <c r="N5" s="948"/>
    </row>
    <row r="6" spans="1:14" ht="4.5" customHeight="1">
      <c r="A6" s="948"/>
      <c r="B6" s="948"/>
      <c r="C6" s="948"/>
      <c r="D6" s="948"/>
      <c r="E6" s="948"/>
      <c r="F6" s="948"/>
      <c r="G6" s="948"/>
      <c r="H6" s="948"/>
      <c r="I6" s="948"/>
      <c r="J6" s="948"/>
      <c r="K6" s="948"/>
      <c r="L6" s="948"/>
      <c r="M6" s="948"/>
      <c r="N6" s="948"/>
    </row>
    <row r="7" spans="1:14" hidden="1">
      <c r="A7" s="948"/>
      <c r="B7" s="948"/>
      <c r="C7" s="948"/>
      <c r="D7" s="948"/>
      <c r="E7" s="948"/>
      <c r="F7" s="948"/>
      <c r="G7" s="948"/>
      <c r="H7" s="948"/>
      <c r="I7" s="948"/>
      <c r="J7" s="948"/>
      <c r="K7" s="948"/>
      <c r="L7" s="948"/>
      <c r="M7" s="948"/>
      <c r="N7" s="948"/>
    </row>
    <row r="8" spans="1:14" hidden="1">
      <c r="A8" s="948"/>
      <c r="B8" s="948"/>
      <c r="C8" s="948"/>
      <c r="D8" s="948"/>
      <c r="E8" s="948"/>
      <c r="F8" s="948"/>
      <c r="G8" s="948"/>
      <c r="H8" s="948"/>
      <c r="I8" s="948"/>
      <c r="J8" s="948"/>
      <c r="K8" s="948"/>
      <c r="L8" s="948"/>
      <c r="M8" s="948"/>
      <c r="N8" s="948"/>
    </row>
    <row r="9" spans="1:14" hidden="1">
      <c r="A9" s="948"/>
      <c r="B9" s="948"/>
      <c r="C9" s="948"/>
      <c r="D9" s="948"/>
      <c r="E9" s="948"/>
      <c r="F9" s="948"/>
      <c r="G9" s="948"/>
      <c r="H9" s="948"/>
      <c r="I9" s="948"/>
      <c r="J9" s="948"/>
      <c r="K9" s="948"/>
      <c r="L9" s="948"/>
      <c r="M9" s="948"/>
      <c r="N9" s="948"/>
    </row>
    <row r="10" spans="1:14">
      <c r="A10" s="947"/>
    </row>
    <row r="11" spans="1:14" s="945" customFormat="1">
      <c r="A11" s="1285" t="s">
        <v>1241</v>
      </c>
      <c r="B11" s="1287"/>
      <c r="C11" s="920" t="s">
        <v>1316</v>
      </c>
      <c r="D11" s="920" t="s">
        <v>1317</v>
      </c>
      <c r="E11" s="920" t="s">
        <v>1318</v>
      </c>
      <c r="F11" s="920" t="s">
        <v>1319</v>
      </c>
      <c r="G11" s="920" t="s">
        <v>1320</v>
      </c>
      <c r="H11" s="920" t="s">
        <v>1321</v>
      </c>
      <c r="I11" s="920" t="s">
        <v>1322</v>
      </c>
      <c r="J11" s="920" t="s">
        <v>1323</v>
      </c>
      <c r="K11" s="920" t="s">
        <v>1324</v>
      </c>
      <c r="L11" s="920" t="s">
        <v>1325</v>
      </c>
      <c r="M11" s="920" t="s">
        <v>391</v>
      </c>
      <c r="N11" s="920" t="s">
        <v>382</v>
      </c>
    </row>
    <row r="12" spans="1:14" s="945" customFormat="1" ht="31.2">
      <c r="A12" s="1288"/>
      <c r="B12" s="1290"/>
      <c r="C12" s="921" t="s">
        <v>1326</v>
      </c>
      <c r="D12" s="921" t="s">
        <v>1327</v>
      </c>
      <c r="E12" s="921" t="s">
        <v>1328</v>
      </c>
      <c r="F12" s="921" t="s">
        <v>1329</v>
      </c>
      <c r="G12" s="921" t="s">
        <v>1330</v>
      </c>
      <c r="H12" s="921" t="s">
        <v>1331</v>
      </c>
      <c r="I12" s="921" t="s">
        <v>1332</v>
      </c>
      <c r="J12" s="921" t="s">
        <v>1333</v>
      </c>
      <c r="K12" s="921" t="s">
        <v>1334</v>
      </c>
      <c r="L12" s="921" t="s">
        <v>1335</v>
      </c>
      <c r="M12" s="921" t="s">
        <v>399</v>
      </c>
      <c r="N12" s="946" t="s">
        <v>1336</v>
      </c>
    </row>
    <row r="13" spans="1:14" ht="16.5" hidden="1" customHeight="1">
      <c r="A13" s="927"/>
      <c r="B13" s="846"/>
      <c r="C13" s="803"/>
      <c r="D13" s="803"/>
      <c r="E13" s="803"/>
      <c r="F13" s="922"/>
      <c r="G13" s="803"/>
      <c r="H13" s="803"/>
      <c r="I13" s="803"/>
      <c r="J13" s="922"/>
      <c r="K13" s="803"/>
      <c r="L13" s="803"/>
      <c r="M13" s="803"/>
      <c r="N13" s="803"/>
    </row>
    <row r="14" spans="1:14" ht="16.5" hidden="1" customHeight="1">
      <c r="A14" s="927"/>
      <c r="B14" s="846"/>
      <c r="C14" s="803"/>
      <c r="D14" s="803"/>
      <c r="E14" s="803"/>
      <c r="F14" s="922"/>
      <c r="G14" s="803"/>
      <c r="H14" s="803"/>
      <c r="I14" s="803"/>
      <c r="J14" s="922"/>
      <c r="K14" s="803"/>
      <c r="L14" s="803"/>
      <c r="M14" s="803"/>
      <c r="N14" s="803"/>
    </row>
    <row r="15" spans="1:14" ht="16.5" hidden="1" customHeight="1">
      <c r="A15" s="927"/>
      <c r="B15" s="846"/>
      <c r="C15" s="803"/>
      <c r="D15" s="803"/>
      <c r="E15" s="803"/>
      <c r="F15" s="922"/>
      <c r="G15" s="803"/>
      <c r="H15" s="803"/>
      <c r="I15" s="803"/>
      <c r="J15" s="922"/>
      <c r="K15" s="803"/>
      <c r="L15" s="803"/>
      <c r="M15" s="803"/>
      <c r="N15" s="803"/>
    </row>
    <row r="16" spans="1:14" ht="16.5" hidden="1" customHeight="1">
      <c r="A16" s="927">
        <v>2019</v>
      </c>
      <c r="B16" s="846"/>
      <c r="C16" s="803"/>
      <c r="D16" s="803"/>
      <c r="E16" s="803"/>
      <c r="F16" s="922"/>
      <c r="G16" s="803"/>
      <c r="H16" s="803"/>
      <c r="I16" s="803"/>
      <c r="J16" s="922"/>
      <c r="K16" s="803"/>
      <c r="L16" s="803"/>
      <c r="M16" s="803"/>
      <c r="N16" s="803"/>
    </row>
    <row r="17" spans="1:15" ht="21" customHeight="1">
      <c r="A17" s="927">
        <v>2020</v>
      </c>
      <c r="B17" s="846"/>
      <c r="C17" s="803">
        <v>2924708</v>
      </c>
      <c r="D17" s="803">
        <v>263623</v>
      </c>
      <c r="E17" s="803">
        <v>304474</v>
      </c>
      <c r="F17" s="922">
        <v>56177</v>
      </c>
      <c r="G17" s="803">
        <v>34308</v>
      </c>
      <c r="H17" s="803">
        <v>2099157</v>
      </c>
      <c r="I17" s="803">
        <v>248345</v>
      </c>
      <c r="J17" s="922">
        <v>19806</v>
      </c>
      <c r="K17" s="803">
        <v>25037</v>
      </c>
      <c r="L17" s="803">
        <v>62366</v>
      </c>
      <c r="M17" s="803">
        <v>400294</v>
      </c>
      <c r="N17" s="803">
        <v>6438295</v>
      </c>
    </row>
    <row r="18" spans="1:15" ht="16.5" customHeight="1">
      <c r="A18" s="927">
        <v>2021</v>
      </c>
      <c r="B18" s="846"/>
      <c r="C18" s="803">
        <v>7514395</v>
      </c>
      <c r="D18" s="803">
        <v>458368</v>
      </c>
      <c r="E18" s="803">
        <v>498733</v>
      </c>
      <c r="F18" s="922">
        <v>108910</v>
      </c>
      <c r="G18" s="803">
        <v>55870</v>
      </c>
      <c r="H18" s="803">
        <v>4522015</v>
      </c>
      <c r="I18" s="803">
        <v>461737</v>
      </c>
      <c r="J18" s="922">
        <v>73913</v>
      </c>
      <c r="K18" s="803">
        <v>121754</v>
      </c>
      <c r="L18" s="803">
        <v>568391</v>
      </c>
      <c r="M18" s="803">
        <v>1625323</v>
      </c>
      <c r="N18" s="803">
        <v>16009409</v>
      </c>
    </row>
    <row r="19" spans="1:15" ht="16.5" customHeight="1">
      <c r="A19" s="927">
        <v>2022</v>
      </c>
      <c r="B19" s="846"/>
      <c r="C19" s="803">
        <v>21883367</v>
      </c>
      <c r="D19" s="803">
        <v>1322837</v>
      </c>
      <c r="E19" s="803">
        <v>825598</v>
      </c>
      <c r="F19" s="922">
        <v>383549</v>
      </c>
      <c r="G19" s="803">
        <v>130163</v>
      </c>
      <c r="H19" s="803">
        <v>3461848</v>
      </c>
      <c r="I19" s="803">
        <v>768786</v>
      </c>
      <c r="J19" s="922">
        <v>103500</v>
      </c>
      <c r="K19" s="803">
        <v>101075</v>
      </c>
      <c r="L19" s="803">
        <v>363000</v>
      </c>
      <c r="M19" s="803">
        <v>1345286</v>
      </c>
      <c r="N19" s="803">
        <v>30689009</v>
      </c>
    </row>
    <row r="20" spans="1:15" ht="16.5" customHeight="1">
      <c r="A20" s="927">
        <v>2023</v>
      </c>
      <c r="B20" s="846"/>
      <c r="C20" s="803">
        <v>26730137</v>
      </c>
      <c r="D20" s="803">
        <v>2008784</v>
      </c>
      <c r="E20" s="803">
        <v>1185536</v>
      </c>
      <c r="F20" s="922">
        <v>902297</v>
      </c>
      <c r="G20" s="803">
        <v>190537</v>
      </c>
      <c r="H20" s="803">
        <v>2715919</v>
      </c>
      <c r="I20" s="803">
        <v>782528</v>
      </c>
      <c r="J20" s="922">
        <v>74198</v>
      </c>
      <c r="K20" s="803">
        <v>79314</v>
      </c>
      <c r="L20" s="803">
        <v>237330</v>
      </c>
      <c r="M20" s="803">
        <v>1360372</v>
      </c>
      <c r="N20" s="803">
        <v>36266952</v>
      </c>
    </row>
    <row r="21" spans="1:15" ht="16.5" customHeight="1">
      <c r="A21" s="927">
        <v>2024</v>
      </c>
      <c r="B21" s="846"/>
      <c r="C21" s="803">
        <v>27978388</v>
      </c>
      <c r="D21" s="803">
        <v>2154953</v>
      </c>
      <c r="E21" s="803">
        <v>1321649</v>
      </c>
      <c r="F21" s="922">
        <v>1155802</v>
      </c>
      <c r="G21" s="803">
        <v>256506</v>
      </c>
      <c r="H21" s="803">
        <v>5108342</v>
      </c>
      <c r="I21" s="803">
        <v>773041</v>
      </c>
      <c r="J21" s="922">
        <v>64308</v>
      </c>
      <c r="K21" s="803">
        <v>68171</v>
      </c>
      <c r="L21" s="803">
        <v>219830</v>
      </c>
      <c r="M21" s="803">
        <v>1379462</v>
      </c>
      <c r="N21" s="803">
        <v>40480452</v>
      </c>
    </row>
    <row r="22" spans="1:15" ht="16.5" customHeight="1">
      <c r="A22" s="943">
        <v>2025</v>
      </c>
      <c r="B22" s="944"/>
      <c r="C22" s="923">
        <f>ROUND(C25,0)+ROUND(C26,0)+ROUND(C27,0)+ROUND(C28,0)</f>
        <v>30508222</v>
      </c>
      <c r="D22" s="923">
        <f t="shared" ref="D22:N22" si="0">ROUND(D25,0)+ROUND(D26,0)+ROUND(D27,0)+ROUND(D28,0)</f>
        <v>2731679</v>
      </c>
      <c r="E22" s="923">
        <f t="shared" si="0"/>
        <v>2751829</v>
      </c>
      <c r="F22" s="923">
        <f t="shared" si="0"/>
        <v>4395344</v>
      </c>
      <c r="G22" s="923">
        <f t="shared" si="0"/>
        <v>734801</v>
      </c>
      <c r="H22" s="923">
        <f t="shared" si="0"/>
        <v>12150227</v>
      </c>
      <c r="I22" s="923">
        <f t="shared" si="0"/>
        <v>836799</v>
      </c>
      <c r="J22" s="923">
        <f t="shared" si="0"/>
        <v>64556</v>
      </c>
      <c r="K22" s="923">
        <f t="shared" si="0"/>
        <v>72487</v>
      </c>
      <c r="L22" s="923">
        <f t="shared" si="0"/>
        <v>261583</v>
      </c>
      <c r="M22" s="923">
        <f t="shared" si="0"/>
        <v>1650300</v>
      </c>
      <c r="N22" s="923">
        <f t="shared" si="0"/>
        <v>56157827</v>
      </c>
    </row>
    <row r="23" spans="1:15" ht="21" customHeight="1">
      <c r="A23" s="927">
        <v>2024</v>
      </c>
      <c r="B23" s="846" t="s">
        <v>237</v>
      </c>
      <c r="C23" s="803">
        <v>7287363</v>
      </c>
      <c r="D23" s="803">
        <v>599038</v>
      </c>
      <c r="E23" s="803">
        <v>242188</v>
      </c>
      <c r="F23" s="922">
        <v>317510</v>
      </c>
      <c r="G23" s="803">
        <v>48775</v>
      </c>
      <c r="H23" s="803">
        <v>1456973</v>
      </c>
      <c r="I23" s="803">
        <v>142670</v>
      </c>
      <c r="J23" s="922">
        <v>10996</v>
      </c>
      <c r="K23" s="803">
        <v>9823</v>
      </c>
      <c r="L23" s="803">
        <v>48226</v>
      </c>
      <c r="M23" s="803">
        <v>266959</v>
      </c>
      <c r="N23" s="803">
        <v>10430521</v>
      </c>
      <c r="O23" s="1175"/>
    </row>
    <row r="24" spans="1:15" ht="15" customHeight="1">
      <c r="A24" s="927"/>
      <c r="B24" s="846" t="s">
        <v>238</v>
      </c>
      <c r="C24" s="803">
        <v>7086333</v>
      </c>
      <c r="D24" s="803">
        <v>462770</v>
      </c>
      <c r="E24" s="803">
        <v>404252</v>
      </c>
      <c r="F24" s="922">
        <v>306001</v>
      </c>
      <c r="G24" s="803">
        <v>81106</v>
      </c>
      <c r="H24" s="803">
        <v>1572518</v>
      </c>
      <c r="I24" s="803">
        <v>205651</v>
      </c>
      <c r="J24" s="922">
        <v>18507</v>
      </c>
      <c r="K24" s="803">
        <v>22033</v>
      </c>
      <c r="L24" s="803">
        <v>64235</v>
      </c>
      <c r="M24" s="803">
        <v>421981</v>
      </c>
      <c r="N24" s="803">
        <v>10645387</v>
      </c>
      <c r="O24" s="1175"/>
    </row>
    <row r="25" spans="1:15" ht="21" customHeight="1">
      <c r="A25" s="927">
        <v>2025</v>
      </c>
      <c r="B25" s="846" t="s">
        <v>239</v>
      </c>
      <c r="C25" s="803">
        <v>6495631</v>
      </c>
      <c r="D25" s="803">
        <v>678929</v>
      </c>
      <c r="E25" s="803">
        <v>606293</v>
      </c>
      <c r="F25" s="922">
        <v>879599</v>
      </c>
      <c r="G25" s="803">
        <v>153991</v>
      </c>
      <c r="H25" s="803">
        <v>2771161</v>
      </c>
      <c r="I25" s="803">
        <v>197247</v>
      </c>
      <c r="J25" s="922">
        <v>14350</v>
      </c>
      <c r="K25" s="803">
        <v>18455</v>
      </c>
      <c r="L25" s="803">
        <v>54254</v>
      </c>
      <c r="M25" s="803">
        <v>364175</v>
      </c>
      <c r="N25" s="803">
        <v>12234085</v>
      </c>
      <c r="O25" s="1175"/>
    </row>
    <row r="26" spans="1:15" ht="15" customHeight="1">
      <c r="A26" s="927"/>
      <c r="B26" s="846" t="s">
        <v>240</v>
      </c>
      <c r="C26" s="803">
        <v>7647454</v>
      </c>
      <c r="D26" s="803">
        <v>627308</v>
      </c>
      <c r="E26" s="803">
        <v>582350</v>
      </c>
      <c r="F26" s="922">
        <v>1126849</v>
      </c>
      <c r="G26" s="803">
        <v>174142</v>
      </c>
      <c r="H26" s="803">
        <v>3403651</v>
      </c>
      <c r="I26" s="803">
        <v>218130</v>
      </c>
      <c r="J26" s="922">
        <v>15708</v>
      </c>
      <c r="K26" s="803">
        <v>16604</v>
      </c>
      <c r="L26" s="803">
        <v>64311</v>
      </c>
      <c r="M26" s="803">
        <v>397584</v>
      </c>
      <c r="N26" s="803">
        <v>14274091</v>
      </c>
      <c r="O26" s="1175"/>
    </row>
    <row r="27" spans="1:15" ht="15" customHeight="1">
      <c r="A27" s="927"/>
      <c r="B27" s="846" t="s">
        <v>237</v>
      </c>
      <c r="C27" s="803">
        <v>7369613</v>
      </c>
      <c r="D27" s="803">
        <v>792089</v>
      </c>
      <c r="E27" s="803">
        <v>607502</v>
      </c>
      <c r="F27" s="922">
        <v>1252061</v>
      </c>
      <c r="G27" s="803">
        <v>175753</v>
      </c>
      <c r="H27" s="803">
        <v>3228401</v>
      </c>
      <c r="I27" s="803">
        <v>170344</v>
      </c>
      <c r="J27" s="922">
        <v>12337</v>
      </c>
      <c r="K27" s="803">
        <v>11578</v>
      </c>
      <c r="L27" s="803">
        <v>57818</v>
      </c>
      <c r="M27" s="803">
        <v>333827</v>
      </c>
      <c r="N27" s="803">
        <v>14011323</v>
      </c>
      <c r="O27" s="1175"/>
    </row>
    <row r="28" spans="1:15" ht="15" customHeight="1">
      <c r="A28" s="927"/>
      <c r="B28" s="846" t="s">
        <v>238</v>
      </c>
      <c r="C28" s="803">
        <f t="shared" ref="C28:N28" si="1">SUM(C34:C36)</f>
        <v>8995524</v>
      </c>
      <c r="D28" s="803">
        <f t="shared" si="1"/>
        <v>633353</v>
      </c>
      <c r="E28" s="803">
        <f t="shared" si="1"/>
        <v>955684</v>
      </c>
      <c r="F28" s="922">
        <f t="shared" si="1"/>
        <v>1136835</v>
      </c>
      <c r="G28" s="803">
        <f t="shared" si="1"/>
        <v>230915</v>
      </c>
      <c r="H28" s="803">
        <f t="shared" si="1"/>
        <v>2747014</v>
      </c>
      <c r="I28" s="803">
        <f t="shared" si="1"/>
        <v>251078</v>
      </c>
      <c r="J28" s="922">
        <f t="shared" si="1"/>
        <v>22161</v>
      </c>
      <c r="K28" s="803">
        <f t="shared" si="1"/>
        <v>25850</v>
      </c>
      <c r="L28" s="803">
        <f t="shared" si="1"/>
        <v>85200</v>
      </c>
      <c r="M28" s="803">
        <f t="shared" si="1"/>
        <v>554714</v>
      </c>
      <c r="N28" s="803">
        <f t="shared" si="1"/>
        <v>15638328</v>
      </c>
      <c r="O28" s="1175"/>
    </row>
    <row r="29" spans="1:15" ht="21" customHeight="1">
      <c r="A29" s="927">
        <v>2026</v>
      </c>
      <c r="B29" s="846" t="s">
        <v>239</v>
      </c>
      <c r="C29" s="803">
        <f>ROUND(C37,0)+ROUND(C38,0)+ROUND(C39,0)</f>
        <v>5042343</v>
      </c>
      <c r="D29" s="803">
        <f t="shared" ref="D29:N29" si="2">ROUND(D37,0)+ROUND(D38,0)+ROUND(D39,0)</f>
        <v>497942</v>
      </c>
      <c r="E29" s="803">
        <f t="shared" si="2"/>
        <v>650133</v>
      </c>
      <c r="F29" s="803">
        <f t="shared" si="2"/>
        <v>1090217</v>
      </c>
      <c r="G29" s="803">
        <f t="shared" si="2"/>
        <v>123794</v>
      </c>
      <c r="H29" s="803">
        <f t="shared" si="2"/>
        <v>2004915</v>
      </c>
      <c r="I29" s="803">
        <f t="shared" si="2"/>
        <v>187193</v>
      </c>
      <c r="J29" s="803">
        <f t="shared" si="2"/>
        <v>13624</v>
      </c>
      <c r="K29" s="803">
        <f t="shared" si="2"/>
        <v>16677</v>
      </c>
      <c r="L29" s="803">
        <f t="shared" si="2"/>
        <v>54822</v>
      </c>
      <c r="M29" s="803">
        <f t="shared" si="2"/>
        <v>350755</v>
      </c>
      <c r="N29" s="803">
        <f t="shared" si="2"/>
        <v>10032415</v>
      </c>
      <c r="O29" s="1175"/>
    </row>
    <row r="30" spans="1:15" ht="15" customHeight="1">
      <c r="A30" s="943"/>
      <c r="B30" s="944" t="s">
        <v>240</v>
      </c>
      <c r="C30" s="923">
        <f t="shared" ref="C30:N30" si="3">ROUND(C40,0)+ROUND(C41,0)+ROUND(C42,0)</f>
        <v>6387400</v>
      </c>
      <c r="D30" s="923">
        <f t="shared" si="3"/>
        <v>497418</v>
      </c>
      <c r="E30" s="923">
        <f t="shared" si="3"/>
        <v>583433</v>
      </c>
      <c r="F30" s="923">
        <f t="shared" si="3"/>
        <v>1193662</v>
      </c>
      <c r="G30" s="923">
        <f t="shared" si="3"/>
        <v>96249</v>
      </c>
      <c r="H30" s="923">
        <f t="shared" si="3"/>
        <v>1976005</v>
      </c>
      <c r="I30" s="923">
        <f t="shared" si="3"/>
        <v>102019</v>
      </c>
      <c r="J30" s="923">
        <f t="shared" si="3"/>
        <v>8182</v>
      </c>
      <c r="K30" s="923">
        <f t="shared" si="3"/>
        <v>5794</v>
      </c>
      <c r="L30" s="923">
        <f t="shared" si="3"/>
        <v>36358</v>
      </c>
      <c r="M30" s="923">
        <f t="shared" si="3"/>
        <v>245358</v>
      </c>
      <c r="N30" s="923">
        <f t="shared" si="3"/>
        <v>11131878</v>
      </c>
      <c r="O30" s="1175"/>
    </row>
    <row r="31" spans="1:15" ht="21" customHeight="1">
      <c r="A31" s="927">
        <v>2025</v>
      </c>
      <c r="B31" s="844" t="s">
        <v>420</v>
      </c>
      <c r="C31" s="803">
        <v>2448157</v>
      </c>
      <c r="D31" s="803">
        <v>228734</v>
      </c>
      <c r="E31" s="803">
        <v>175775</v>
      </c>
      <c r="F31" s="803">
        <v>391070</v>
      </c>
      <c r="G31" s="803">
        <v>54970</v>
      </c>
      <c r="H31" s="803">
        <v>1084280</v>
      </c>
      <c r="I31" s="803">
        <v>49563</v>
      </c>
      <c r="J31" s="803">
        <v>3574</v>
      </c>
      <c r="K31" s="803">
        <v>3037</v>
      </c>
      <c r="L31" s="803">
        <v>18054</v>
      </c>
      <c r="M31" s="803">
        <f t="shared" ref="M31" si="4">N31-(SUM(C31:L31))</f>
        <v>95500</v>
      </c>
      <c r="N31" s="803">
        <v>4552714</v>
      </c>
    </row>
    <row r="32" spans="1:15" ht="15.75" customHeight="1">
      <c r="A32" s="927"/>
      <c r="B32" s="844" t="s">
        <v>421</v>
      </c>
      <c r="C32" s="803">
        <v>2709799</v>
      </c>
      <c r="D32" s="803">
        <v>303273</v>
      </c>
      <c r="E32" s="803">
        <v>203052</v>
      </c>
      <c r="F32" s="803">
        <v>528688</v>
      </c>
      <c r="G32" s="803">
        <v>67547</v>
      </c>
      <c r="H32" s="803">
        <v>1138951</v>
      </c>
      <c r="I32" s="803">
        <v>60284</v>
      </c>
      <c r="J32" s="803">
        <v>4307</v>
      </c>
      <c r="K32" s="803">
        <v>3787</v>
      </c>
      <c r="L32" s="803">
        <v>18058</v>
      </c>
      <c r="M32" s="803">
        <f t="shared" ref="M32" si="5">N32-(SUM(C32:L32))</f>
        <v>118516</v>
      </c>
      <c r="N32" s="803">
        <v>5156262</v>
      </c>
    </row>
    <row r="33" spans="1:14" ht="15.75" customHeight="1">
      <c r="A33" s="927"/>
      <c r="B33" s="844" t="s">
        <v>422</v>
      </c>
      <c r="C33" s="803">
        <v>2211657</v>
      </c>
      <c r="D33" s="803">
        <v>260082</v>
      </c>
      <c r="E33" s="803">
        <v>228675</v>
      </c>
      <c r="F33" s="803">
        <v>332303</v>
      </c>
      <c r="G33" s="803">
        <v>53236</v>
      </c>
      <c r="H33" s="803">
        <v>1005170</v>
      </c>
      <c r="I33" s="803">
        <v>60497</v>
      </c>
      <c r="J33" s="803">
        <v>4456</v>
      </c>
      <c r="K33" s="803">
        <v>4754</v>
      </c>
      <c r="L33" s="803">
        <v>21706</v>
      </c>
      <c r="M33" s="803">
        <f t="shared" ref="M33" si="6">N33-(SUM(C33:L33))</f>
        <v>119811</v>
      </c>
      <c r="N33" s="803">
        <v>4302347</v>
      </c>
    </row>
    <row r="34" spans="1:14" ht="15.75" customHeight="1">
      <c r="A34" s="927"/>
      <c r="B34" s="844" t="s">
        <v>411</v>
      </c>
      <c r="C34" s="803">
        <v>2526241</v>
      </c>
      <c r="D34" s="803">
        <v>184588</v>
      </c>
      <c r="E34" s="803">
        <v>260491</v>
      </c>
      <c r="F34" s="803">
        <v>373316</v>
      </c>
      <c r="G34" s="803">
        <v>61675</v>
      </c>
      <c r="H34" s="803">
        <v>1042982</v>
      </c>
      <c r="I34" s="803">
        <v>74775</v>
      </c>
      <c r="J34" s="803">
        <v>5880</v>
      </c>
      <c r="K34" s="803">
        <v>6961</v>
      </c>
      <c r="L34" s="803">
        <v>24750</v>
      </c>
      <c r="M34" s="803">
        <f t="shared" ref="M34" si="7">N34-(SUM(C34:L34))</f>
        <v>153751</v>
      </c>
      <c r="N34" s="803">
        <v>4715410</v>
      </c>
    </row>
    <row r="35" spans="1:14" ht="15.75" customHeight="1">
      <c r="A35" s="927"/>
      <c r="B35" s="844" t="s">
        <v>412</v>
      </c>
      <c r="C35" s="803">
        <v>3361839</v>
      </c>
      <c r="D35" s="803">
        <v>204724</v>
      </c>
      <c r="E35" s="803">
        <v>275426</v>
      </c>
      <c r="F35" s="803">
        <v>361146</v>
      </c>
      <c r="G35" s="803">
        <v>78547</v>
      </c>
      <c r="H35" s="803">
        <v>932282</v>
      </c>
      <c r="I35" s="803">
        <v>86498</v>
      </c>
      <c r="J35" s="803">
        <v>8548</v>
      </c>
      <c r="K35" s="803">
        <v>10223</v>
      </c>
      <c r="L35" s="803">
        <v>30265</v>
      </c>
      <c r="M35" s="803">
        <f t="shared" ref="M35" si="8">N35-(SUM(C35:L35))</f>
        <v>196629</v>
      </c>
      <c r="N35" s="803">
        <v>5546127</v>
      </c>
    </row>
    <row r="36" spans="1:14" ht="15.75" customHeight="1">
      <c r="A36" s="927"/>
      <c r="B36" s="844" t="s">
        <v>413</v>
      </c>
      <c r="C36" s="803">
        <v>3107444</v>
      </c>
      <c r="D36" s="803">
        <v>244041</v>
      </c>
      <c r="E36" s="803">
        <v>419767</v>
      </c>
      <c r="F36" s="803">
        <v>402373</v>
      </c>
      <c r="G36" s="803">
        <v>90693</v>
      </c>
      <c r="H36" s="803">
        <v>771750</v>
      </c>
      <c r="I36" s="803">
        <v>89805</v>
      </c>
      <c r="J36" s="803">
        <v>7733</v>
      </c>
      <c r="K36" s="803">
        <v>8666</v>
      </c>
      <c r="L36" s="803">
        <v>30185</v>
      </c>
      <c r="M36" s="803">
        <f t="shared" ref="M36" si="9">N36-(SUM(C36:L36))</f>
        <v>204334</v>
      </c>
      <c r="N36" s="803">
        <v>5376791</v>
      </c>
    </row>
    <row r="37" spans="1:14" ht="21" customHeight="1">
      <c r="A37" s="927">
        <v>2026</v>
      </c>
      <c r="B37" s="844" t="s">
        <v>414</v>
      </c>
      <c r="C37" s="803">
        <v>2364374</v>
      </c>
      <c r="D37" s="803">
        <v>265472</v>
      </c>
      <c r="E37" s="803">
        <v>252879</v>
      </c>
      <c r="F37" s="803">
        <v>399037</v>
      </c>
      <c r="G37" s="803">
        <v>63154</v>
      </c>
      <c r="H37" s="803">
        <v>715127</v>
      </c>
      <c r="I37" s="803">
        <v>76733</v>
      </c>
      <c r="J37" s="803">
        <v>6100</v>
      </c>
      <c r="K37" s="803">
        <v>7701</v>
      </c>
      <c r="L37" s="803">
        <v>21951</v>
      </c>
      <c r="M37" s="803">
        <f t="shared" ref="M37" si="10">N37-(SUM(C37:L37))</f>
        <v>153574</v>
      </c>
      <c r="N37" s="803">
        <v>4326102</v>
      </c>
    </row>
    <row r="38" spans="1:14" ht="15.75" customHeight="1">
      <c r="A38" s="927"/>
      <c r="B38" s="844" t="s">
        <v>415</v>
      </c>
      <c r="C38" s="803">
        <v>2056336</v>
      </c>
      <c r="D38" s="803">
        <v>189697</v>
      </c>
      <c r="E38" s="803">
        <v>243666</v>
      </c>
      <c r="F38" s="803">
        <v>373840</v>
      </c>
      <c r="G38" s="803">
        <v>48938</v>
      </c>
      <c r="H38" s="803">
        <v>699669</v>
      </c>
      <c r="I38" s="803">
        <v>90110</v>
      </c>
      <c r="J38" s="803">
        <v>6114</v>
      </c>
      <c r="K38" s="803">
        <v>7820</v>
      </c>
      <c r="L38" s="803">
        <v>23268</v>
      </c>
      <c r="M38" s="803">
        <f t="shared" ref="M38" si="11">N38-(SUM(C38:L38))</f>
        <v>149283</v>
      </c>
      <c r="N38" s="803">
        <v>3888741</v>
      </c>
    </row>
    <row r="39" spans="1:14" ht="15.75" customHeight="1">
      <c r="A39" s="927"/>
      <c r="B39" s="844" t="s">
        <v>416</v>
      </c>
      <c r="C39" s="803">
        <v>621633</v>
      </c>
      <c r="D39" s="803">
        <v>42773</v>
      </c>
      <c r="E39" s="803">
        <v>153588</v>
      </c>
      <c r="F39" s="803">
        <v>317340</v>
      </c>
      <c r="G39" s="803">
        <v>11702</v>
      </c>
      <c r="H39" s="803">
        <v>590119</v>
      </c>
      <c r="I39" s="803">
        <v>20350</v>
      </c>
      <c r="J39" s="803">
        <v>1410</v>
      </c>
      <c r="K39" s="803">
        <v>1156</v>
      </c>
      <c r="L39" s="803">
        <v>9603</v>
      </c>
      <c r="M39" s="803">
        <f t="shared" ref="M39" si="12">N39-(SUM(C39:L39))</f>
        <v>47898</v>
      </c>
      <c r="N39" s="803">
        <v>1817572</v>
      </c>
    </row>
    <row r="40" spans="1:14" ht="15.75" customHeight="1">
      <c r="A40" s="927"/>
      <c r="B40" s="844" t="s">
        <v>417</v>
      </c>
      <c r="C40" s="803">
        <v>1335140</v>
      </c>
      <c r="D40" s="803">
        <v>76278</v>
      </c>
      <c r="E40" s="803">
        <v>159177</v>
      </c>
      <c r="F40" s="803">
        <v>341528</v>
      </c>
      <c r="G40" s="803">
        <v>20731</v>
      </c>
      <c r="H40" s="803">
        <v>611724</v>
      </c>
      <c r="I40" s="803">
        <v>20416</v>
      </c>
      <c r="J40" s="803">
        <v>1506</v>
      </c>
      <c r="K40" s="803">
        <v>791</v>
      </c>
      <c r="L40" s="803">
        <v>8305</v>
      </c>
      <c r="M40" s="803">
        <f t="shared" ref="M40" si="13">N40-(SUM(C40:L40))</f>
        <v>51564</v>
      </c>
      <c r="N40" s="803">
        <v>2627160</v>
      </c>
    </row>
    <row r="41" spans="1:14" ht="15.75" customHeight="1">
      <c r="A41" s="927"/>
      <c r="B41" s="844" t="s">
        <v>418</v>
      </c>
      <c r="C41" s="803">
        <v>2924814</v>
      </c>
      <c r="D41" s="803">
        <v>235123</v>
      </c>
      <c r="E41" s="803">
        <v>222064</v>
      </c>
      <c r="F41" s="803">
        <v>448603</v>
      </c>
      <c r="G41" s="803">
        <v>39596</v>
      </c>
      <c r="H41" s="803">
        <v>700874</v>
      </c>
      <c r="I41" s="803">
        <v>38237</v>
      </c>
      <c r="J41" s="803">
        <v>2961</v>
      </c>
      <c r="K41" s="803">
        <v>2155</v>
      </c>
      <c r="L41" s="803">
        <v>13104</v>
      </c>
      <c r="M41" s="803">
        <f t="shared" ref="M41" si="14">N41-(SUM(C41:L41))</f>
        <v>85399</v>
      </c>
      <c r="N41" s="803">
        <v>4712930</v>
      </c>
    </row>
    <row r="42" spans="1:14" ht="15.75" customHeight="1">
      <c r="A42" s="927"/>
      <c r="B42" s="844" t="s">
        <v>419</v>
      </c>
      <c r="C42" s="803">
        <v>2127446</v>
      </c>
      <c r="D42" s="803">
        <v>186017</v>
      </c>
      <c r="E42" s="803">
        <v>202192</v>
      </c>
      <c r="F42" s="803">
        <v>403531</v>
      </c>
      <c r="G42" s="803">
        <v>35922</v>
      </c>
      <c r="H42" s="803">
        <v>663407</v>
      </c>
      <c r="I42" s="803">
        <v>43366</v>
      </c>
      <c r="J42" s="803">
        <v>3715</v>
      </c>
      <c r="K42" s="803">
        <v>2848</v>
      </c>
      <c r="L42" s="803">
        <v>14949</v>
      </c>
      <c r="M42" s="803">
        <f t="shared" ref="M42" si="15">N42-(SUM(C42:L42))</f>
        <v>108395</v>
      </c>
      <c r="N42" s="803">
        <v>3791788</v>
      </c>
    </row>
    <row r="43" spans="1:14" ht="15.75" customHeight="1">
      <c r="A43" s="927"/>
      <c r="B43" s="844" t="s">
        <v>420</v>
      </c>
      <c r="C43" s="803">
        <v>2074627</v>
      </c>
      <c r="D43" s="803">
        <v>177275</v>
      </c>
      <c r="E43" s="803">
        <v>224003</v>
      </c>
      <c r="F43" s="803">
        <v>444228</v>
      </c>
      <c r="G43" s="803">
        <v>35647</v>
      </c>
      <c r="H43" s="803">
        <v>717544</v>
      </c>
      <c r="I43" s="803">
        <v>40805</v>
      </c>
      <c r="J43" s="803">
        <v>4388</v>
      </c>
      <c r="K43" s="803">
        <v>4062</v>
      </c>
      <c r="L43" s="803">
        <v>14949</v>
      </c>
      <c r="M43" s="803">
        <f t="shared" ref="M43" si="16">N43-(SUM(C43:L43))</f>
        <v>162779</v>
      </c>
      <c r="N43" s="803">
        <v>3900307</v>
      </c>
    </row>
    <row r="44" spans="1:14">
      <c r="A44" s="1500"/>
      <c r="B44" s="962"/>
      <c r="C44" s="963"/>
      <c r="D44" s="963"/>
      <c r="E44" s="963"/>
      <c r="F44" s="963"/>
      <c r="G44" s="963"/>
      <c r="H44" s="963"/>
      <c r="I44" s="963"/>
      <c r="J44" s="963"/>
      <c r="K44" s="963"/>
      <c r="L44" s="963"/>
      <c r="M44" s="963"/>
      <c r="N44" s="964"/>
    </row>
    <row r="45" spans="1:14">
      <c r="A45" s="1501"/>
      <c r="B45" s="942"/>
      <c r="C45" s="941"/>
      <c r="D45" s="941"/>
      <c r="E45" s="941"/>
      <c r="F45" s="941"/>
      <c r="G45" s="941"/>
      <c r="H45" s="941"/>
      <c r="I45" s="941"/>
      <c r="J45" s="941"/>
      <c r="K45" s="941"/>
      <c r="L45" s="941"/>
      <c r="M45" s="941"/>
      <c r="N45" s="941"/>
    </row>
    <row r="46" spans="1:14">
      <c r="A46" s="1502" t="s">
        <v>1337</v>
      </c>
      <c r="B46" s="1502"/>
      <c r="C46" s="1502"/>
      <c r="D46" s="1502"/>
      <c r="E46" s="1502"/>
      <c r="F46" s="1502"/>
      <c r="G46" s="1502"/>
      <c r="H46" s="1502"/>
      <c r="I46" s="1502"/>
      <c r="J46" s="1502"/>
      <c r="K46" s="1502"/>
      <c r="L46" s="1502"/>
      <c r="M46" s="1502"/>
      <c r="N46" s="1502"/>
    </row>
    <row r="50" spans="9:14">
      <c r="I50" s="940"/>
      <c r="J50" s="940"/>
      <c r="K50" s="940"/>
      <c r="L50" s="940"/>
      <c r="M50" s="940"/>
      <c r="N50" s="940"/>
    </row>
  </sheetData>
  <mergeCells count="2">
    <mergeCell ref="A11:B12"/>
    <mergeCell ref="A46:N46"/>
  </mergeCells>
  <printOptions horizontalCentered="1"/>
  <pageMargins left="0.25" right="0.25" top="0.75" bottom="0.75" header="0.3" footer="0.3"/>
  <pageSetup scale="74" orientation="landscape"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O50"/>
  <sheetViews>
    <sheetView zoomScale="80" zoomScaleNormal="80" workbookViewId="0">
      <selection activeCell="N34" sqref="N34"/>
    </sheetView>
  </sheetViews>
  <sheetFormatPr defaultColWidth="18.21875" defaultRowHeight="15.6"/>
  <cols>
    <col min="1" max="1" width="10.77734375" style="939" customWidth="1"/>
    <col min="2" max="2" width="10.77734375" style="845" customWidth="1"/>
    <col min="3" max="3" width="14.77734375" style="845" bestFit="1" customWidth="1"/>
    <col min="4" max="4" width="12.77734375" style="845" customWidth="1"/>
    <col min="5" max="5" width="19" style="845" bestFit="1" customWidth="1"/>
    <col min="6" max="7" width="12.77734375" style="845" customWidth="1"/>
    <col min="8" max="8" width="17.5546875" style="845" bestFit="1" customWidth="1"/>
    <col min="9" max="9" width="13.77734375" style="845" customWidth="1"/>
    <col min="10" max="11" width="12.77734375" style="845" customWidth="1"/>
    <col min="12" max="12" width="11.77734375" style="845" bestFit="1" customWidth="1"/>
    <col min="13" max="13" width="13.44140625" style="845" bestFit="1" customWidth="1"/>
    <col min="14" max="14" width="15.5546875" style="845" customWidth="1"/>
    <col min="15" max="15" width="10.44140625" style="845" customWidth="1"/>
    <col min="16" max="16" width="8.5546875" style="845" customWidth="1"/>
    <col min="17" max="16384" width="18.21875" style="845"/>
  </cols>
  <sheetData>
    <row r="1" spans="1:14" ht="18" customHeight="1">
      <c r="A1" s="807" t="s">
        <v>1338</v>
      </c>
      <c r="B1" s="951"/>
      <c r="C1" s="951"/>
      <c r="D1" s="951"/>
      <c r="E1" s="951"/>
      <c r="F1" s="951"/>
      <c r="G1" s="951"/>
      <c r="H1" s="951"/>
      <c r="I1" s="951"/>
      <c r="J1" s="951"/>
      <c r="K1" s="951"/>
      <c r="L1" s="951"/>
      <c r="M1" s="951"/>
      <c r="N1" s="951"/>
    </row>
    <row r="2" spans="1:14" ht="18" customHeight="1">
      <c r="A2" s="949" t="s">
        <v>94</v>
      </c>
      <c r="B2" s="950"/>
      <c r="C2" s="950"/>
      <c r="D2" s="950"/>
      <c r="E2" s="950"/>
      <c r="F2" s="950"/>
      <c r="G2" s="950"/>
      <c r="H2" s="950"/>
      <c r="I2" s="950"/>
      <c r="J2" s="950"/>
      <c r="K2" s="950"/>
      <c r="L2" s="950"/>
      <c r="M2" s="950"/>
      <c r="N2" s="950"/>
    </row>
    <row r="3" spans="1:14" ht="18" customHeight="1">
      <c r="A3" s="949" t="s">
        <v>1314</v>
      </c>
      <c r="B3" s="950"/>
      <c r="C3" s="950"/>
      <c r="D3" s="950"/>
      <c r="E3" s="950"/>
      <c r="F3" s="950"/>
      <c r="G3" s="950"/>
      <c r="H3" s="950"/>
      <c r="I3" s="950"/>
      <c r="J3" s="950"/>
      <c r="K3" s="950"/>
      <c r="L3" s="950"/>
      <c r="M3" s="950"/>
      <c r="N3" s="950"/>
    </row>
    <row r="4" spans="1:14" ht="18" customHeight="1">
      <c r="A4" s="949" t="s">
        <v>93</v>
      </c>
      <c r="B4" s="950"/>
      <c r="C4" s="950"/>
      <c r="D4" s="950"/>
      <c r="E4" s="950"/>
      <c r="F4" s="950"/>
      <c r="G4" s="950"/>
      <c r="H4" s="950"/>
      <c r="I4" s="950"/>
      <c r="J4" s="950"/>
      <c r="K4" s="950"/>
      <c r="L4" s="950"/>
      <c r="M4" s="950"/>
      <c r="N4" s="950"/>
    </row>
    <row r="5" spans="1:14" ht="17.399999999999999">
      <c r="A5" s="949" t="s">
        <v>1315</v>
      </c>
      <c r="B5" s="948"/>
      <c r="C5" s="948"/>
      <c r="D5" s="948"/>
      <c r="E5" s="948"/>
      <c r="F5" s="948"/>
      <c r="G5" s="948"/>
      <c r="H5" s="948"/>
      <c r="I5" s="948"/>
      <c r="J5" s="948"/>
      <c r="K5" s="948"/>
      <c r="L5" s="948"/>
      <c r="M5" s="948"/>
      <c r="N5" s="948"/>
    </row>
    <row r="6" spans="1:14" ht="4.5" customHeight="1">
      <c r="A6" s="948"/>
      <c r="B6" s="948"/>
      <c r="C6" s="948"/>
      <c r="D6" s="948"/>
      <c r="E6" s="948"/>
      <c r="F6" s="948"/>
      <c r="G6" s="948"/>
      <c r="H6" s="948"/>
      <c r="I6" s="948"/>
      <c r="J6" s="948"/>
      <c r="K6" s="948"/>
      <c r="L6" s="948"/>
      <c r="M6" s="948"/>
      <c r="N6" s="948"/>
    </row>
    <row r="7" spans="1:14" hidden="1">
      <c r="A7" s="948"/>
      <c r="B7" s="948"/>
      <c r="C7" s="948"/>
      <c r="D7" s="948"/>
      <c r="E7" s="948"/>
      <c r="F7" s="948"/>
      <c r="G7" s="948"/>
      <c r="H7" s="948"/>
      <c r="I7" s="948"/>
      <c r="J7" s="948"/>
      <c r="K7" s="948"/>
      <c r="L7" s="948"/>
      <c r="M7" s="948"/>
      <c r="N7" s="948"/>
    </row>
    <row r="8" spans="1:14" hidden="1">
      <c r="A8" s="948"/>
      <c r="B8" s="948"/>
      <c r="C8" s="948"/>
      <c r="D8" s="948"/>
      <c r="E8" s="948"/>
      <c r="F8" s="948"/>
      <c r="G8" s="948"/>
      <c r="H8" s="948"/>
      <c r="I8" s="948"/>
      <c r="J8" s="948"/>
      <c r="K8" s="948"/>
      <c r="L8" s="948"/>
      <c r="M8" s="948"/>
      <c r="N8" s="948"/>
    </row>
    <row r="9" spans="1:14" hidden="1">
      <c r="A9" s="948"/>
      <c r="B9" s="948"/>
      <c r="C9" s="948"/>
      <c r="D9" s="948"/>
      <c r="E9" s="948"/>
      <c r="F9" s="948"/>
      <c r="G9" s="948"/>
      <c r="H9" s="948"/>
      <c r="I9" s="948"/>
      <c r="J9" s="948"/>
      <c r="K9" s="948"/>
      <c r="L9" s="948"/>
      <c r="M9" s="948"/>
      <c r="N9" s="948"/>
    </row>
    <row r="10" spans="1:14">
      <c r="A10" s="947" t="s">
        <v>1339</v>
      </c>
      <c r="N10" s="845" t="s">
        <v>1340</v>
      </c>
    </row>
    <row r="11" spans="1:14" s="945" customFormat="1">
      <c r="A11" s="1285" t="s">
        <v>1241</v>
      </c>
      <c r="B11" s="1287"/>
      <c r="C11" s="920" t="s">
        <v>1316</v>
      </c>
      <c r="D11" s="920" t="s">
        <v>1317</v>
      </c>
      <c r="E11" s="920" t="s">
        <v>1318</v>
      </c>
      <c r="F11" s="920" t="s">
        <v>1319</v>
      </c>
      <c r="G11" s="920" t="s">
        <v>1320</v>
      </c>
      <c r="H11" s="920" t="s">
        <v>1321</v>
      </c>
      <c r="I11" s="920" t="s">
        <v>1322</v>
      </c>
      <c r="J11" s="920" t="s">
        <v>1323</v>
      </c>
      <c r="K11" s="920" t="s">
        <v>1324</v>
      </c>
      <c r="L11" s="920" t="s">
        <v>1325</v>
      </c>
      <c r="M11" s="920" t="s">
        <v>391</v>
      </c>
      <c r="N11" s="920" t="s">
        <v>382</v>
      </c>
    </row>
    <row r="12" spans="1:14" s="945" customFormat="1" ht="31.2">
      <c r="A12" s="1288"/>
      <c r="B12" s="1290"/>
      <c r="C12" s="921" t="s">
        <v>1326</v>
      </c>
      <c r="D12" s="921" t="s">
        <v>1327</v>
      </c>
      <c r="E12" s="921" t="s">
        <v>1328</v>
      </c>
      <c r="F12" s="921" t="s">
        <v>1329</v>
      </c>
      <c r="G12" s="921" t="s">
        <v>1330</v>
      </c>
      <c r="H12" s="921" t="s">
        <v>1331</v>
      </c>
      <c r="I12" s="921" t="s">
        <v>1332</v>
      </c>
      <c r="J12" s="921" t="s">
        <v>1333</v>
      </c>
      <c r="K12" s="921" t="s">
        <v>1334</v>
      </c>
      <c r="L12" s="921" t="s">
        <v>1335</v>
      </c>
      <c r="M12" s="921" t="s">
        <v>399</v>
      </c>
      <c r="N12" s="946" t="s">
        <v>1336</v>
      </c>
    </row>
    <row r="13" spans="1:14" ht="16.5" hidden="1" customHeight="1">
      <c r="A13" s="927"/>
      <c r="B13" s="846"/>
      <c r="C13" s="803"/>
      <c r="D13" s="803"/>
      <c r="E13" s="803"/>
      <c r="F13" s="922"/>
      <c r="G13" s="803"/>
      <c r="H13" s="803"/>
      <c r="I13" s="803"/>
      <c r="J13" s="922"/>
      <c r="K13" s="803"/>
      <c r="L13" s="803"/>
      <c r="M13" s="803"/>
      <c r="N13" s="803"/>
    </row>
    <row r="14" spans="1:14" ht="16.5" hidden="1" customHeight="1">
      <c r="A14" s="927"/>
      <c r="B14" s="846"/>
      <c r="C14" s="803"/>
      <c r="D14" s="803"/>
      <c r="E14" s="803"/>
      <c r="F14" s="922"/>
      <c r="G14" s="803"/>
      <c r="H14" s="803"/>
      <c r="I14" s="803"/>
      <c r="J14" s="922"/>
      <c r="K14" s="803"/>
      <c r="L14" s="803"/>
      <c r="M14" s="803"/>
      <c r="N14" s="803"/>
    </row>
    <row r="15" spans="1:14" ht="16.5" hidden="1" customHeight="1">
      <c r="A15" s="927"/>
      <c r="B15" s="846"/>
      <c r="C15" s="803"/>
      <c r="D15" s="803"/>
      <c r="E15" s="803"/>
      <c r="F15" s="922"/>
      <c r="G15" s="803"/>
      <c r="H15" s="803"/>
      <c r="I15" s="803"/>
      <c r="J15" s="922"/>
      <c r="K15" s="803"/>
      <c r="L15" s="803"/>
      <c r="M15" s="803"/>
      <c r="N15" s="803"/>
    </row>
    <row r="16" spans="1:14" ht="16.5" hidden="1" customHeight="1">
      <c r="A16" s="927">
        <v>2019</v>
      </c>
      <c r="B16" s="846"/>
      <c r="C16" s="803"/>
      <c r="D16" s="803"/>
      <c r="E16" s="803"/>
      <c r="F16" s="922"/>
      <c r="G16" s="803"/>
      <c r="H16" s="803"/>
      <c r="I16" s="803"/>
      <c r="J16" s="922"/>
      <c r="K16" s="803"/>
      <c r="L16" s="803"/>
      <c r="M16" s="803"/>
      <c r="N16" s="803"/>
    </row>
    <row r="17" spans="1:15" ht="21" customHeight="1">
      <c r="A17" s="927">
        <v>2020</v>
      </c>
      <c r="B17" s="846"/>
      <c r="C17" s="803">
        <v>95845541.989860445</v>
      </c>
      <c r="D17" s="803">
        <v>12387291.417549569</v>
      </c>
      <c r="E17" s="803">
        <v>13505455.781372812</v>
      </c>
      <c r="F17" s="922">
        <v>2685253.8363256603</v>
      </c>
      <c r="G17" s="803">
        <v>1247940.6627449999</v>
      </c>
      <c r="H17" s="803">
        <v>64792230.700172424</v>
      </c>
      <c r="I17" s="803">
        <v>9395499.1749671213</v>
      </c>
      <c r="J17" s="922">
        <v>796472.69093497994</v>
      </c>
      <c r="K17" s="803">
        <v>881808.92438500014</v>
      </c>
      <c r="L17" s="803">
        <v>1469796.362</v>
      </c>
      <c r="M17" s="803">
        <v>13986298.233731102</v>
      </c>
      <c r="N17" s="803">
        <v>216993589.77404413</v>
      </c>
    </row>
    <row r="18" spans="1:15" ht="16.5" customHeight="1">
      <c r="A18" s="927">
        <v>2021</v>
      </c>
      <c r="B18" s="846"/>
      <c r="C18" s="803">
        <v>206932062.40157521</v>
      </c>
      <c r="D18" s="803">
        <v>22505465.034025073</v>
      </c>
      <c r="E18" s="803">
        <v>23354491.45208</v>
      </c>
      <c r="F18" s="922">
        <v>5112823.58776558</v>
      </c>
      <c r="G18" s="803">
        <v>1984024.1369445003</v>
      </c>
      <c r="H18" s="803">
        <v>113342955.29856345</v>
      </c>
      <c r="I18" s="803">
        <v>16753528.597211529</v>
      </c>
      <c r="J18" s="922">
        <v>2518650.7849335</v>
      </c>
      <c r="K18" s="803">
        <v>3372642.9391922504</v>
      </c>
      <c r="L18" s="803">
        <v>6246134.1707610302</v>
      </c>
      <c r="M18" s="803">
        <v>41871511.342352867</v>
      </c>
      <c r="N18" s="803">
        <v>443994289.74540502</v>
      </c>
    </row>
    <row r="19" spans="1:15" ht="16.5" customHeight="1">
      <c r="A19" s="927">
        <v>2022</v>
      </c>
      <c r="B19" s="846"/>
      <c r="C19" s="803">
        <v>469695493.62897837</v>
      </c>
      <c r="D19" s="803">
        <v>57618907.490186676</v>
      </c>
      <c r="E19" s="803">
        <v>36409433.306460582</v>
      </c>
      <c r="F19" s="922">
        <v>15297484.235590149</v>
      </c>
      <c r="G19" s="803">
        <v>4181543.5570696797</v>
      </c>
      <c r="H19" s="803">
        <v>95402430.728153393</v>
      </c>
      <c r="I19" s="803">
        <v>22729376.897553682</v>
      </c>
      <c r="J19" s="922">
        <v>2587530.1345593003</v>
      </c>
      <c r="K19" s="803">
        <v>2306920.9361455897</v>
      </c>
      <c r="L19" s="803">
        <v>5358979.2299181893</v>
      </c>
      <c r="M19" s="803">
        <v>42246443.236680374</v>
      </c>
      <c r="N19" s="803">
        <v>753834543.38129604</v>
      </c>
    </row>
    <row r="20" spans="1:15" ht="16.5" customHeight="1">
      <c r="A20" s="927">
        <v>2023</v>
      </c>
      <c r="B20" s="846"/>
      <c r="C20" s="803">
        <v>517144124.99138343</v>
      </c>
      <c r="D20" s="803">
        <v>71643492.374954179</v>
      </c>
      <c r="E20" s="803">
        <v>66951962.142273098</v>
      </c>
      <c r="F20" s="922">
        <v>30301636.444773261</v>
      </c>
      <c r="G20" s="803">
        <v>5798983.9034489999</v>
      </c>
      <c r="H20" s="803">
        <v>80524349.004949853</v>
      </c>
      <c r="I20" s="803">
        <v>26218895.759767033</v>
      </c>
      <c r="J20" s="922">
        <v>2228876.5375529998</v>
      </c>
      <c r="K20" s="803">
        <v>2160155.4161075698</v>
      </c>
      <c r="L20" s="803">
        <v>5106809.1438325001</v>
      </c>
      <c r="M20" s="803">
        <v>67593708.269656539</v>
      </c>
      <c r="N20" s="803">
        <v>875672993.98869944</v>
      </c>
    </row>
    <row r="21" spans="1:15" ht="16.5" customHeight="1">
      <c r="A21" s="927">
        <v>2024</v>
      </c>
      <c r="B21" s="846"/>
      <c r="C21" s="803">
        <v>540057616.98995006</v>
      </c>
      <c r="D21" s="803">
        <v>71209831.885000005</v>
      </c>
      <c r="E21" s="803">
        <v>66031442.365000002</v>
      </c>
      <c r="F21" s="922">
        <v>38932536.3336</v>
      </c>
      <c r="G21" s="803">
        <v>6309293.7759000007</v>
      </c>
      <c r="H21" s="803">
        <v>121350142.80010003</v>
      </c>
      <c r="I21" s="803">
        <v>25597574.116999999</v>
      </c>
      <c r="J21" s="922">
        <v>1743393.4890000001</v>
      </c>
      <c r="K21" s="803">
        <v>1753604.3980000003</v>
      </c>
      <c r="L21" s="803">
        <v>5312596.7525999993</v>
      </c>
      <c r="M21" s="803">
        <v>56138955.216850013</v>
      </c>
      <c r="N21" s="803">
        <v>934436987.023</v>
      </c>
    </row>
    <row r="22" spans="1:15" ht="16.5" customHeight="1">
      <c r="A22" s="943">
        <v>2025</v>
      </c>
      <c r="B22" s="944"/>
      <c r="C22" s="923">
        <f>ROUND(C25,0)+ROUND(C26,0)+ROUND(C27,0)+ROUND(C28,0)</f>
        <v>573728216</v>
      </c>
      <c r="D22" s="923">
        <f t="shared" ref="D22:N22" si="0">ROUND(D25,0)+ROUND(D26,0)+ROUND(D27,0)+ROUND(D28,0)</f>
        <v>72515508</v>
      </c>
      <c r="E22" s="923">
        <f t="shared" si="0"/>
        <v>66682198</v>
      </c>
      <c r="F22" s="924">
        <f t="shared" si="0"/>
        <v>63669482</v>
      </c>
      <c r="G22" s="923">
        <f t="shared" si="0"/>
        <v>11478620</v>
      </c>
      <c r="H22" s="923">
        <f t="shared" si="0"/>
        <v>172494283</v>
      </c>
      <c r="I22" s="923">
        <f t="shared" si="0"/>
        <v>26453714</v>
      </c>
      <c r="J22" s="924">
        <f t="shared" si="0"/>
        <v>1830875</v>
      </c>
      <c r="K22" s="923">
        <f t="shared" si="0"/>
        <v>1598789</v>
      </c>
      <c r="L22" s="923">
        <f t="shared" si="0"/>
        <v>5755659</v>
      </c>
      <c r="M22" s="923">
        <f t="shared" si="0"/>
        <v>58969548</v>
      </c>
      <c r="N22" s="923">
        <f t="shared" si="0"/>
        <v>1055176892</v>
      </c>
    </row>
    <row r="23" spans="1:15" ht="21" customHeight="1">
      <c r="A23" s="927">
        <v>2024</v>
      </c>
      <c r="B23" s="846" t="s">
        <v>237</v>
      </c>
      <c r="C23" s="803">
        <v>131171844.16600001</v>
      </c>
      <c r="D23" s="803">
        <v>16764763.471000001</v>
      </c>
      <c r="E23" s="803">
        <v>9383377.3790000007</v>
      </c>
      <c r="F23" s="922">
        <v>9286005.5769999996</v>
      </c>
      <c r="G23" s="803">
        <v>1094505.3930000002</v>
      </c>
      <c r="H23" s="803">
        <v>32796735.362999998</v>
      </c>
      <c r="I23" s="803">
        <v>4483360.1519999998</v>
      </c>
      <c r="J23" s="922">
        <v>290233.99400000006</v>
      </c>
      <c r="K23" s="803">
        <v>262199.49100000004</v>
      </c>
      <c r="L23" s="803">
        <v>996368.35100000002</v>
      </c>
      <c r="M23" s="803">
        <v>10621019.675000001</v>
      </c>
      <c r="N23" s="803">
        <v>217150410.912</v>
      </c>
    </row>
    <row r="24" spans="1:15" ht="15" customHeight="1">
      <c r="A24" s="927"/>
      <c r="B24" s="846" t="s">
        <v>238</v>
      </c>
      <c r="C24" s="803">
        <v>146158056.18108001</v>
      </c>
      <c r="D24" s="803">
        <v>15092941.571999999</v>
      </c>
      <c r="E24" s="803">
        <v>14411521.964</v>
      </c>
      <c r="F24" s="922">
        <v>11083179.192</v>
      </c>
      <c r="G24" s="803">
        <v>1804592.4669000001</v>
      </c>
      <c r="H24" s="803">
        <v>34736113.566000007</v>
      </c>
      <c r="I24" s="803">
        <v>6946180.2709999997</v>
      </c>
      <c r="J24" s="922">
        <v>525063.33799999999</v>
      </c>
      <c r="K24" s="803">
        <v>507196.95400000009</v>
      </c>
      <c r="L24" s="803">
        <v>1533465.5549999999</v>
      </c>
      <c r="M24" s="803">
        <v>14651974.544019978</v>
      </c>
      <c r="N24" s="803">
        <v>247450286.30400002</v>
      </c>
    </row>
    <row r="25" spans="1:15" ht="21" customHeight="1">
      <c r="A25" s="927">
        <v>2025</v>
      </c>
      <c r="B25" s="846" t="s">
        <v>239</v>
      </c>
      <c r="C25" s="803">
        <v>124740332.65530002</v>
      </c>
      <c r="D25" s="803">
        <v>18895853.296</v>
      </c>
      <c r="E25" s="803">
        <v>15375861.591000002</v>
      </c>
      <c r="F25" s="922">
        <v>14653741.381000001</v>
      </c>
      <c r="G25" s="803">
        <v>2418160.0360000003</v>
      </c>
      <c r="H25" s="803">
        <v>40866314.557000004</v>
      </c>
      <c r="I25" s="803">
        <v>6272833.5049999999</v>
      </c>
      <c r="J25" s="922">
        <v>392040.37400000007</v>
      </c>
      <c r="K25" s="803">
        <v>373937.56999999995</v>
      </c>
      <c r="L25" s="803">
        <v>1242365.5989999999</v>
      </c>
      <c r="M25" s="803">
        <v>14243517.279700007</v>
      </c>
      <c r="N25" s="803">
        <v>239474958.64400002</v>
      </c>
    </row>
    <row r="26" spans="1:15" ht="15" customHeight="1">
      <c r="A26" s="927"/>
      <c r="B26" s="846" t="s">
        <v>240</v>
      </c>
      <c r="C26" s="803">
        <v>141407533</v>
      </c>
      <c r="D26" s="803">
        <v>16772243</v>
      </c>
      <c r="E26" s="803">
        <v>14643018</v>
      </c>
      <c r="F26" s="922">
        <v>14324472</v>
      </c>
      <c r="G26" s="803">
        <v>2629806</v>
      </c>
      <c r="H26" s="803">
        <v>47590121</v>
      </c>
      <c r="I26" s="803">
        <v>6770847</v>
      </c>
      <c r="J26" s="922">
        <v>437797</v>
      </c>
      <c r="K26" s="803">
        <v>383623</v>
      </c>
      <c r="L26" s="803">
        <v>1323818</v>
      </c>
      <c r="M26" s="803">
        <v>14983354</v>
      </c>
      <c r="N26" s="803">
        <v>261266632</v>
      </c>
    </row>
    <row r="27" spans="1:15" ht="15" customHeight="1">
      <c r="A27" s="927"/>
      <c r="B27" s="846" t="s">
        <v>237</v>
      </c>
      <c r="C27" s="803">
        <v>131390350</v>
      </c>
      <c r="D27" s="803">
        <v>19611576</v>
      </c>
      <c r="E27" s="803">
        <v>13938247</v>
      </c>
      <c r="F27" s="922">
        <v>17549558</v>
      </c>
      <c r="G27" s="803">
        <v>2743949</v>
      </c>
      <c r="H27" s="803">
        <v>45856945</v>
      </c>
      <c r="I27" s="803">
        <v>5348639</v>
      </c>
      <c r="J27" s="922">
        <v>345304</v>
      </c>
      <c r="K27" s="803">
        <v>231217</v>
      </c>
      <c r="L27" s="803">
        <v>1108636</v>
      </c>
      <c r="M27" s="803">
        <v>11887339</v>
      </c>
      <c r="N27" s="803">
        <v>250011760</v>
      </c>
    </row>
    <row r="28" spans="1:15" ht="15" customHeight="1">
      <c r="A28" s="927"/>
      <c r="B28" s="846" t="s">
        <v>238</v>
      </c>
      <c r="C28" s="803">
        <f>ROUND(C36,0)+ROUND(C35,0)+ROUND(C34,0)</f>
        <v>176190000</v>
      </c>
      <c r="D28" s="803">
        <f t="shared" ref="D28:N28" si="1">ROUND(D36,0)+ROUND(D35,0)+ROUND(D34,0)</f>
        <v>17235836</v>
      </c>
      <c r="E28" s="803">
        <f t="shared" si="1"/>
        <v>22725071</v>
      </c>
      <c r="F28" s="922">
        <f t="shared" si="1"/>
        <v>17141711</v>
      </c>
      <c r="G28" s="803">
        <f t="shared" si="1"/>
        <v>3686705</v>
      </c>
      <c r="H28" s="803">
        <f t="shared" si="1"/>
        <v>38180902</v>
      </c>
      <c r="I28" s="803">
        <f t="shared" si="1"/>
        <v>8061394</v>
      </c>
      <c r="J28" s="922">
        <f t="shared" si="1"/>
        <v>655734</v>
      </c>
      <c r="K28" s="803">
        <f t="shared" si="1"/>
        <v>610011</v>
      </c>
      <c r="L28" s="803">
        <f t="shared" si="1"/>
        <v>2080839</v>
      </c>
      <c r="M28" s="803">
        <f t="shared" si="1"/>
        <v>17855338</v>
      </c>
      <c r="N28" s="803">
        <f t="shared" si="1"/>
        <v>304423541</v>
      </c>
    </row>
    <row r="29" spans="1:15" ht="21" customHeight="1">
      <c r="A29" s="927">
        <v>2026</v>
      </c>
      <c r="B29" s="846" t="s">
        <v>239</v>
      </c>
      <c r="C29" s="803">
        <f>ROUND(C37,0)+ROUND(C38,0)+ROUND(C39,0)</f>
        <v>100194376</v>
      </c>
      <c r="D29" s="803">
        <f t="shared" ref="D29:N29" si="2">ROUND(D37,0)+ROUND(D38,0)+ROUND(D39,0)</f>
        <v>12553214</v>
      </c>
      <c r="E29" s="803">
        <f t="shared" si="2"/>
        <v>14290924</v>
      </c>
      <c r="F29" s="922">
        <f t="shared" si="2"/>
        <v>13697288</v>
      </c>
      <c r="G29" s="803">
        <f t="shared" si="2"/>
        <v>2096184</v>
      </c>
      <c r="H29" s="803">
        <f t="shared" si="2"/>
        <v>24138777</v>
      </c>
      <c r="I29" s="803">
        <f t="shared" si="2"/>
        <v>5428327</v>
      </c>
      <c r="J29" s="922">
        <f t="shared" si="2"/>
        <v>355745</v>
      </c>
      <c r="K29" s="803">
        <f t="shared" si="2"/>
        <v>401938</v>
      </c>
      <c r="L29" s="803">
        <f t="shared" si="2"/>
        <v>1277167</v>
      </c>
      <c r="M29" s="803">
        <f t="shared" si="2"/>
        <v>10926127</v>
      </c>
      <c r="N29" s="803">
        <f t="shared" si="2"/>
        <v>185360067</v>
      </c>
      <c r="O29" s="1175"/>
    </row>
    <row r="30" spans="1:15" ht="15" customHeight="1">
      <c r="A30" s="943"/>
      <c r="B30" s="944" t="s">
        <v>240</v>
      </c>
      <c r="C30" s="923">
        <f t="shared" ref="C30:N30" si="3">ROUND(C40,0)+ROUND(C41,0)+ROUND(C42,0)</f>
        <v>126197148</v>
      </c>
      <c r="D30" s="923">
        <f t="shared" si="3"/>
        <v>12996315</v>
      </c>
      <c r="E30" s="923">
        <f t="shared" si="3"/>
        <v>11556254</v>
      </c>
      <c r="F30" s="924">
        <f t="shared" si="3"/>
        <v>12533937</v>
      </c>
      <c r="G30" s="923">
        <f t="shared" si="3"/>
        <v>1773522</v>
      </c>
      <c r="H30" s="923">
        <f t="shared" si="3"/>
        <v>19725514</v>
      </c>
      <c r="I30" s="923">
        <f t="shared" si="3"/>
        <v>2726824</v>
      </c>
      <c r="J30" s="924">
        <f t="shared" si="3"/>
        <v>218382</v>
      </c>
      <c r="K30" s="923">
        <f t="shared" si="3"/>
        <v>152443</v>
      </c>
      <c r="L30" s="923">
        <f t="shared" si="3"/>
        <v>420488</v>
      </c>
      <c r="M30" s="923">
        <f t="shared" si="3"/>
        <v>9012435</v>
      </c>
      <c r="N30" s="923">
        <f t="shared" si="3"/>
        <v>197313262</v>
      </c>
      <c r="O30" s="1175"/>
    </row>
    <row r="31" spans="1:15" ht="21" customHeight="1">
      <c r="A31" s="927">
        <v>2025</v>
      </c>
      <c r="B31" s="844" t="s">
        <v>420</v>
      </c>
      <c r="C31" s="803">
        <v>42642260.629999995</v>
      </c>
      <c r="D31" s="803">
        <v>5841615.8880000003</v>
      </c>
      <c r="E31" s="803">
        <v>4374037.3270000005</v>
      </c>
      <c r="F31" s="803">
        <v>4875959.4349999996</v>
      </c>
      <c r="G31" s="803">
        <v>766137.55099999998</v>
      </c>
      <c r="H31" s="803">
        <v>14071934.754000001</v>
      </c>
      <c r="I31" s="803">
        <v>1416154.3969999999</v>
      </c>
      <c r="J31" s="803">
        <v>111432.727</v>
      </c>
      <c r="K31" s="803">
        <v>59476.891999999993</v>
      </c>
      <c r="L31" s="803">
        <v>344716.245</v>
      </c>
      <c r="M31" s="803">
        <f t="shared" ref="M31:M36" si="4">N31-(SUM(C31:L31))</f>
        <v>3101674.7060000002</v>
      </c>
      <c r="N31" s="803">
        <v>77605400.552000001</v>
      </c>
    </row>
    <row r="32" spans="1:15" ht="15.75" customHeight="1">
      <c r="A32" s="927"/>
      <c r="B32" s="844" t="s">
        <v>421</v>
      </c>
      <c r="C32" s="803">
        <v>46827567.741999999</v>
      </c>
      <c r="D32" s="803">
        <v>7255306.7520000003</v>
      </c>
      <c r="E32" s="803">
        <v>4242347.7419999996</v>
      </c>
      <c r="F32" s="803">
        <v>8583536.1140000001</v>
      </c>
      <c r="G32" s="803">
        <v>1100927.6329999999</v>
      </c>
      <c r="H32" s="803">
        <v>17099466.908</v>
      </c>
      <c r="I32" s="803">
        <v>1998123.145</v>
      </c>
      <c r="J32" s="803">
        <v>87467.34199999999</v>
      </c>
      <c r="K32" s="803">
        <v>73067.975000000006</v>
      </c>
      <c r="L32" s="803">
        <v>334612.35200000001</v>
      </c>
      <c r="M32" s="803">
        <f t="shared" si="4"/>
        <v>4885021.3550000191</v>
      </c>
      <c r="N32" s="803">
        <v>92487445.060000002</v>
      </c>
    </row>
    <row r="33" spans="1:14" ht="15.75" customHeight="1">
      <c r="A33" s="927"/>
      <c r="B33" s="844" t="s">
        <v>422</v>
      </c>
      <c r="C33" s="803">
        <v>41920521.270999998</v>
      </c>
      <c r="D33" s="803">
        <v>6514653.449</v>
      </c>
      <c r="E33" s="803">
        <v>5321862.0829999996</v>
      </c>
      <c r="F33" s="803">
        <v>4090062.5539999995</v>
      </c>
      <c r="G33" s="803">
        <v>876883.41900000011</v>
      </c>
      <c r="H33" s="803">
        <v>14685542.685000002</v>
      </c>
      <c r="I33" s="803">
        <v>1934361.5750000002</v>
      </c>
      <c r="J33" s="803">
        <v>146403.54399999999</v>
      </c>
      <c r="K33" s="803">
        <v>98671.781999999977</v>
      </c>
      <c r="L33" s="803">
        <v>429308.223</v>
      </c>
      <c r="M33" s="803">
        <f t="shared" si="4"/>
        <v>3900643.1780000031</v>
      </c>
      <c r="N33" s="803">
        <v>79918913.763000011</v>
      </c>
    </row>
    <row r="34" spans="1:14" ht="15.75" customHeight="1">
      <c r="A34" s="927"/>
      <c r="B34" s="844" t="s">
        <v>411</v>
      </c>
      <c r="C34" s="803">
        <v>46626444.491300002</v>
      </c>
      <c r="D34" s="803">
        <v>4990096.68</v>
      </c>
      <c r="E34" s="803">
        <v>6078894.0659999996</v>
      </c>
      <c r="F34" s="803">
        <v>4960087.7369999997</v>
      </c>
      <c r="G34" s="803">
        <v>947108.96099999989</v>
      </c>
      <c r="H34" s="803">
        <v>14475746.208000001</v>
      </c>
      <c r="I34" s="803">
        <v>2254968.2039999999</v>
      </c>
      <c r="J34" s="803">
        <v>209158.23</v>
      </c>
      <c r="K34" s="803">
        <v>157250.97199999998</v>
      </c>
      <c r="L34" s="803">
        <v>576486.65800000005</v>
      </c>
      <c r="M34" s="803">
        <f>N34-(SUM(C34:L34))+0.2</f>
        <v>4711744.5646999897</v>
      </c>
      <c r="N34" s="803">
        <v>85987986.571999997</v>
      </c>
    </row>
    <row r="35" spans="1:14" ht="15.75" customHeight="1">
      <c r="A35" s="927"/>
      <c r="B35" s="844" t="s">
        <v>412</v>
      </c>
      <c r="C35" s="803">
        <v>74537317.548449993</v>
      </c>
      <c r="D35" s="803">
        <v>6321566.6629999997</v>
      </c>
      <c r="E35" s="803">
        <v>7398651.7259999998</v>
      </c>
      <c r="F35" s="803">
        <v>6768807.6349999998</v>
      </c>
      <c r="G35" s="803">
        <v>1319488.622</v>
      </c>
      <c r="H35" s="803">
        <v>13533175.043999996</v>
      </c>
      <c r="I35" s="803">
        <v>3031943.2460000012</v>
      </c>
      <c r="J35" s="803">
        <v>263327.212</v>
      </c>
      <c r="K35" s="803">
        <v>230722.22399999999</v>
      </c>
      <c r="L35" s="803">
        <v>774686.38100000005</v>
      </c>
      <c r="M35" s="803">
        <f t="shared" si="4"/>
        <v>6891705.3495500088</v>
      </c>
      <c r="N35" s="803">
        <v>121071391.65100001</v>
      </c>
    </row>
    <row r="36" spans="1:14" ht="15.75" customHeight="1">
      <c r="A36" s="927"/>
      <c r="B36" s="844" t="s">
        <v>413</v>
      </c>
      <c r="C36" s="803">
        <v>55026237.721000001</v>
      </c>
      <c r="D36" s="803">
        <v>5924172.4749999996</v>
      </c>
      <c r="E36" s="803">
        <v>9247525.4019999988</v>
      </c>
      <c r="F36" s="803">
        <v>5412815.3090000004</v>
      </c>
      <c r="G36" s="803">
        <v>1420106.784</v>
      </c>
      <c r="H36" s="803">
        <v>10171980.693000004</v>
      </c>
      <c r="I36" s="803">
        <v>2774483.0659999996</v>
      </c>
      <c r="J36" s="803">
        <v>183248.82299999997</v>
      </c>
      <c r="K36" s="803">
        <v>222037.99800000008</v>
      </c>
      <c r="L36" s="803">
        <v>729665.86800000002</v>
      </c>
      <c r="M36" s="803">
        <f t="shared" si="4"/>
        <v>6251887.5440000147</v>
      </c>
      <c r="N36" s="803">
        <v>97364161.683000013</v>
      </c>
    </row>
    <row r="37" spans="1:14" ht="21" customHeight="1">
      <c r="A37" s="927">
        <v>2026</v>
      </c>
      <c r="B37" s="844" t="s">
        <v>414</v>
      </c>
      <c r="C37" s="803">
        <v>45204035.748000003</v>
      </c>
      <c r="D37" s="803">
        <v>6140204.4840000002</v>
      </c>
      <c r="E37" s="803">
        <v>5699258.5310000004</v>
      </c>
      <c r="F37" s="803">
        <v>5485290.324000001</v>
      </c>
      <c r="G37" s="803">
        <v>1029795.372</v>
      </c>
      <c r="H37" s="803">
        <v>8629922.0789999999</v>
      </c>
      <c r="I37" s="803">
        <v>2194935.7909999993</v>
      </c>
      <c r="J37" s="803">
        <v>173449.39800000002</v>
      </c>
      <c r="K37" s="803">
        <v>188668.74600000001</v>
      </c>
      <c r="L37" s="803">
        <v>544526.05000000005</v>
      </c>
      <c r="M37" s="803">
        <f>N37-(SUM(C37:L37))</f>
        <v>5208314.8669999987</v>
      </c>
      <c r="N37" s="803">
        <v>80498401.390000001</v>
      </c>
    </row>
    <row r="38" spans="1:14" ht="15.75" customHeight="1">
      <c r="A38" s="927"/>
      <c r="B38" s="844" t="s">
        <v>415</v>
      </c>
      <c r="C38" s="803">
        <v>42147380.032000005</v>
      </c>
      <c r="D38" s="803">
        <v>5243211.5950000007</v>
      </c>
      <c r="E38" s="803">
        <v>5833322.5940000005</v>
      </c>
      <c r="F38" s="803">
        <v>5612939.4270000011</v>
      </c>
      <c r="G38" s="803">
        <v>826293.78699999989</v>
      </c>
      <c r="H38" s="803">
        <v>8826203.2899999991</v>
      </c>
      <c r="I38" s="803">
        <v>2530402.0010000002</v>
      </c>
      <c r="J38" s="803">
        <v>153564.90100000001</v>
      </c>
      <c r="K38" s="803">
        <v>181579.35499999998</v>
      </c>
      <c r="L38" s="803">
        <v>602036.10800000012</v>
      </c>
      <c r="M38" s="803">
        <f>N38-(SUM(C38:L38))</f>
        <v>4580270.1680000126</v>
      </c>
      <c r="N38" s="803">
        <v>76537203.258000001</v>
      </c>
    </row>
    <row r="39" spans="1:14" ht="15.75" customHeight="1">
      <c r="A39" s="927"/>
      <c r="B39" s="844" t="s">
        <v>416</v>
      </c>
      <c r="C39" s="803">
        <v>12842959.793</v>
      </c>
      <c r="D39" s="803">
        <v>1169797.621</v>
      </c>
      <c r="E39" s="803">
        <v>2758342.45</v>
      </c>
      <c r="F39" s="803">
        <v>2599059.497</v>
      </c>
      <c r="G39" s="803">
        <v>240095.22100000002</v>
      </c>
      <c r="H39" s="803">
        <v>6682651.5539999995</v>
      </c>
      <c r="I39" s="803">
        <v>702989.03800000006</v>
      </c>
      <c r="J39" s="803">
        <v>28730.996999999999</v>
      </c>
      <c r="K39" s="803">
        <v>31690.243999999999</v>
      </c>
      <c r="L39" s="803">
        <v>130605.249</v>
      </c>
      <c r="M39" s="803">
        <f>N39-(SUM(C39:L39))</f>
        <v>1137541.7740000002</v>
      </c>
      <c r="N39" s="803">
        <v>28324463.438000001</v>
      </c>
    </row>
    <row r="40" spans="1:14" ht="15.75" customHeight="1">
      <c r="A40" s="927"/>
      <c r="B40" s="844" t="s">
        <v>417</v>
      </c>
      <c r="C40" s="803">
        <v>26108926.856899999</v>
      </c>
      <c r="D40" s="803">
        <v>1964513.2899999998</v>
      </c>
      <c r="E40" s="803">
        <v>2839999.7220000001</v>
      </c>
      <c r="F40" s="803">
        <v>2888806.352</v>
      </c>
      <c r="G40" s="803">
        <v>371595.46199999994</v>
      </c>
      <c r="H40" s="803">
        <v>5780569.1099999994</v>
      </c>
      <c r="I40" s="803">
        <v>413798.46300000011</v>
      </c>
      <c r="J40" s="803">
        <v>22923.958000000002</v>
      </c>
      <c r="K40" s="803">
        <v>-9816.8490000000002</v>
      </c>
      <c r="L40" s="803">
        <v>3628.3830000000071</v>
      </c>
      <c r="M40" s="803">
        <f>N40-(SUM(C40:L40))+2</f>
        <v>916722.04609999806</v>
      </c>
      <c r="N40" s="803">
        <v>41301664.793999992</v>
      </c>
    </row>
    <row r="41" spans="1:14" ht="15.75" customHeight="1">
      <c r="A41" s="927"/>
      <c r="B41" s="844" t="s">
        <v>418</v>
      </c>
      <c r="C41" s="803">
        <v>58496239.116999999</v>
      </c>
      <c r="D41" s="803">
        <v>6102218.5979999993</v>
      </c>
      <c r="E41" s="803">
        <v>4221825.5539999995</v>
      </c>
      <c r="F41" s="803">
        <v>5188940.6789999995</v>
      </c>
      <c r="G41" s="803">
        <v>682644.125</v>
      </c>
      <c r="H41" s="803">
        <v>7179459.4759999998</v>
      </c>
      <c r="I41" s="803">
        <v>1086706.7989999999</v>
      </c>
      <c r="J41" s="803">
        <v>61493.423000000003</v>
      </c>
      <c r="K41" s="803">
        <v>48203.876000000004</v>
      </c>
      <c r="L41" s="803">
        <v>170932.06299999999</v>
      </c>
      <c r="M41" s="803">
        <f>N41-(SUM(C41:L41))</f>
        <v>2864536.0370000005</v>
      </c>
      <c r="N41" s="803">
        <v>86103199.746999979</v>
      </c>
    </row>
    <row r="42" spans="1:14" ht="15.75" customHeight="1">
      <c r="A42" s="927"/>
      <c r="B42" s="844" t="s">
        <v>419</v>
      </c>
      <c r="C42" s="803">
        <v>41591981.798</v>
      </c>
      <c r="D42" s="803">
        <v>4929582.5030000005</v>
      </c>
      <c r="E42" s="803">
        <v>4494428.0030000005</v>
      </c>
      <c r="F42" s="803">
        <v>4456189.665</v>
      </c>
      <c r="G42" s="803">
        <v>719283.20200000005</v>
      </c>
      <c r="H42" s="803">
        <v>6765485.693</v>
      </c>
      <c r="I42" s="803">
        <v>1226319.2019999998</v>
      </c>
      <c r="J42" s="803">
        <v>133964.93700000001</v>
      </c>
      <c r="K42" s="803">
        <v>114056.49100000001</v>
      </c>
      <c r="L42" s="803">
        <v>245928.353</v>
      </c>
      <c r="M42" s="803">
        <f>N42-(SUM(C42:L42))</f>
        <v>5231176.9890000075</v>
      </c>
      <c r="N42" s="803">
        <v>69908396.835999995</v>
      </c>
    </row>
    <row r="43" spans="1:14" ht="15.75" customHeight="1">
      <c r="A43" s="927"/>
      <c r="B43" s="844" t="s">
        <v>420</v>
      </c>
      <c r="C43" s="803">
        <v>38422481.4331</v>
      </c>
      <c r="D43" s="803">
        <v>4611312.6689999998</v>
      </c>
      <c r="E43" s="803">
        <v>3763355.9279999998</v>
      </c>
      <c r="F43" s="803">
        <v>4490867.9869999997</v>
      </c>
      <c r="G43" s="803">
        <v>571480.44099999999</v>
      </c>
      <c r="H43" s="803">
        <v>7004474.6639999999</v>
      </c>
      <c r="I43" s="803">
        <v>1068764.723</v>
      </c>
      <c r="J43" s="803">
        <v>237030.19200000001</v>
      </c>
      <c r="K43" s="803">
        <v>237448.05799999999</v>
      </c>
      <c r="L43" s="803">
        <v>253294.375</v>
      </c>
      <c r="M43" s="803">
        <f>N43-(SUM(C43:L43))</f>
        <v>15990178.592900008</v>
      </c>
      <c r="N43" s="803">
        <v>76650689.063000008</v>
      </c>
    </row>
    <row r="44" spans="1:14">
      <c r="A44" s="1500"/>
      <c r="B44" s="962"/>
      <c r="C44" s="963"/>
      <c r="D44" s="963"/>
      <c r="E44" s="963"/>
      <c r="F44" s="963"/>
      <c r="G44" s="963"/>
      <c r="H44" s="963"/>
      <c r="I44" s="963"/>
      <c r="J44" s="963"/>
      <c r="K44" s="963"/>
      <c r="L44" s="963"/>
      <c r="M44" s="963"/>
      <c r="N44" s="964"/>
    </row>
    <row r="45" spans="1:14">
      <c r="A45" s="1501"/>
      <c r="B45" s="942"/>
      <c r="C45" s="941"/>
      <c r="D45" s="941"/>
      <c r="E45" s="941"/>
      <c r="F45" s="941"/>
      <c r="G45" s="941"/>
      <c r="H45" s="941"/>
      <c r="I45" s="941"/>
      <c r="J45" s="941"/>
      <c r="K45" s="941"/>
      <c r="L45" s="941"/>
      <c r="M45" s="941"/>
      <c r="N45" s="941"/>
    </row>
    <row r="46" spans="1:14">
      <c r="A46" s="1502" t="s">
        <v>1341</v>
      </c>
      <c r="B46" s="1502"/>
      <c r="C46" s="1502"/>
      <c r="D46" s="1502"/>
      <c r="E46" s="1502"/>
      <c r="F46" s="1502"/>
      <c r="G46" s="1502"/>
      <c r="H46" s="1502"/>
      <c r="I46" s="1502"/>
      <c r="J46" s="1502"/>
      <c r="K46" s="1502"/>
      <c r="L46" s="1502"/>
      <c r="M46" s="1502"/>
      <c r="N46" s="1502"/>
    </row>
    <row r="50" spans="9:14">
      <c r="I50" s="940"/>
      <c r="J50" s="940"/>
      <c r="K50" s="940"/>
      <c r="L50" s="940"/>
      <c r="M50" s="940"/>
      <c r="N50" s="940"/>
    </row>
  </sheetData>
  <mergeCells count="2">
    <mergeCell ref="A11:B12"/>
    <mergeCell ref="A46:N46"/>
  </mergeCells>
  <printOptions horizontalCentered="1"/>
  <pageMargins left="0.25" right="0.25" top="0.75" bottom="0.75" header="0.3" footer="0.3"/>
  <pageSetup scale="71"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Q27"/>
  <sheetViews>
    <sheetView zoomScale="90" zoomScaleNormal="90" workbookViewId="0">
      <selection activeCell="B2" sqref="B2"/>
    </sheetView>
  </sheetViews>
  <sheetFormatPr defaultColWidth="9.21875" defaultRowHeight="14.4"/>
  <cols>
    <col min="1" max="1" width="30.21875" style="1485" customWidth="1"/>
    <col min="2" max="15" width="9.21875" style="1485"/>
    <col min="16" max="16" width="30.21875" style="1485" customWidth="1"/>
    <col min="17" max="16384" width="9.21875" style="1485"/>
  </cols>
  <sheetData>
    <row r="1" spans="1:17" s="416" customFormat="1" ht="21.3" customHeight="1">
      <c r="A1" s="1477" t="s">
        <v>1738</v>
      </c>
      <c r="B1" s="415"/>
      <c r="C1" s="415"/>
      <c r="D1" s="415"/>
      <c r="E1" s="415"/>
      <c r="F1" s="415"/>
      <c r="G1" s="415"/>
      <c r="H1" s="415"/>
      <c r="I1" s="415"/>
      <c r="J1" s="415"/>
      <c r="K1" s="415"/>
      <c r="L1" s="415"/>
      <c r="M1" s="415"/>
      <c r="N1" s="415"/>
      <c r="O1" s="415"/>
      <c r="P1" s="1477"/>
    </row>
    <row r="2" spans="1:17" s="416" customFormat="1" ht="21.3" customHeight="1">
      <c r="A2" s="1477" t="s">
        <v>98</v>
      </c>
      <c r="B2" s="415"/>
      <c r="C2" s="415"/>
      <c r="D2" s="415"/>
      <c r="E2" s="415"/>
      <c r="F2" s="415"/>
      <c r="G2" s="415"/>
      <c r="H2" s="415"/>
      <c r="I2" s="415"/>
      <c r="J2" s="415"/>
      <c r="K2" s="415"/>
      <c r="L2" s="415"/>
      <c r="M2" s="415"/>
      <c r="N2" s="415"/>
      <c r="O2" s="415"/>
      <c r="P2" s="1477"/>
    </row>
    <row r="3" spans="1:17" s="416" customFormat="1" ht="21.3" customHeight="1">
      <c r="A3" s="1477" t="s">
        <v>97</v>
      </c>
      <c r="B3" s="415"/>
      <c r="C3" s="415"/>
      <c r="D3" s="415"/>
      <c r="E3" s="415"/>
      <c r="F3" s="415"/>
      <c r="G3" s="415"/>
      <c r="H3" s="415"/>
      <c r="I3" s="415"/>
      <c r="J3" s="415"/>
      <c r="K3" s="415"/>
      <c r="L3" s="415"/>
      <c r="M3" s="415"/>
      <c r="N3" s="415"/>
      <c r="O3" s="415"/>
      <c r="P3" s="1477"/>
    </row>
    <row r="5" spans="1:17" ht="15.75" customHeight="1">
      <c r="A5" s="1478" t="s">
        <v>1342</v>
      </c>
      <c r="B5" s="1479" t="s">
        <v>1343</v>
      </c>
      <c r="C5" s="1480"/>
      <c r="D5" s="1480"/>
      <c r="E5" s="1481" t="s">
        <v>1344</v>
      </c>
      <c r="F5" s="1481"/>
      <c r="G5" s="1482"/>
      <c r="H5" s="1479" t="s">
        <v>1345</v>
      </c>
      <c r="I5" s="1480"/>
      <c r="J5" s="1480"/>
      <c r="K5" s="1481" t="s">
        <v>1346</v>
      </c>
      <c r="L5" s="1481"/>
      <c r="M5" s="1482"/>
      <c r="N5" s="1483" t="s">
        <v>1017</v>
      </c>
      <c r="O5" s="1484"/>
      <c r="P5" s="1478" t="s">
        <v>857</v>
      </c>
    </row>
    <row r="6" spans="1:17" ht="15.75" customHeight="1">
      <c r="A6" s="1478"/>
      <c r="B6" s="1478" t="s">
        <v>1694</v>
      </c>
      <c r="C6" s="1478"/>
      <c r="D6" s="1478"/>
      <c r="E6" s="1478" t="s">
        <v>1715</v>
      </c>
      <c r="F6" s="1478"/>
      <c r="G6" s="1478"/>
      <c r="H6" s="1478" t="str">
        <f>B6</f>
        <v>Q4 2025</v>
      </c>
      <c r="I6" s="1478"/>
      <c r="J6" s="1478"/>
      <c r="K6" s="1478" t="str">
        <f>E6</f>
        <v>Q1 2026</v>
      </c>
      <c r="L6" s="1478"/>
      <c r="M6" s="1478"/>
      <c r="N6" s="1483" t="s">
        <v>392</v>
      </c>
      <c r="O6" s="1484"/>
      <c r="P6" s="1478"/>
    </row>
    <row r="7" spans="1:17" ht="15.6">
      <c r="A7" s="1478"/>
      <c r="B7" s="1486" t="s">
        <v>1347</v>
      </c>
      <c r="C7" s="1486" t="s">
        <v>1348</v>
      </c>
      <c r="D7" s="1486" t="s">
        <v>382</v>
      </c>
      <c r="E7" s="1486" t="s">
        <v>1347</v>
      </c>
      <c r="F7" s="1486" t="s">
        <v>1348</v>
      </c>
      <c r="G7" s="1486" t="s">
        <v>382</v>
      </c>
      <c r="H7" s="1486" t="s">
        <v>1347</v>
      </c>
      <c r="I7" s="1486" t="s">
        <v>1348</v>
      </c>
      <c r="J7" s="1486" t="s">
        <v>382</v>
      </c>
      <c r="K7" s="1486" t="s">
        <v>1347</v>
      </c>
      <c r="L7" s="1486" t="s">
        <v>1348</v>
      </c>
      <c r="M7" s="1486" t="s">
        <v>382</v>
      </c>
      <c r="N7" s="1487" t="str">
        <f>H6</f>
        <v>Q4 2025</v>
      </c>
      <c r="O7" s="1487" t="str">
        <f>K6</f>
        <v>Q1 2026</v>
      </c>
      <c r="P7" s="1478"/>
    </row>
    <row r="8" spans="1:17" ht="15.6">
      <c r="A8" s="1478"/>
      <c r="B8" s="1486" t="s">
        <v>1349</v>
      </c>
      <c r="C8" s="1486" t="s">
        <v>1350</v>
      </c>
      <c r="D8" s="1486" t="s">
        <v>392</v>
      </c>
      <c r="E8" s="1486" t="s">
        <v>1349</v>
      </c>
      <c r="F8" s="1486" t="s">
        <v>1350</v>
      </c>
      <c r="G8" s="1486" t="s">
        <v>392</v>
      </c>
      <c r="H8" s="1486" t="s">
        <v>1349</v>
      </c>
      <c r="I8" s="1486" t="s">
        <v>1350</v>
      </c>
      <c r="J8" s="1486" t="s">
        <v>392</v>
      </c>
      <c r="K8" s="1486" t="s">
        <v>1349</v>
      </c>
      <c r="L8" s="1486" t="s">
        <v>1350</v>
      </c>
      <c r="M8" s="1486" t="s">
        <v>392</v>
      </c>
      <c r="N8" s="1488"/>
      <c r="O8" s="1488"/>
      <c r="P8" s="1478"/>
    </row>
    <row r="9" spans="1:17" ht="18" customHeight="1">
      <c r="A9" s="952" t="s">
        <v>1351</v>
      </c>
      <c r="B9" s="1489">
        <v>3404</v>
      </c>
      <c r="C9" s="1489">
        <v>2270</v>
      </c>
      <c r="D9" s="1489">
        <v>5674</v>
      </c>
      <c r="E9" s="1489">
        <v>3419</v>
      </c>
      <c r="F9" s="1489">
        <v>2296</v>
      </c>
      <c r="G9" s="1489">
        <v>5715</v>
      </c>
      <c r="H9" s="1489">
        <v>1281</v>
      </c>
      <c r="I9" s="1489">
        <v>253</v>
      </c>
      <c r="J9" s="1489">
        <v>1534</v>
      </c>
      <c r="K9" s="1489">
        <v>1276</v>
      </c>
      <c r="L9" s="1489">
        <v>244</v>
      </c>
      <c r="M9" s="1489">
        <v>1520</v>
      </c>
      <c r="N9" s="1489">
        <f>D9+J9</f>
        <v>7208</v>
      </c>
      <c r="O9" s="1489">
        <f t="shared" ref="O9" si="0">G9+M9</f>
        <v>7235</v>
      </c>
      <c r="P9" s="955" t="s">
        <v>1352</v>
      </c>
      <c r="Q9" s="1490"/>
    </row>
    <row r="10" spans="1:17" ht="15">
      <c r="A10" s="953" t="s">
        <v>30</v>
      </c>
      <c r="B10" s="1491">
        <v>2710</v>
      </c>
      <c r="C10" s="1491">
        <v>1748</v>
      </c>
      <c r="D10" s="1491">
        <v>4458</v>
      </c>
      <c r="E10" s="1491">
        <v>2724</v>
      </c>
      <c r="F10" s="1491">
        <v>1758</v>
      </c>
      <c r="G10" s="1491">
        <v>4482</v>
      </c>
      <c r="H10" s="1491">
        <v>584</v>
      </c>
      <c r="I10" s="1491">
        <v>141</v>
      </c>
      <c r="J10" s="1491">
        <v>725</v>
      </c>
      <c r="K10" s="1491">
        <v>586</v>
      </c>
      <c r="L10" s="1491">
        <v>136</v>
      </c>
      <c r="M10" s="1491">
        <v>722</v>
      </c>
      <c r="N10" s="1491">
        <f t="shared" ref="N10:N22" si="1">D10+J10</f>
        <v>5183</v>
      </c>
      <c r="O10" s="1491">
        <f>G10+M10</f>
        <v>5204</v>
      </c>
      <c r="P10" s="956" t="s">
        <v>31</v>
      </c>
      <c r="Q10" s="1490"/>
    </row>
    <row r="11" spans="1:17" ht="15">
      <c r="A11" s="953" t="s">
        <v>60</v>
      </c>
      <c r="B11" s="1491">
        <v>692</v>
      </c>
      <c r="C11" s="1491">
        <v>522</v>
      </c>
      <c r="D11" s="1491">
        <v>1214</v>
      </c>
      <c r="E11" s="1491">
        <v>693</v>
      </c>
      <c r="F11" s="1491">
        <v>538</v>
      </c>
      <c r="G11" s="1491">
        <v>1231</v>
      </c>
      <c r="H11" s="1491">
        <v>678</v>
      </c>
      <c r="I11" s="1491">
        <v>104</v>
      </c>
      <c r="J11" s="1491">
        <v>782</v>
      </c>
      <c r="K11" s="1491">
        <v>669</v>
      </c>
      <c r="L11" s="1491">
        <v>101</v>
      </c>
      <c r="M11" s="1491">
        <v>770</v>
      </c>
      <c r="N11" s="1491">
        <f t="shared" si="1"/>
        <v>1996</v>
      </c>
      <c r="O11" s="1491">
        <f t="shared" ref="O11:O22" si="2">G11+M11</f>
        <v>2001</v>
      </c>
      <c r="P11" s="956" t="s">
        <v>61</v>
      </c>
      <c r="Q11" s="1490"/>
    </row>
    <row r="12" spans="1:17" ht="15">
      <c r="A12" s="953" t="s">
        <v>1353</v>
      </c>
      <c r="B12" s="1491">
        <v>2</v>
      </c>
      <c r="C12" s="1491">
        <v>0</v>
      </c>
      <c r="D12" s="1491">
        <v>2</v>
      </c>
      <c r="E12" s="1491">
        <v>2</v>
      </c>
      <c r="F12" s="1491">
        <v>0</v>
      </c>
      <c r="G12" s="1491">
        <v>2</v>
      </c>
      <c r="H12" s="1491">
        <v>19</v>
      </c>
      <c r="I12" s="1491">
        <v>8</v>
      </c>
      <c r="J12" s="1491">
        <v>27</v>
      </c>
      <c r="K12" s="1491">
        <v>21</v>
      </c>
      <c r="L12" s="1491">
        <v>7</v>
      </c>
      <c r="M12" s="1491">
        <v>28</v>
      </c>
      <c r="N12" s="1491">
        <f t="shared" si="1"/>
        <v>29</v>
      </c>
      <c r="O12" s="1491">
        <f>G12+M12</f>
        <v>30</v>
      </c>
      <c r="P12" s="956" t="s">
        <v>1354</v>
      </c>
      <c r="Q12" s="1490"/>
    </row>
    <row r="13" spans="1:17" ht="18" customHeight="1">
      <c r="A13" s="952" t="s">
        <v>1355</v>
      </c>
      <c r="B13" s="1489">
        <v>2500</v>
      </c>
      <c r="C13" s="1489">
        <v>1567</v>
      </c>
      <c r="D13" s="1489">
        <v>4067</v>
      </c>
      <c r="E13" s="1489">
        <v>2514</v>
      </c>
      <c r="F13" s="1489">
        <v>1570</v>
      </c>
      <c r="G13" s="1489">
        <v>4084</v>
      </c>
      <c r="H13" s="1489">
        <v>2140</v>
      </c>
      <c r="I13" s="1489">
        <v>668</v>
      </c>
      <c r="J13" s="1489">
        <v>2808</v>
      </c>
      <c r="K13" s="1489">
        <v>2143</v>
      </c>
      <c r="L13" s="1489">
        <v>680</v>
      </c>
      <c r="M13" s="1489">
        <v>2823</v>
      </c>
      <c r="N13" s="1489">
        <f t="shared" si="1"/>
        <v>6875</v>
      </c>
      <c r="O13" s="1489">
        <f t="shared" si="2"/>
        <v>6907</v>
      </c>
      <c r="P13" s="955" t="s">
        <v>1356</v>
      </c>
      <c r="Q13" s="1490"/>
    </row>
    <row r="14" spans="1:17" ht="30">
      <c r="A14" s="953" t="s">
        <v>1357</v>
      </c>
      <c r="B14" s="1491">
        <v>694</v>
      </c>
      <c r="C14" s="1491">
        <v>486</v>
      </c>
      <c r="D14" s="1491">
        <v>1180</v>
      </c>
      <c r="E14" s="1491">
        <v>703</v>
      </c>
      <c r="F14" s="1491">
        <v>485</v>
      </c>
      <c r="G14" s="1491">
        <v>1188</v>
      </c>
      <c r="H14" s="1491">
        <v>261</v>
      </c>
      <c r="I14" s="1491">
        <v>97</v>
      </c>
      <c r="J14" s="1491">
        <v>358</v>
      </c>
      <c r="K14" s="1491">
        <v>270</v>
      </c>
      <c r="L14" s="1491">
        <v>98</v>
      </c>
      <c r="M14" s="1491">
        <v>368</v>
      </c>
      <c r="N14" s="1491">
        <f t="shared" si="1"/>
        <v>1538</v>
      </c>
      <c r="O14" s="1491">
        <f t="shared" si="2"/>
        <v>1556</v>
      </c>
      <c r="P14" s="956" t="s">
        <v>1358</v>
      </c>
      <c r="Q14" s="1490"/>
    </row>
    <row r="15" spans="1:17" ht="30">
      <c r="A15" s="953" t="s">
        <v>1359</v>
      </c>
      <c r="B15" s="1491">
        <v>275</v>
      </c>
      <c r="C15" s="1491">
        <v>263</v>
      </c>
      <c r="D15" s="1491">
        <v>538</v>
      </c>
      <c r="E15" s="1491">
        <v>277</v>
      </c>
      <c r="F15" s="1491">
        <v>269</v>
      </c>
      <c r="G15" s="1491">
        <v>546</v>
      </c>
      <c r="H15" s="1491">
        <v>278</v>
      </c>
      <c r="I15" s="1491">
        <v>149</v>
      </c>
      <c r="J15" s="1491">
        <v>427</v>
      </c>
      <c r="K15" s="1491">
        <v>282</v>
      </c>
      <c r="L15" s="1491">
        <v>153</v>
      </c>
      <c r="M15" s="1491">
        <v>435</v>
      </c>
      <c r="N15" s="1491">
        <f t="shared" si="1"/>
        <v>965</v>
      </c>
      <c r="O15" s="1491">
        <f t="shared" si="2"/>
        <v>981</v>
      </c>
      <c r="P15" s="956" t="s">
        <v>1360</v>
      </c>
      <c r="Q15" s="1490"/>
    </row>
    <row r="16" spans="1:17" ht="17.25" customHeight="1">
      <c r="A16" s="953" t="s">
        <v>1361</v>
      </c>
      <c r="B16" s="1491">
        <v>1158</v>
      </c>
      <c r="C16" s="1491">
        <v>597</v>
      </c>
      <c r="D16" s="1491">
        <v>1755</v>
      </c>
      <c r="E16" s="1491">
        <v>1160</v>
      </c>
      <c r="F16" s="1491">
        <v>600</v>
      </c>
      <c r="G16" s="1491">
        <v>1760</v>
      </c>
      <c r="H16" s="1491">
        <v>1357</v>
      </c>
      <c r="I16" s="1491">
        <v>357</v>
      </c>
      <c r="J16" s="1491">
        <v>1714</v>
      </c>
      <c r="K16" s="1491">
        <v>1354</v>
      </c>
      <c r="L16" s="1491">
        <v>356</v>
      </c>
      <c r="M16" s="1491">
        <v>1710</v>
      </c>
      <c r="N16" s="1491">
        <f t="shared" si="1"/>
        <v>3469</v>
      </c>
      <c r="O16" s="1491">
        <f>G16+M16</f>
        <v>3470</v>
      </c>
      <c r="P16" s="956" t="s">
        <v>1362</v>
      </c>
      <c r="Q16" s="1490"/>
    </row>
    <row r="17" spans="1:17" ht="30">
      <c r="A17" s="1092" t="s">
        <v>1363</v>
      </c>
      <c r="B17" s="1491">
        <v>237</v>
      </c>
      <c r="C17" s="1491">
        <v>72</v>
      </c>
      <c r="D17" s="1491">
        <v>309</v>
      </c>
      <c r="E17" s="1491">
        <v>243</v>
      </c>
      <c r="F17" s="1491">
        <v>72</v>
      </c>
      <c r="G17" s="1491">
        <v>315</v>
      </c>
      <c r="H17" s="1491">
        <v>856</v>
      </c>
      <c r="I17" s="1491">
        <v>257</v>
      </c>
      <c r="J17" s="1491">
        <v>1113</v>
      </c>
      <c r="K17" s="1491">
        <v>853</v>
      </c>
      <c r="L17" s="1491">
        <v>258</v>
      </c>
      <c r="M17" s="1491">
        <v>1111</v>
      </c>
      <c r="N17" s="1491">
        <f t="shared" si="1"/>
        <v>1422</v>
      </c>
      <c r="O17" s="1491">
        <f t="shared" si="2"/>
        <v>1426</v>
      </c>
      <c r="P17" s="957" t="s">
        <v>1364</v>
      </c>
      <c r="Q17" s="1490"/>
    </row>
    <row r="18" spans="1:17" ht="45">
      <c r="A18" s="954" t="s">
        <v>1365</v>
      </c>
      <c r="B18" s="1491">
        <v>439</v>
      </c>
      <c r="C18" s="1491">
        <v>320</v>
      </c>
      <c r="D18" s="1491">
        <v>759</v>
      </c>
      <c r="E18" s="1491">
        <v>443</v>
      </c>
      <c r="F18" s="1491">
        <v>324</v>
      </c>
      <c r="G18" s="1491">
        <v>767</v>
      </c>
      <c r="H18" s="1491">
        <v>123</v>
      </c>
      <c r="I18" s="1491">
        <v>26</v>
      </c>
      <c r="J18" s="1491">
        <v>149</v>
      </c>
      <c r="K18" s="1491">
        <v>120</v>
      </c>
      <c r="L18" s="1491">
        <v>25</v>
      </c>
      <c r="M18" s="1491">
        <v>145</v>
      </c>
      <c r="N18" s="1491">
        <f t="shared" si="1"/>
        <v>908</v>
      </c>
      <c r="O18" s="1491">
        <f t="shared" si="2"/>
        <v>912</v>
      </c>
      <c r="P18" s="958" t="s">
        <v>1366</v>
      </c>
      <c r="Q18" s="1490"/>
    </row>
    <row r="19" spans="1:17" ht="15">
      <c r="A19" s="953" t="s">
        <v>1367</v>
      </c>
      <c r="B19" s="1491">
        <v>109</v>
      </c>
      <c r="C19" s="1491">
        <v>70</v>
      </c>
      <c r="D19" s="1491">
        <v>179</v>
      </c>
      <c r="E19" s="1491">
        <v>109</v>
      </c>
      <c r="F19" s="1491">
        <v>67</v>
      </c>
      <c r="G19" s="1491">
        <v>176</v>
      </c>
      <c r="H19" s="1491">
        <v>29</v>
      </c>
      <c r="I19" s="1491">
        <v>7</v>
      </c>
      <c r="J19" s="1491">
        <v>36</v>
      </c>
      <c r="K19" s="1491">
        <v>30</v>
      </c>
      <c r="L19" s="1491">
        <v>9</v>
      </c>
      <c r="M19" s="1491">
        <v>39</v>
      </c>
      <c r="N19" s="1491">
        <f t="shared" si="1"/>
        <v>215</v>
      </c>
      <c r="O19" s="1491">
        <f t="shared" si="2"/>
        <v>215</v>
      </c>
      <c r="P19" s="956" t="s">
        <v>1368</v>
      </c>
      <c r="Q19" s="1490"/>
    </row>
    <row r="20" spans="1:17" ht="15">
      <c r="A20" s="953" t="s">
        <v>73</v>
      </c>
      <c r="B20" s="1491">
        <v>264</v>
      </c>
      <c r="C20" s="1491">
        <v>151</v>
      </c>
      <c r="D20" s="1491">
        <v>415</v>
      </c>
      <c r="E20" s="1491">
        <v>265</v>
      </c>
      <c r="F20" s="1491">
        <v>149</v>
      </c>
      <c r="G20" s="1491">
        <v>414</v>
      </c>
      <c r="H20" s="1491">
        <v>215</v>
      </c>
      <c r="I20" s="1491">
        <v>58</v>
      </c>
      <c r="J20" s="1491">
        <v>273</v>
      </c>
      <c r="K20" s="1491">
        <v>207</v>
      </c>
      <c r="L20" s="1491">
        <v>64</v>
      </c>
      <c r="M20" s="1491">
        <v>271</v>
      </c>
      <c r="N20" s="1491">
        <f t="shared" si="1"/>
        <v>688</v>
      </c>
      <c r="O20" s="1491">
        <f t="shared" si="2"/>
        <v>685</v>
      </c>
      <c r="P20" s="956" t="s">
        <v>74</v>
      </c>
      <c r="Q20" s="1490"/>
    </row>
    <row r="21" spans="1:17" ht="18" customHeight="1">
      <c r="A21" s="952" t="s">
        <v>1369</v>
      </c>
      <c r="B21" s="1489">
        <v>295</v>
      </c>
      <c r="C21" s="1489">
        <v>285</v>
      </c>
      <c r="D21" s="1489">
        <v>580</v>
      </c>
      <c r="E21" s="1489">
        <v>317</v>
      </c>
      <c r="F21" s="1489">
        <v>302</v>
      </c>
      <c r="G21" s="1489">
        <v>619</v>
      </c>
      <c r="H21" s="1489">
        <v>98</v>
      </c>
      <c r="I21" s="1489">
        <v>23</v>
      </c>
      <c r="J21" s="1489">
        <v>121</v>
      </c>
      <c r="K21" s="1489">
        <v>96</v>
      </c>
      <c r="L21" s="1489">
        <v>23</v>
      </c>
      <c r="M21" s="1489">
        <v>119</v>
      </c>
      <c r="N21" s="1489">
        <f t="shared" si="1"/>
        <v>701</v>
      </c>
      <c r="O21" s="1489">
        <f t="shared" si="2"/>
        <v>738</v>
      </c>
      <c r="P21" s="955" t="s">
        <v>1370</v>
      </c>
      <c r="Q21" s="1490"/>
    </row>
    <row r="22" spans="1:17" ht="18" customHeight="1">
      <c r="A22" s="952" t="s">
        <v>392</v>
      </c>
      <c r="B22" s="1489">
        <v>6199</v>
      </c>
      <c r="C22" s="1489">
        <v>4122</v>
      </c>
      <c r="D22" s="1489">
        <v>10321</v>
      </c>
      <c r="E22" s="1489">
        <v>6250</v>
      </c>
      <c r="F22" s="1489">
        <v>4168</v>
      </c>
      <c r="G22" s="1489">
        <v>10418</v>
      </c>
      <c r="H22" s="1489">
        <v>3519</v>
      </c>
      <c r="I22" s="1489">
        <v>944</v>
      </c>
      <c r="J22" s="1489">
        <v>4463</v>
      </c>
      <c r="K22" s="1489">
        <v>3515</v>
      </c>
      <c r="L22" s="1489">
        <v>947</v>
      </c>
      <c r="M22" s="1489">
        <v>4462</v>
      </c>
      <c r="N22" s="1489">
        <f t="shared" si="1"/>
        <v>14784</v>
      </c>
      <c r="O22" s="1489">
        <f t="shared" si="2"/>
        <v>14880</v>
      </c>
      <c r="P22" s="955" t="s">
        <v>382</v>
      </c>
      <c r="Q22" s="1492"/>
    </row>
    <row r="23" spans="1:17" ht="42" customHeight="1">
      <c r="A23" s="1493" t="s">
        <v>1739</v>
      </c>
      <c r="B23" s="1493"/>
      <c r="C23" s="1493"/>
      <c r="D23" s="1493"/>
      <c r="E23" s="1493"/>
      <c r="F23" s="1493"/>
      <c r="G23" s="1493"/>
      <c r="H23" s="1493"/>
      <c r="I23" s="1494" t="s">
        <v>1371</v>
      </c>
      <c r="J23" s="1494"/>
      <c r="K23" s="1494"/>
      <c r="L23" s="1494"/>
      <c r="M23" s="1494"/>
      <c r="N23" s="1494"/>
      <c r="O23" s="1494"/>
      <c r="P23" s="1494"/>
    </row>
    <row r="24" spans="1:17" ht="41.25" customHeight="1">
      <c r="A24" s="1495" t="s">
        <v>1740</v>
      </c>
      <c r="B24" s="1495"/>
      <c r="C24" s="1495"/>
      <c r="D24" s="1495"/>
      <c r="E24" s="1495"/>
      <c r="F24" s="1495"/>
      <c r="G24" s="1495"/>
      <c r="H24" s="1495"/>
      <c r="I24" s="1496" t="s">
        <v>1372</v>
      </c>
      <c r="J24" s="1496"/>
      <c r="K24" s="1496"/>
      <c r="L24" s="1496"/>
      <c r="M24" s="1496"/>
      <c r="N24" s="1496"/>
      <c r="O24" s="1496"/>
      <c r="P24" s="1496"/>
    </row>
    <row r="25" spans="1:17">
      <c r="A25" s="1497"/>
      <c r="B25" s="1497"/>
      <c r="C25" s="1497"/>
      <c r="D25" s="1497"/>
      <c r="E25" s="1497"/>
      <c r="F25" s="1497"/>
      <c r="G25" s="1497"/>
      <c r="H25" s="1497"/>
      <c r="I25" s="1498"/>
      <c r="J25" s="1498"/>
      <c r="K25" s="1498"/>
      <c r="L25" s="1498"/>
      <c r="M25" s="1498"/>
      <c r="N25" s="1498"/>
      <c r="O25" s="1498"/>
      <c r="P25" s="1498"/>
    </row>
    <row r="26" spans="1:17">
      <c r="A26" s="1499"/>
      <c r="B26" s="1499"/>
      <c r="C26" s="1499"/>
      <c r="D26" s="1499"/>
      <c r="E26" s="1499"/>
      <c r="F26" s="1499"/>
      <c r="G26" s="1499"/>
      <c r="H26" s="1499"/>
      <c r="I26" s="1499"/>
      <c r="J26" s="1499"/>
      <c r="K26" s="1499"/>
      <c r="L26" s="1499"/>
      <c r="M26" s="1499"/>
      <c r="N26" s="1499"/>
      <c r="O26" s="1499"/>
    </row>
    <row r="27" spans="1:17" s="148" customFormat="1" ht="15">
      <c r="A27" s="1425" t="s">
        <v>1373</v>
      </c>
      <c r="B27" s="387"/>
      <c r="C27" s="387"/>
      <c r="D27" s="387"/>
      <c r="E27" s="387"/>
      <c r="F27" s="387"/>
      <c r="G27" s="387"/>
      <c r="H27" s="387"/>
      <c r="I27" s="387"/>
      <c r="J27" s="387"/>
      <c r="K27" s="387"/>
      <c r="L27" s="387"/>
      <c r="M27" s="387"/>
      <c r="N27" s="387"/>
      <c r="O27" s="387"/>
      <c r="P27" s="387"/>
    </row>
  </sheetData>
  <mergeCells count="20">
    <mergeCell ref="A25:H25"/>
    <mergeCell ref="I23:P23"/>
    <mergeCell ref="I24:P24"/>
    <mergeCell ref="I25:P25"/>
    <mergeCell ref="O7:O8"/>
    <mergeCell ref="P5:P8"/>
    <mergeCell ref="A23:H23"/>
    <mergeCell ref="B6:D6"/>
    <mergeCell ref="A24:H24"/>
    <mergeCell ref="B5:D5"/>
    <mergeCell ref="E5:G5"/>
    <mergeCell ref="H5:J5"/>
    <mergeCell ref="K5:M5"/>
    <mergeCell ref="N7:N8"/>
    <mergeCell ref="H6:J6"/>
    <mergeCell ref="N5:O5"/>
    <mergeCell ref="K6:M6"/>
    <mergeCell ref="N6:O6"/>
    <mergeCell ref="E6:G6"/>
    <mergeCell ref="A5:A8"/>
  </mergeCells>
  <printOptions horizontalCentered="1"/>
  <pageMargins left="0.25" right="0.25" top="0.75" bottom="0.75" header="0.3" footer="0.3"/>
  <pageSetup scale="72"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4">
    <pageSetUpPr fitToPage="1"/>
  </sheetPr>
  <dimension ref="A1:V57"/>
  <sheetViews>
    <sheetView topLeftCell="G3" zoomScale="110" zoomScaleNormal="110" workbookViewId="0">
      <pane ySplit="5" topLeftCell="A43" activePane="bottomLeft" state="frozen"/>
      <selection activeCell="B2" sqref="B2"/>
      <selection pane="bottomLeft" activeCell="B2" sqref="B2"/>
    </sheetView>
  </sheetViews>
  <sheetFormatPr defaultColWidth="9.21875" defaultRowHeight="13.2"/>
  <cols>
    <col min="1" max="1" width="46.44140625" style="149" customWidth="1"/>
    <col min="2" max="6" width="10.44140625" style="149" hidden="1" customWidth="1"/>
    <col min="7" max="17" width="10.44140625" style="149" customWidth="1"/>
    <col min="18" max="18" width="36.77734375" style="149" customWidth="1"/>
    <col min="19" max="16384" width="9.21875" style="381"/>
  </cols>
  <sheetData>
    <row r="1" spans="1:20" ht="18" customHeight="1">
      <c r="A1" s="1423" t="s">
        <v>1737</v>
      </c>
      <c r="B1" s="1424"/>
      <c r="C1" s="1424"/>
      <c r="D1" s="1424"/>
      <c r="E1" s="1424"/>
      <c r="F1" s="1424"/>
      <c r="G1" s="1424"/>
      <c r="H1" s="1424"/>
      <c r="I1" s="1424"/>
      <c r="J1" s="1424"/>
      <c r="K1" s="1424"/>
      <c r="L1" s="1424"/>
      <c r="M1" s="1424"/>
      <c r="N1" s="1424"/>
      <c r="O1" s="1424"/>
      <c r="P1" s="1424"/>
      <c r="Q1" s="1424"/>
      <c r="R1" s="1425"/>
    </row>
    <row r="2" spans="1:20" ht="16.8">
      <c r="A2" s="1426" t="s">
        <v>1374</v>
      </c>
      <c r="B2" s="1427"/>
      <c r="C2" s="1427"/>
      <c r="D2" s="1427"/>
      <c r="E2" s="1427"/>
      <c r="F2" s="1427"/>
      <c r="G2" s="1427"/>
      <c r="H2" s="1427"/>
      <c r="I2" s="1427"/>
      <c r="J2" s="1427"/>
      <c r="K2" s="1427"/>
      <c r="L2" s="1427"/>
      <c r="M2" s="1427"/>
      <c r="N2" s="1427"/>
      <c r="O2" s="1427"/>
      <c r="P2" s="1427"/>
      <c r="Q2" s="1427"/>
      <c r="R2" s="1425"/>
    </row>
    <row r="3" spans="1:20" ht="16.8">
      <c r="A3" s="1369" t="s">
        <v>99</v>
      </c>
      <c r="B3" s="1427"/>
      <c r="C3" s="1427"/>
      <c r="D3" s="1427"/>
      <c r="E3" s="1427"/>
      <c r="F3" s="1427"/>
      <c r="G3" s="1427"/>
      <c r="H3" s="1427"/>
      <c r="I3" s="1427"/>
      <c r="J3" s="1427"/>
      <c r="K3" s="1427"/>
      <c r="L3" s="1427"/>
      <c r="M3" s="1427"/>
      <c r="N3" s="1427"/>
      <c r="O3" s="1427"/>
      <c r="P3" s="1427"/>
      <c r="Q3" s="1427"/>
      <c r="R3" s="1425"/>
    </row>
    <row r="4" spans="1:20" ht="13.8">
      <c r="A4" s="149" t="s">
        <v>369</v>
      </c>
      <c r="R4" s="360" t="s">
        <v>370</v>
      </c>
    </row>
    <row r="5" spans="1:20">
      <c r="A5" s="1428" t="s">
        <v>1375</v>
      </c>
      <c r="B5" s="1429">
        <v>2023</v>
      </c>
      <c r="C5" s="1430">
        <v>2023</v>
      </c>
      <c r="D5" s="1430"/>
      <c r="E5" s="1430"/>
      <c r="F5" s="1430"/>
      <c r="G5" s="1429">
        <v>2024</v>
      </c>
      <c r="H5" s="1431">
        <v>2024</v>
      </c>
      <c r="I5" s="1432"/>
      <c r="J5" s="1432"/>
      <c r="K5" s="1433"/>
      <c r="L5" s="1429" t="s">
        <v>1376</v>
      </c>
      <c r="M5" s="1434" t="s">
        <v>1376</v>
      </c>
      <c r="N5" s="1435"/>
      <c r="O5" s="1435"/>
      <c r="P5" s="1436"/>
      <c r="Q5" s="1437" t="s">
        <v>1714</v>
      </c>
      <c r="R5" s="1438" t="s">
        <v>1377</v>
      </c>
    </row>
    <row r="6" spans="1:20">
      <c r="A6" s="1439"/>
      <c r="B6" s="1440"/>
      <c r="C6" s="1441" t="s">
        <v>1378</v>
      </c>
      <c r="D6" s="1442" t="s">
        <v>1379</v>
      </c>
      <c r="E6" s="1441" t="s">
        <v>1380</v>
      </c>
      <c r="F6" s="1442" t="s">
        <v>1381</v>
      </c>
      <c r="G6" s="1440"/>
      <c r="H6" s="1441" t="s">
        <v>1378</v>
      </c>
      <c r="I6" s="1442" t="s">
        <v>1379</v>
      </c>
      <c r="J6" s="1441" t="s">
        <v>1380</v>
      </c>
      <c r="K6" s="1442" t="s">
        <v>1381</v>
      </c>
      <c r="L6" s="1440"/>
      <c r="M6" s="1441" t="s">
        <v>1378</v>
      </c>
      <c r="N6" s="1442" t="s">
        <v>1379</v>
      </c>
      <c r="O6" s="1441" t="s">
        <v>1380</v>
      </c>
      <c r="P6" s="1441" t="s">
        <v>1381</v>
      </c>
      <c r="Q6" s="1441" t="s">
        <v>1378</v>
      </c>
      <c r="R6" s="1443"/>
    </row>
    <row r="7" spans="1:20">
      <c r="A7" s="1444"/>
      <c r="B7" s="1445"/>
      <c r="C7" s="799" t="s">
        <v>239</v>
      </c>
      <c r="D7" s="799" t="s">
        <v>240</v>
      </c>
      <c r="E7" s="799" t="s">
        <v>237</v>
      </c>
      <c r="F7" s="799" t="s">
        <v>238</v>
      </c>
      <c r="G7" s="1445"/>
      <c r="H7" s="799" t="s">
        <v>239</v>
      </c>
      <c r="I7" s="799" t="s">
        <v>240</v>
      </c>
      <c r="J7" s="799" t="s">
        <v>237</v>
      </c>
      <c r="K7" s="799" t="s">
        <v>238</v>
      </c>
      <c r="L7" s="1445"/>
      <c r="M7" s="799" t="s">
        <v>239</v>
      </c>
      <c r="N7" s="799" t="s">
        <v>240</v>
      </c>
      <c r="O7" s="799" t="s">
        <v>237</v>
      </c>
      <c r="P7" s="799" t="s">
        <v>238</v>
      </c>
      <c r="Q7" s="799" t="s">
        <v>239</v>
      </c>
      <c r="R7" s="1446"/>
    </row>
    <row r="8" spans="1:20" ht="30.75" customHeight="1">
      <c r="A8" s="1447" t="s">
        <v>1382</v>
      </c>
      <c r="B8" s="1448">
        <f t="shared" ref="B8:B10" si="0">SUM(C8:F8)</f>
        <v>1015.0000000000002</v>
      </c>
      <c r="C8" s="1449">
        <f t="shared" ref="C8:O8" si="1">C9+C16+C27+C34</f>
        <v>226.40000000000035</v>
      </c>
      <c r="D8" s="1449">
        <f t="shared" si="1"/>
        <v>215.80000000000024</v>
      </c>
      <c r="E8" s="1449">
        <f t="shared" si="1"/>
        <v>326.5999999999998</v>
      </c>
      <c r="F8" s="1449">
        <f t="shared" si="1"/>
        <v>246.19999999999982</v>
      </c>
      <c r="G8" s="1448">
        <f t="shared" ref="G8:G10" si="2">SUM(H8:K8)</f>
        <v>858</v>
      </c>
      <c r="H8" s="1449">
        <f t="shared" si="1"/>
        <v>208.20000000000022</v>
      </c>
      <c r="I8" s="1449">
        <f t="shared" si="1"/>
        <v>252.59999999999985</v>
      </c>
      <c r="J8" s="1449">
        <f t="shared" si="1"/>
        <v>148.59999999999988</v>
      </c>
      <c r="K8" s="1449">
        <f t="shared" si="1"/>
        <v>248.60000000000002</v>
      </c>
      <c r="L8" s="1449">
        <f>SUM(M8:P8)</f>
        <v>1061.100000000001</v>
      </c>
      <c r="M8" s="1449">
        <f t="shared" si="1"/>
        <v>269.69999999999993</v>
      </c>
      <c r="N8" s="1449">
        <f t="shared" si="1"/>
        <v>172.89999999999986</v>
      </c>
      <c r="O8" s="1449">
        <f t="shared" si="1"/>
        <v>305.85000000000082</v>
      </c>
      <c r="P8" s="1449">
        <f>P9+P16+P27+P34-0.1</f>
        <v>312.65000000000038</v>
      </c>
      <c r="Q8" s="1449">
        <f>Q9+Q16+Q27+Q34</f>
        <v>258.00000000000034</v>
      </c>
      <c r="R8" s="1450" t="s">
        <v>1383</v>
      </c>
    </row>
    <row r="9" spans="1:20" ht="13.8">
      <c r="A9" s="1451" t="s">
        <v>1384</v>
      </c>
      <c r="B9" s="1452">
        <f t="shared" si="0"/>
        <v>1693</v>
      </c>
      <c r="C9" s="1452">
        <f t="shared" ref="C9:P9" si="3">C10+C13</f>
        <v>376.60000000000036</v>
      </c>
      <c r="D9" s="1452">
        <f t="shared" si="3"/>
        <v>361.40000000000009</v>
      </c>
      <c r="E9" s="1452">
        <f t="shared" si="3"/>
        <v>528.69999999999982</v>
      </c>
      <c r="F9" s="1452">
        <f t="shared" si="3"/>
        <v>426.29999999999973</v>
      </c>
      <c r="G9" s="1452">
        <f t="shared" si="2"/>
        <v>1356.6000000000001</v>
      </c>
      <c r="H9" s="1452">
        <f t="shared" si="3"/>
        <v>349.20000000000027</v>
      </c>
      <c r="I9" s="1452">
        <f t="shared" si="3"/>
        <v>386.09999999999991</v>
      </c>
      <c r="J9" s="1452">
        <f t="shared" si="3"/>
        <v>278.09999999999991</v>
      </c>
      <c r="K9" s="1452">
        <f t="shared" si="3"/>
        <v>343.20000000000005</v>
      </c>
      <c r="L9" s="1453">
        <f t="shared" ref="L9:L50" si="4">SUM(M9:P9)</f>
        <v>1159.4500000000005</v>
      </c>
      <c r="M9" s="1452">
        <f t="shared" si="3"/>
        <v>308.99999999999977</v>
      </c>
      <c r="N9" s="1452">
        <f t="shared" si="3"/>
        <v>201.90000000000009</v>
      </c>
      <c r="O9" s="1452">
        <f t="shared" si="3"/>
        <v>363.85000000000036</v>
      </c>
      <c r="P9" s="1452">
        <f t="shared" si="3"/>
        <v>284.70000000000027</v>
      </c>
      <c r="Q9" s="1452">
        <f t="shared" ref="Q9" si="5">Q10+Q13</f>
        <v>279.30000000000018</v>
      </c>
      <c r="R9" s="1454" t="s">
        <v>1385</v>
      </c>
      <c r="S9" s="1088"/>
    </row>
    <row r="10" spans="1:20" ht="13.8">
      <c r="A10" s="1455" t="s">
        <v>1386</v>
      </c>
      <c r="B10" s="1452">
        <f t="shared" si="0"/>
        <v>9329.9</v>
      </c>
      <c r="C10" s="1452">
        <f t="shared" ref="C10:P10" si="6">C11+C12</f>
        <v>2188.8000000000002</v>
      </c>
      <c r="D10" s="1452">
        <f t="shared" si="6"/>
        <v>2267</v>
      </c>
      <c r="E10" s="1452">
        <f t="shared" si="6"/>
        <v>2443.1999999999998</v>
      </c>
      <c r="F10" s="1452">
        <f t="shared" si="6"/>
        <v>2430.8999999999996</v>
      </c>
      <c r="G10" s="1452">
        <f t="shared" si="2"/>
        <v>9128.7000000000007</v>
      </c>
      <c r="H10" s="1452">
        <f t="shared" si="6"/>
        <v>2363.8000000000002</v>
      </c>
      <c r="I10" s="1452">
        <f t="shared" si="6"/>
        <v>2292.6999999999998</v>
      </c>
      <c r="J10" s="1452">
        <f t="shared" si="6"/>
        <v>2202.6999999999998</v>
      </c>
      <c r="K10" s="1452">
        <f t="shared" si="6"/>
        <v>2269.5</v>
      </c>
      <c r="L10" s="1453">
        <f t="shared" si="4"/>
        <v>9291.7000000000007</v>
      </c>
      <c r="M10" s="1452">
        <f t="shared" si="6"/>
        <v>2303.6999999999998</v>
      </c>
      <c r="N10" s="1452">
        <f t="shared" si="6"/>
        <v>2088.8000000000002</v>
      </c>
      <c r="O10" s="1452">
        <f t="shared" si="6"/>
        <v>2358.8000000000002</v>
      </c>
      <c r="P10" s="1452">
        <f t="shared" si="6"/>
        <v>2540.4</v>
      </c>
      <c r="Q10" s="1452">
        <f t="shared" ref="Q10" si="7">Q11+Q12</f>
        <v>2004</v>
      </c>
      <c r="R10" s="1456" t="s">
        <v>1387</v>
      </c>
    </row>
    <row r="11" spans="1:20" ht="13.8">
      <c r="A11" s="1457" t="s">
        <v>1388</v>
      </c>
      <c r="B11" s="1452">
        <f>SUM(C11:F11)</f>
        <v>4664.8999999999996</v>
      </c>
      <c r="C11" s="1453">
        <v>998.1</v>
      </c>
      <c r="D11" s="1458">
        <v>1120</v>
      </c>
      <c r="E11" s="1458">
        <v>1316</v>
      </c>
      <c r="F11" s="1458">
        <v>1230.8</v>
      </c>
      <c r="G11" s="1452">
        <f>SUM(H11:K11)</f>
        <v>4451.7999999999993</v>
      </c>
      <c r="H11" s="1453">
        <v>1140</v>
      </c>
      <c r="I11" s="1453">
        <v>1192.7</v>
      </c>
      <c r="J11" s="1453">
        <v>1063.5999999999999</v>
      </c>
      <c r="K11" s="1453">
        <v>1055.5</v>
      </c>
      <c r="L11" s="1453">
        <f t="shared" si="4"/>
        <v>4361.3999999999996</v>
      </c>
      <c r="M11" s="1453">
        <v>1083.5</v>
      </c>
      <c r="N11" s="1453">
        <v>897.2</v>
      </c>
      <c r="O11" s="1453">
        <v>1113.7</v>
      </c>
      <c r="P11" s="1453">
        <v>1267</v>
      </c>
      <c r="Q11" s="1453">
        <v>926.8</v>
      </c>
      <c r="R11" s="1459" t="s">
        <v>1389</v>
      </c>
    </row>
    <row r="12" spans="1:20" ht="13.8">
      <c r="A12" s="1457" t="s">
        <v>1390</v>
      </c>
      <c r="B12" s="1452">
        <f t="shared" ref="B12:B13" si="8">SUM(C12:F12)</f>
        <v>4665</v>
      </c>
      <c r="C12" s="1453">
        <v>1190.7</v>
      </c>
      <c r="D12" s="1458">
        <v>1147</v>
      </c>
      <c r="E12" s="1458">
        <v>1127.2</v>
      </c>
      <c r="F12" s="1458">
        <v>1200.0999999999999</v>
      </c>
      <c r="G12" s="1452">
        <f t="shared" ref="G12:G13" si="9">SUM(H12:K12)</f>
        <v>4676.8999999999996</v>
      </c>
      <c r="H12" s="1453">
        <v>1223.8</v>
      </c>
      <c r="I12" s="1453">
        <v>1100</v>
      </c>
      <c r="J12" s="1453">
        <v>1139.0999999999999</v>
      </c>
      <c r="K12" s="1453">
        <v>1214</v>
      </c>
      <c r="L12" s="1453">
        <f t="shared" si="4"/>
        <v>4930.3</v>
      </c>
      <c r="M12" s="1453">
        <v>1220.2</v>
      </c>
      <c r="N12" s="1453">
        <v>1191.5999999999999</v>
      </c>
      <c r="O12" s="1453">
        <v>1245.0999999999999</v>
      </c>
      <c r="P12" s="1453">
        <v>1273.4000000000001</v>
      </c>
      <c r="Q12" s="1453">
        <v>1077.2</v>
      </c>
      <c r="R12" s="1459" t="s">
        <v>1391</v>
      </c>
    </row>
    <row r="13" spans="1:20" ht="13.8">
      <c r="A13" s="1455" t="s">
        <v>1392</v>
      </c>
      <c r="B13" s="1452">
        <f t="shared" si="8"/>
        <v>-7636.9</v>
      </c>
      <c r="C13" s="1453">
        <f t="shared" ref="C13:P13" si="10">SUM(C14:C15)</f>
        <v>-1812.1999999999998</v>
      </c>
      <c r="D13" s="1453">
        <f t="shared" si="10"/>
        <v>-1905.6</v>
      </c>
      <c r="E13" s="1453">
        <f t="shared" si="10"/>
        <v>-1914.5</v>
      </c>
      <c r="F13" s="1453">
        <f t="shared" si="10"/>
        <v>-2004.6</v>
      </c>
      <c r="G13" s="1452">
        <f t="shared" si="9"/>
        <v>-7772.0999999999995</v>
      </c>
      <c r="H13" s="1453">
        <f t="shared" si="10"/>
        <v>-2014.6</v>
      </c>
      <c r="I13" s="1453">
        <f t="shared" si="10"/>
        <v>-1906.6</v>
      </c>
      <c r="J13" s="1453">
        <f t="shared" si="10"/>
        <v>-1924.6</v>
      </c>
      <c r="K13" s="1453">
        <f t="shared" si="10"/>
        <v>-1926.3</v>
      </c>
      <c r="L13" s="1453">
        <f t="shared" si="4"/>
        <v>-8132.25</v>
      </c>
      <c r="M13" s="1453">
        <f t="shared" si="10"/>
        <v>-1994.7</v>
      </c>
      <c r="N13" s="1453">
        <f t="shared" si="10"/>
        <v>-1886.9</v>
      </c>
      <c r="O13" s="1453">
        <f t="shared" si="10"/>
        <v>-1994.9499999999998</v>
      </c>
      <c r="P13" s="1453">
        <f t="shared" si="10"/>
        <v>-2255.6999999999998</v>
      </c>
      <c r="Q13" s="1453">
        <f t="shared" ref="Q13" si="11">SUM(Q14:Q15)</f>
        <v>-1724.6999999999998</v>
      </c>
      <c r="R13" s="1456" t="s">
        <v>1393</v>
      </c>
    </row>
    <row r="14" spans="1:20" ht="13.8">
      <c r="A14" s="1457" t="s">
        <v>1388</v>
      </c>
      <c r="B14" s="1452">
        <f>SUM(C14:F14)</f>
        <v>-2436.7000000000003</v>
      </c>
      <c r="C14" s="1453">
        <v>-524.1</v>
      </c>
      <c r="D14" s="1458">
        <v>-583.6</v>
      </c>
      <c r="E14" s="1458">
        <v>-652.6</v>
      </c>
      <c r="F14" s="1458">
        <v>-676.4</v>
      </c>
      <c r="G14" s="1452">
        <f>SUM(H14:K14)</f>
        <v>-2515.1</v>
      </c>
      <c r="H14" s="1453">
        <v>-667.1</v>
      </c>
      <c r="I14" s="1453">
        <v>-637.9</v>
      </c>
      <c r="J14" s="1453">
        <v>-625.79999999999995</v>
      </c>
      <c r="K14" s="1453">
        <v>-584.29999999999995</v>
      </c>
      <c r="L14" s="1453">
        <f t="shared" si="4"/>
        <v>-2565.4</v>
      </c>
      <c r="M14" s="1453">
        <v>-620.79999999999995</v>
      </c>
      <c r="N14" s="1453">
        <v>-510.1</v>
      </c>
      <c r="O14" s="1453">
        <v>-643.6</v>
      </c>
      <c r="P14" s="1453">
        <v>-790.90000000000009</v>
      </c>
      <c r="Q14" s="1453">
        <v>-579.9</v>
      </c>
      <c r="R14" s="1459" t="s">
        <v>1389</v>
      </c>
    </row>
    <row r="15" spans="1:20" ht="13.8">
      <c r="A15" s="1457" t="s">
        <v>1390</v>
      </c>
      <c r="B15" s="1452">
        <f>SUM(C15:F15)</f>
        <v>-5200.2</v>
      </c>
      <c r="C15" s="1453">
        <v>-1288.0999999999999</v>
      </c>
      <c r="D15" s="1458">
        <v>-1322</v>
      </c>
      <c r="E15" s="1458">
        <v>-1261.9000000000001</v>
      </c>
      <c r="F15" s="1458">
        <v>-1328.2</v>
      </c>
      <c r="G15" s="1452">
        <f>SUM(H15:K15)</f>
        <v>-5257</v>
      </c>
      <c r="H15" s="1453">
        <v>-1347.5</v>
      </c>
      <c r="I15" s="1453">
        <v>-1268.7</v>
      </c>
      <c r="J15" s="1453">
        <v>-1298.8</v>
      </c>
      <c r="K15" s="1453">
        <v>-1342</v>
      </c>
      <c r="L15" s="1453">
        <f t="shared" si="4"/>
        <v>-5566.8499999999995</v>
      </c>
      <c r="M15" s="1453">
        <v>-1373.9</v>
      </c>
      <c r="N15" s="1453">
        <v>-1376.8</v>
      </c>
      <c r="O15" s="1453">
        <v>-1351.35</v>
      </c>
      <c r="P15" s="1453">
        <v>-1464.8</v>
      </c>
      <c r="Q15" s="1453">
        <v>-1144.8</v>
      </c>
      <c r="R15" s="1459" t="s">
        <v>1391</v>
      </c>
    </row>
    <row r="16" spans="1:20" ht="30" customHeight="1">
      <c r="A16" s="1451" t="s">
        <v>1394</v>
      </c>
      <c r="B16" s="1452">
        <f>SUM(C16:F16)</f>
        <v>1303.8000000000002</v>
      </c>
      <c r="C16" s="1453">
        <f t="shared" ref="C16:P16" si="12">SUM(C17:C18)</f>
        <v>291.79999999999995</v>
      </c>
      <c r="D16" s="1453">
        <f t="shared" si="12"/>
        <v>316.10000000000014</v>
      </c>
      <c r="E16" s="1453">
        <f t="shared" si="12"/>
        <v>319.79999999999995</v>
      </c>
      <c r="F16" s="1453">
        <f t="shared" si="12"/>
        <v>376.10000000000014</v>
      </c>
      <c r="G16" s="1452">
        <f>SUM(H16:K16)</f>
        <v>1748.8</v>
      </c>
      <c r="H16" s="1453">
        <f t="shared" si="12"/>
        <v>389.09999999999991</v>
      </c>
      <c r="I16" s="1453">
        <f t="shared" si="12"/>
        <v>428.29999999999995</v>
      </c>
      <c r="J16" s="1453">
        <f t="shared" si="12"/>
        <v>434.20000000000005</v>
      </c>
      <c r="K16" s="1453">
        <f t="shared" si="12"/>
        <v>497.20000000000005</v>
      </c>
      <c r="L16" s="1453">
        <f t="shared" si="4"/>
        <v>2152</v>
      </c>
      <c r="M16" s="1453">
        <f t="shared" si="12"/>
        <v>507.90000000000009</v>
      </c>
      <c r="N16" s="1453">
        <f t="shared" si="12"/>
        <v>527.19999999999982</v>
      </c>
      <c r="O16" s="1453">
        <f t="shared" si="12"/>
        <v>523.70000000000027</v>
      </c>
      <c r="P16" s="1453">
        <f t="shared" si="12"/>
        <v>593.20000000000005</v>
      </c>
      <c r="Q16" s="1453">
        <f t="shared" ref="Q16" si="13">SUM(Q17:Q18)</f>
        <v>467.10000000000014</v>
      </c>
      <c r="R16" s="1454" t="s">
        <v>1395</v>
      </c>
      <c r="T16" s="1088"/>
    </row>
    <row r="17" spans="1:22" s="1463" customFormat="1" ht="13.8">
      <c r="A17" s="1460" t="s">
        <v>1396</v>
      </c>
      <c r="B17" s="1453">
        <f t="shared" ref="B17:B34" si="14">SUM(C17:F17)</f>
        <v>5841.5</v>
      </c>
      <c r="C17" s="1453">
        <v>1320.6</v>
      </c>
      <c r="D17" s="1458">
        <v>1432.2</v>
      </c>
      <c r="E17" s="1458">
        <v>1443.8</v>
      </c>
      <c r="F17" s="1458">
        <v>1644.9</v>
      </c>
      <c r="G17" s="1453">
        <f t="shared" ref="G17:G34" si="15">SUM(H17:K17)</f>
        <v>6401.4000000000005</v>
      </c>
      <c r="H17" s="1453">
        <v>1549.6</v>
      </c>
      <c r="I17" s="1453">
        <v>1565.5</v>
      </c>
      <c r="J17" s="1453">
        <v>1606.5</v>
      </c>
      <c r="K17" s="1453">
        <v>1679.8</v>
      </c>
      <c r="L17" s="1453">
        <f t="shared" si="4"/>
        <v>7027.6</v>
      </c>
      <c r="M17" s="1453">
        <v>1712.2</v>
      </c>
      <c r="N17" s="1453">
        <v>1741.6</v>
      </c>
      <c r="O17" s="1453">
        <v>1746.4</v>
      </c>
      <c r="P17" s="1453">
        <v>1827.4</v>
      </c>
      <c r="Q17" s="1453">
        <v>1398.6000000000001</v>
      </c>
      <c r="R17" s="1461" t="s">
        <v>1397</v>
      </c>
      <c r="S17" s="1462"/>
      <c r="T17" s="1462"/>
      <c r="U17" s="1462"/>
    </row>
    <row r="18" spans="1:22" s="1463" customFormat="1" ht="13.8">
      <c r="A18" s="1460" t="s">
        <v>1398</v>
      </c>
      <c r="B18" s="1453">
        <f t="shared" si="14"/>
        <v>-4537.7</v>
      </c>
      <c r="C18" s="1453">
        <v>-1028.8</v>
      </c>
      <c r="D18" s="1458">
        <v>-1116.0999999999999</v>
      </c>
      <c r="E18" s="1458">
        <v>-1124</v>
      </c>
      <c r="F18" s="1458">
        <v>-1268.8</v>
      </c>
      <c r="G18" s="1453">
        <f t="shared" si="15"/>
        <v>-4652.6000000000004</v>
      </c>
      <c r="H18" s="1453">
        <v>-1160.5</v>
      </c>
      <c r="I18" s="1453">
        <v>-1137.2</v>
      </c>
      <c r="J18" s="1453">
        <v>-1172.3</v>
      </c>
      <c r="K18" s="1453">
        <v>-1182.5999999999999</v>
      </c>
      <c r="L18" s="1453">
        <f t="shared" si="4"/>
        <v>-4875.5999999999995</v>
      </c>
      <c r="M18" s="1453">
        <v>-1204.3</v>
      </c>
      <c r="N18" s="1453">
        <v>-1214.4000000000001</v>
      </c>
      <c r="O18" s="1453">
        <v>-1222.6999999999998</v>
      </c>
      <c r="P18" s="1453">
        <v>-1234.2</v>
      </c>
      <c r="Q18" s="1453">
        <v>-931.5</v>
      </c>
      <c r="R18" s="1461" t="s">
        <v>1399</v>
      </c>
      <c r="U18" s="1462"/>
      <c r="V18" s="1462"/>
    </row>
    <row r="19" spans="1:22" s="1463" customFormat="1" ht="13.8">
      <c r="A19" s="1464" t="s">
        <v>1400</v>
      </c>
      <c r="B19" s="1453">
        <f t="shared" si="14"/>
        <v>93</v>
      </c>
      <c r="C19" s="1453">
        <v>21.8</v>
      </c>
      <c r="D19" s="1458">
        <v>25.3</v>
      </c>
      <c r="E19" s="1458">
        <v>20.2</v>
      </c>
      <c r="F19" s="1458">
        <v>25.7</v>
      </c>
      <c r="G19" s="1453">
        <f t="shared" si="15"/>
        <v>82.300000000000011</v>
      </c>
      <c r="H19" s="1453">
        <v>19.8</v>
      </c>
      <c r="I19" s="1453">
        <v>23.6</v>
      </c>
      <c r="J19" s="1453">
        <v>15.3</v>
      </c>
      <c r="K19" s="1453">
        <v>23.6</v>
      </c>
      <c r="L19" s="1453">
        <f t="shared" si="4"/>
        <v>112.89999999999999</v>
      </c>
      <c r="M19" s="1453">
        <v>26.9</v>
      </c>
      <c r="N19" s="1453">
        <v>27.1</v>
      </c>
      <c r="O19" s="1453">
        <v>27.1</v>
      </c>
      <c r="P19" s="1453">
        <v>31.8</v>
      </c>
      <c r="Q19" s="1453">
        <v>25</v>
      </c>
      <c r="R19" s="1465" t="s">
        <v>1401</v>
      </c>
      <c r="S19" s="1462"/>
      <c r="T19" s="1462"/>
    </row>
    <row r="20" spans="1:22" ht="13.8">
      <c r="A20" s="1464" t="s">
        <v>1402</v>
      </c>
      <c r="B20" s="1453">
        <f t="shared" si="14"/>
        <v>-834.3</v>
      </c>
      <c r="C20" s="1453">
        <v>-200.6</v>
      </c>
      <c r="D20" s="1458">
        <v>-205.8</v>
      </c>
      <c r="E20" s="1458">
        <v>-209.5</v>
      </c>
      <c r="F20" s="1458">
        <v>-218.4</v>
      </c>
      <c r="G20" s="1453">
        <f t="shared" si="15"/>
        <v>-648.6</v>
      </c>
      <c r="H20" s="1453">
        <v>-178.9</v>
      </c>
      <c r="I20" s="1453">
        <v>-154.19999999999999</v>
      </c>
      <c r="J20" s="1453">
        <v>-162.80000000000001</v>
      </c>
      <c r="K20" s="1453">
        <v>-152.69999999999999</v>
      </c>
      <c r="L20" s="1453">
        <f t="shared" si="4"/>
        <v>-567.90000000000009</v>
      </c>
      <c r="M20" s="1453">
        <v>-147.80000000000001</v>
      </c>
      <c r="N20" s="1453">
        <v>-135.80000000000001</v>
      </c>
      <c r="O20" s="1453">
        <v>-148.70000000000005</v>
      </c>
      <c r="P20" s="1453">
        <v>-135.60000000000002</v>
      </c>
      <c r="Q20" s="1453">
        <v>-98.5</v>
      </c>
      <c r="R20" s="1465" t="s">
        <v>1403</v>
      </c>
    </row>
    <row r="21" spans="1:22" ht="13.8">
      <c r="A21" s="1464" t="s">
        <v>1404</v>
      </c>
      <c r="B21" s="1453">
        <f t="shared" si="14"/>
        <v>1310.8000000000002</v>
      </c>
      <c r="C21" s="1453">
        <v>289.2</v>
      </c>
      <c r="D21" s="1458">
        <v>312.3</v>
      </c>
      <c r="E21" s="1458">
        <v>327.2</v>
      </c>
      <c r="F21" s="1458">
        <v>382.1</v>
      </c>
      <c r="G21" s="1453">
        <f t="shared" si="15"/>
        <v>1534.5</v>
      </c>
      <c r="H21" s="1453">
        <v>358.5</v>
      </c>
      <c r="I21" s="1453">
        <v>367</v>
      </c>
      <c r="J21" s="1453">
        <v>381.5</v>
      </c>
      <c r="K21" s="1453">
        <v>427.5</v>
      </c>
      <c r="L21" s="1453">
        <f t="shared" si="4"/>
        <v>1784</v>
      </c>
      <c r="M21" s="1453">
        <v>421.70000000000005</v>
      </c>
      <c r="N21" s="1453">
        <v>430.3</v>
      </c>
      <c r="O21" s="1453">
        <v>439.6</v>
      </c>
      <c r="P21" s="1453">
        <v>492.40000000000003</v>
      </c>
      <c r="Q21" s="1453">
        <v>367.9</v>
      </c>
      <c r="R21" s="1465" t="s">
        <v>1405</v>
      </c>
    </row>
    <row r="22" spans="1:22" ht="13.8">
      <c r="A22" s="1464" t="s">
        <v>1406</v>
      </c>
      <c r="B22" s="1453">
        <f t="shared" si="14"/>
        <v>2.7</v>
      </c>
      <c r="C22" s="1453">
        <v>0.5</v>
      </c>
      <c r="D22" s="1458">
        <v>0.6</v>
      </c>
      <c r="E22" s="1458">
        <v>0.7</v>
      </c>
      <c r="F22" s="1458">
        <v>0.9</v>
      </c>
      <c r="G22" s="1453">
        <f t="shared" si="15"/>
        <v>4.2</v>
      </c>
      <c r="H22" s="1453">
        <v>0.8</v>
      </c>
      <c r="I22" s="1453">
        <v>1.1000000000000001</v>
      </c>
      <c r="J22" s="1453">
        <v>1.2</v>
      </c>
      <c r="K22" s="1453">
        <v>1.1000000000000001</v>
      </c>
      <c r="L22" s="1453">
        <f t="shared" si="4"/>
        <v>4.9000000000000004</v>
      </c>
      <c r="M22" s="1453">
        <v>1.1000000000000001</v>
      </c>
      <c r="N22" s="1453">
        <v>1.3</v>
      </c>
      <c r="O22" s="1453">
        <v>1.3</v>
      </c>
      <c r="P22" s="1453">
        <v>1.2</v>
      </c>
      <c r="Q22" s="1453">
        <v>1.3</v>
      </c>
      <c r="R22" s="1465" t="s">
        <v>1407</v>
      </c>
    </row>
    <row r="23" spans="1:22" ht="13.8">
      <c r="A23" s="1464" t="s">
        <v>1408</v>
      </c>
      <c r="B23" s="1453">
        <f t="shared" si="14"/>
        <v>272.79999999999995</v>
      </c>
      <c r="C23" s="1453">
        <v>69.2</v>
      </c>
      <c r="D23" s="1458">
        <v>68.5</v>
      </c>
      <c r="E23" s="1458">
        <v>67</v>
      </c>
      <c r="F23" s="1458">
        <v>68.099999999999994</v>
      </c>
      <c r="G23" s="1453">
        <f t="shared" si="15"/>
        <v>271.89999999999998</v>
      </c>
      <c r="H23" s="1453">
        <v>68.900000000000006</v>
      </c>
      <c r="I23" s="1453">
        <v>66.900000000000006</v>
      </c>
      <c r="J23" s="1453">
        <v>67.099999999999994</v>
      </c>
      <c r="K23" s="1453">
        <v>69</v>
      </c>
      <c r="L23" s="1453">
        <f t="shared" si="4"/>
        <v>275.39999999999998</v>
      </c>
      <c r="M23" s="1453">
        <v>69</v>
      </c>
      <c r="N23" s="1453">
        <v>68.5</v>
      </c>
      <c r="O23" s="1453">
        <v>68</v>
      </c>
      <c r="P23" s="1453">
        <v>69.899999999999977</v>
      </c>
      <c r="Q23" s="1453">
        <v>56.600000000000023</v>
      </c>
      <c r="R23" s="1465" t="s">
        <v>1409</v>
      </c>
    </row>
    <row r="24" spans="1:22" ht="13.8">
      <c r="A24" s="1464" t="s">
        <v>1410</v>
      </c>
      <c r="B24" s="1453">
        <f t="shared" si="14"/>
        <v>95.199999999999989</v>
      </c>
      <c r="C24" s="1453">
        <v>22.5</v>
      </c>
      <c r="D24" s="1458">
        <v>24.1</v>
      </c>
      <c r="E24" s="1458">
        <v>23.2</v>
      </c>
      <c r="F24" s="1458">
        <v>25.4</v>
      </c>
      <c r="G24" s="1453">
        <f t="shared" si="15"/>
        <v>102.6</v>
      </c>
      <c r="H24" s="1453">
        <v>24.1</v>
      </c>
      <c r="I24" s="1453">
        <v>25.4</v>
      </c>
      <c r="J24" s="1453">
        <v>26.3</v>
      </c>
      <c r="K24" s="1453">
        <v>26.8</v>
      </c>
      <c r="L24" s="1453">
        <f t="shared" si="4"/>
        <v>114.5</v>
      </c>
      <c r="M24" s="1453">
        <v>27.8</v>
      </c>
      <c r="N24" s="1453">
        <v>28.1</v>
      </c>
      <c r="O24" s="1453">
        <v>29</v>
      </c>
      <c r="P24" s="1453">
        <v>29.6</v>
      </c>
      <c r="Q24" s="1453">
        <v>22.2</v>
      </c>
      <c r="R24" s="1465" t="s">
        <v>1411</v>
      </c>
    </row>
    <row r="25" spans="1:22" ht="13.8">
      <c r="A25" s="1464" t="s">
        <v>1412</v>
      </c>
      <c r="B25" s="1453">
        <f t="shared" si="14"/>
        <v>288.5</v>
      </c>
      <c r="C25" s="1453">
        <v>71.099999999999994</v>
      </c>
      <c r="D25" s="1458">
        <v>71.900000000000006</v>
      </c>
      <c r="E25" s="1458">
        <v>72</v>
      </c>
      <c r="F25" s="1458">
        <v>73.5</v>
      </c>
      <c r="G25" s="1453">
        <f t="shared" si="15"/>
        <v>318.39999999999998</v>
      </c>
      <c r="H25" s="1453">
        <v>73.400000000000006</v>
      </c>
      <c r="I25" s="1453">
        <v>78.3</v>
      </c>
      <c r="J25" s="1453">
        <v>84.5</v>
      </c>
      <c r="K25" s="1453">
        <v>82.2</v>
      </c>
      <c r="L25" s="1453">
        <f t="shared" si="4"/>
        <v>332.9</v>
      </c>
      <c r="M25" s="1453">
        <v>82.4</v>
      </c>
      <c r="N25" s="1453">
        <v>83.5</v>
      </c>
      <c r="O25" s="1453">
        <v>84.6</v>
      </c>
      <c r="P25" s="1453">
        <v>82.4</v>
      </c>
      <c r="Q25" s="1453">
        <v>76.5</v>
      </c>
      <c r="R25" s="1465" t="s">
        <v>1413</v>
      </c>
    </row>
    <row r="26" spans="1:22" ht="13.8">
      <c r="A26" s="1464" t="s">
        <v>1414</v>
      </c>
      <c r="B26" s="1453">
        <f t="shared" si="14"/>
        <v>75.099999999999994</v>
      </c>
      <c r="C26" s="1453">
        <v>18.100000000000001</v>
      </c>
      <c r="D26" s="1458">
        <v>19.2</v>
      </c>
      <c r="E26" s="1458">
        <v>19</v>
      </c>
      <c r="F26" s="1458">
        <v>18.8</v>
      </c>
      <c r="G26" s="1453">
        <f t="shared" si="15"/>
        <v>83.5</v>
      </c>
      <c r="H26" s="1453">
        <v>22.5</v>
      </c>
      <c r="I26" s="1453">
        <v>20.2</v>
      </c>
      <c r="J26" s="1453">
        <v>21.1</v>
      </c>
      <c r="K26" s="1453">
        <v>19.7</v>
      </c>
      <c r="L26" s="1453">
        <f t="shared" si="4"/>
        <v>95.300000000000011</v>
      </c>
      <c r="M26" s="1453">
        <v>26.8</v>
      </c>
      <c r="N26" s="1453">
        <v>24.2</v>
      </c>
      <c r="O26" s="1453">
        <v>22.800000000000011</v>
      </c>
      <c r="P26" s="1453">
        <v>21.5</v>
      </c>
      <c r="Q26" s="1453">
        <v>16.099999999999994</v>
      </c>
      <c r="R26" s="1465" t="s">
        <v>1415</v>
      </c>
    </row>
    <row r="27" spans="1:22" ht="30" customHeight="1">
      <c r="A27" s="1451" t="s">
        <v>1416</v>
      </c>
      <c r="B27" s="1453">
        <f t="shared" si="14"/>
        <v>-980.39999999999986</v>
      </c>
      <c r="C27" s="1453">
        <f t="shared" ref="C27:P27" si="16">SUM(C28:C29)</f>
        <v>-206.39999999999998</v>
      </c>
      <c r="D27" s="1453">
        <f t="shared" si="16"/>
        <v>-210.5</v>
      </c>
      <c r="E27" s="1453">
        <f t="shared" si="16"/>
        <v>-273.79999999999995</v>
      </c>
      <c r="F27" s="1453">
        <f t="shared" si="16"/>
        <v>-289.7</v>
      </c>
      <c r="G27" s="1453">
        <f t="shared" si="15"/>
        <v>-1247.4000000000001</v>
      </c>
      <c r="H27" s="1453">
        <f t="shared" si="16"/>
        <v>-299.39999999999998</v>
      </c>
      <c r="I27" s="1453">
        <f t="shared" si="16"/>
        <v>-311.5</v>
      </c>
      <c r="J27" s="1453">
        <f t="shared" si="16"/>
        <v>-317.80000000000007</v>
      </c>
      <c r="K27" s="1453">
        <f t="shared" si="16"/>
        <v>-318.70000000000005</v>
      </c>
      <c r="L27" s="1453">
        <f t="shared" si="4"/>
        <v>-1293.1999999999998</v>
      </c>
      <c r="M27" s="1453">
        <f t="shared" si="16"/>
        <v>-318.59999999999991</v>
      </c>
      <c r="N27" s="1453">
        <f t="shared" si="16"/>
        <v>-328.70000000000005</v>
      </c>
      <c r="O27" s="1453">
        <f t="shared" si="16"/>
        <v>-327.69999999999982</v>
      </c>
      <c r="P27" s="1453">
        <f t="shared" si="16"/>
        <v>-318.19999999999993</v>
      </c>
      <c r="Q27" s="1453">
        <f t="shared" ref="Q27" si="17">SUM(Q28:Q29)</f>
        <v>-238.79999999999995</v>
      </c>
      <c r="R27" s="1454" t="s">
        <v>1417</v>
      </c>
    </row>
    <row r="28" spans="1:22" s="1463" customFormat="1" ht="13.8">
      <c r="A28" s="1460" t="s">
        <v>1396</v>
      </c>
      <c r="B28" s="1453">
        <f t="shared" si="14"/>
        <v>1859.8</v>
      </c>
      <c r="C28" s="1453">
        <v>444.5</v>
      </c>
      <c r="D28" s="1453">
        <v>453.4</v>
      </c>
      <c r="E28" s="1453">
        <v>470.6</v>
      </c>
      <c r="F28" s="1453">
        <v>491.3</v>
      </c>
      <c r="G28" s="1453">
        <f t="shared" si="15"/>
        <v>2091</v>
      </c>
      <c r="H28" s="1453">
        <v>501.1</v>
      </c>
      <c r="I28" s="1453">
        <v>521</v>
      </c>
      <c r="J28" s="1453">
        <v>531.4</v>
      </c>
      <c r="K28" s="1453">
        <v>537.5</v>
      </c>
      <c r="L28" s="1453">
        <f t="shared" si="4"/>
        <v>2260.2000000000003</v>
      </c>
      <c r="M28" s="1453">
        <v>544.70000000000005</v>
      </c>
      <c r="N28" s="1453">
        <v>560</v>
      </c>
      <c r="O28" s="1453">
        <v>575.90000000000009</v>
      </c>
      <c r="P28" s="1453">
        <v>579.6</v>
      </c>
      <c r="Q28" s="1453">
        <v>434.5</v>
      </c>
      <c r="R28" s="1461" t="s">
        <v>1397</v>
      </c>
    </row>
    <row r="29" spans="1:22" s="1463" customFormat="1" ht="13.8">
      <c r="A29" s="1460" t="s">
        <v>1398</v>
      </c>
      <c r="B29" s="1453">
        <f t="shared" si="14"/>
        <v>-2840.2</v>
      </c>
      <c r="C29" s="1453">
        <v>-650.9</v>
      </c>
      <c r="D29" s="1453">
        <v>-663.9</v>
      </c>
      <c r="E29" s="1453">
        <v>-744.4</v>
      </c>
      <c r="F29" s="1453">
        <v>-781</v>
      </c>
      <c r="G29" s="1453">
        <f t="shared" si="15"/>
        <v>-3338.3999999999996</v>
      </c>
      <c r="H29" s="1453">
        <v>-800.5</v>
      </c>
      <c r="I29" s="1453">
        <v>-832.5</v>
      </c>
      <c r="J29" s="1453">
        <v>-849.2</v>
      </c>
      <c r="K29" s="1453">
        <v>-856.2</v>
      </c>
      <c r="L29" s="1453">
        <f t="shared" si="4"/>
        <v>-3553.3999999999996</v>
      </c>
      <c r="M29" s="1453">
        <v>-863.3</v>
      </c>
      <c r="N29" s="1453">
        <v>-888.7</v>
      </c>
      <c r="O29" s="1453">
        <v>-903.59999999999991</v>
      </c>
      <c r="P29" s="1453">
        <v>-897.8</v>
      </c>
      <c r="Q29" s="1453">
        <v>-673.3</v>
      </c>
      <c r="R29" s="1461" t="s">
        <v>1399</v>
      </c>
    </row>
    <row r="30" spans="1:22" ht="21" customHeight="1">
      <c r="A30" s="1464" t="s">
        <v>1418</v>
      </c>
      <c r="B30" s="1452">
        <f t="shared" si="14"/>
        <v>-980.40000000000009</v>
      </c>
      <c r="C30" s="1453">
        <f t="shared" ref="C30:P30" si="18">C31+C32+C33</f>
        <v>-206.4</v>
      </c>
      <c r="D30" s="1453">
        <f t="shared" si="18"/>
        <v>-210.5</v>
      </c>
      <c r="E30" s="1453">
        <f t="shared" si="18"/>
        <v>-273.8</v>
      </c>
      <c r="F30" s="1453">
        <f t="shared" si="18"/>
        <v>-289.7</v>
      </c>
      <c r="G30" s="1452">
        <f t="shared" si="15"/>
        <v>-1247.4000000000001</v>
      </c>
      <c r="H30" s="1453">
        <f t="shared" si="18"/>
        <v>-299.39999999999998</v>
      </c>
      <c r="I30" s="1453">
        <f t="shared" si="18"/>
        <v>-311.5</v>
      </c>
      <c r="J30" s="1453">
        <f t="shared" si="18"/>
        <v>-317.8</v>
      </c>
      <c r="K30" s="1453">
        <f t="shared" si="18"/>
        <v>-318.7</v>
      </c>
      <c r="L30" s="1453">
        <f t="shared" si="4"/>
        <v>-1293.1999999999998</v>
      </c>
      <c r="M30" s="1453">
        <f t="shared" si="18"/>
        <v>-318.59999999999997</v>
      </c>
      <c r="N30" s="1453">
        <f t="shared" si="18"/>
        <v>-328.7</v>
      </c>
      <c r="O30" s="1453">
        <f t="shared" si="18"/>
        <v>-327.69999999999993</v>
      </c>
      <c r="P30" s="1453">
        <f t="shared" si="18"/>
        <v>-318.2</v>
      </c>
      <c r="Q30" s="1453">
        <f t="shared" ref="Q30" si="19">Q31+Q32+Q33</f>
        <v>-238.8</v>
      </c>
      <c r="R30" s="1465" t="s">
        <v>1419</v>
      </c>
      <c r="S30" s="1088"/>
    </row>
    <row r="31" spans="1:22" ht="13.8">
      <c r="A31" s="1455" t="s">
        <v>1420</v>
      </c>
      <c r="B31" s="1452">
        <f t="shared" si="14"/>
        <v>-485.70000000000005</v>
      </c>
      <c r="C31" s="1453">
        <v>-118.6</v>
      </c>
      <c r="D31" s="1458">
        <v>-120.9</v>
      </c>
      <c r="E31" s="1458">
        <v>-122.1</v>
      </c>
      <c r="F31" s="1458">
        <v>-124.1</v>
      </c>
      <c r="G31" s="1452">
        <f t="shared" si="15"/>
        <v>-569.90000000000009</v>
      </c>
      <c r="H31" s="1453">
        <v>-139.9</v>
      </c>
      <c r="I31" s="1453">
        <v>-143.30000000000001</v>
      </c>
      <c r="J31" s="1453">
        <v>-142.69999999999999</v>
      </c>
      <c r="K31" s="1453">
        <v>-144</v>
      </c>
      <c r="L31" s="1453">
        <f t="shared" si="4"/>
        <v>-609.20000000000005</v>
      </c>
      <c r="M31" s="1453">
        <v>-145.19999999999999</v>
      </c>
      <c r="N31" s="1453">
        <v>-152.9</v>
      </c>
      <c r="O31" s="1453">
        <v>-161</v>
      </c>
      <c r="P31" s="1453">
        <v>-150.10000000000002</v>
      </c>
      <c r="Q31" s="1453">
        <v>-112.60000000000001</v>
      </c>
      <c r="R31" s="1456" t="s">
        <v>1421</v>
      </c>
      <c r="T31" s="1088"/>
    </row>
    <row r="32" spans="1:22" ht="13.8">
      <c r="A32" s="1455" t="s">
        <v>1422</v>
      </c>
      <c r="B32" s="1452">
        <f t="shared" si="14"/>
        <v>-195.2</v>
      </c>
      <c r="C32" s="1453">
        <v>-38.200000000000003</v>
      </c>
      <c r="D32" s="1458">
        <v>-39</v>
      </c>
      <c r="E32" s="1458">
        <v>-60.5</v>
      </c>
      <c r="F32" s="1458">
        <v>-57.5</v>
      </c>
      <c r="G32" s="1452">
        <f t="shared" si="15"/>
        <v>-256.3</v>
      </c>
      <c r="H32" s="1453">
        <v>-62.3</v>
      </c>
      <c r="I32" s="1453">
        <v>-65.400000000000006</v>
      </c>
      <c r="J32" s="1453">
        <v>-63.4</v>
      </c>
      <c r="K32" s="1453">
        <v>-65.2</v>
      </c>
      <c r="L32" s="1453">
        <f t="shared" si="4"/>
        <v>-261.70000000000005</v>
      </c>
      <c r="M32" s="1453">
        <v>-66.2</v>
      </c>
      <c r="N32" s="1453">
        <v>-66.099999999999994</v>
      </c>
      <c r="O32" s="1453">
        <v>-67.599999999999994</v>
      </c>
      <c r="P32" s="1453">
        <v>-61.800000000000011</v>
      </c>
      <c r="Q32" s="1453">
        <v>-46.399999999999977</v>
      </c>
      <c r="R32" s="1456" t="s">
        <v>1423</v>
      </c>
      <c r="T32" s="1088"/>
    </row>
    <row r="33" spans="1:20" ht="13.8">
      <c r="A33" s="1455" t="s">
        <v>1424</v>
      </c>
      <c r="B33" s="1452">
        <f t="shared" si="14"/>
        <v>-299.5</v>
      </c>
      <c r="C33" s="1453">
        <v>-49.6</v>
      </c>
      <c r="D33" s="1458">
        <v>-50.6</v>
      </c>
      <c r="E33" s="1458">
        <v>-91.2</v>
      </c>
      <c r="F33" s="1458">
        <v>-108.1</v>
      </c>
      <c r="G33" s="1452">
        <f t="shared" si="15"/>
        <v>-421.2</v>
      </c>
      <c r="H33" s="1453">
        <v>-97.2</v>
      </c>
      <c r="I33" s="1453">
        <v>-102.8</v>
      </c>
      <c r="J33" s="1453">
        <v>-111.7</v>
      </c>
      <c r="K33" s="1453">
        <v>-109.5</v>
      </c>
      <c r="L33" s="1453">
        <f t="shared" si="4"/>
        <v>-422.29999999999995</v>
      </c>
      <c r="M33" s="1453">
        <v>-107.2</v>
      </c>
      <c r="N33" s="1453">
        <v>-109.7</v>
      </c>
      <c r="O33" s="1453">
        <v>-99.099999999999966</v>
      </c>
      <c r="P33" s="1453">
        <v>-106.29999999999995</v>
      </c>
      <c r="Q33" s="1453">
        <v>-79.800000000000011</v>
      </c>
      <c r="R33" s="1456" t="s">
        <v>1425</v>
      </c>
      <c r="T33" s="1088"/>
    </row>
    <row r="34" spans="1:20" ht="30" customHeight="1">
      <c r="A34" s="1451" t="s">
        <v>1426</v>
      </c>
      <c r="B34" s="1452">
        <f t="shared" si="14"/>
        <v>-1001.4</v>
      </c>
      <c r="C34" s="1453">
        <f t="shared" ref="C34:Q34" si="20">C35</f>
        <v>-235.6</v>
      </c>
      <c r="D34" s="1453">
        <f t="shared" si="20"/>
        <v>-251.2</v>
      </c>
      <c r="E34" s="1453">
        <f t="shared" si="20"/>
        <v>-248.1</v>
      </c>
      <c r="F34" s="1453">
        <f t="shared" si="20"/>
        <v>-266.5</v>
      </c>
      <c r="G34" s="1452">
        <f t="shared" si="15"/>
        <v>-1000</v>
      </c>
      <c r="H34" s="1453">
        <f t="shared" si="20"/>
        <v>-230.7</v>
      </c>
      <c r="I34" s="1453">
        <f t="shared" si="20"/>
        <v>-250.3</v>
      </c>
      <c r="J34" s="1453">
        <f t="shared" si="20"/>
        <v>-245.9</v>
      </c>
      <c r="K34" s="1453">
        <f t="shared" si="20"/>
        <v>-273.10000000000002</v>
      </c>
      <c r="L34" s="1453">
        <f t="shared" si="4"/>
        <v>-957.05</v>
      </c>
      <c r="M34" s="1453">
        <f t="shared" si="20"/>
        <v>-228.6</v>
      </c>
      <c r="N34" s="1453">
        <f t="shared" si="20"/>
        <v>-227.5</v>
      </c>
      <c r="O34" s="1453">
        <f t="shared" si="20"/>
        <v>-254</v>
      </c>
      <c r="P34" s="1453">
        <f t="shared" si="20"/>
        <v>-246.95</v>
      </c>
      <c r="Q34" s="1453">
        <f t="shared" si="20"/>
        <v>-249.6</v>
      </c>
      <c r="R34" s="1454" t="s">
        <v>1427</v>
      </c>
    </row>
    <row r="35" spans="1:20" ht="13.8">
      <c r="A35" s="1464" t="s">
        <v>1428</v>
      </c>
      <c r="B35" s="1452">
        <f>SUM(C35:F35)</f>
        <v>-1001.4</v>
      </c>
      <c r="C35" s="1453">
        <v>-235.6</v>
      </c>
      <c r="D35" s="1458">
        <v>-251.2</v>
      </c>
      <c r="E35" s="1458">
        <v>-248.1</v>
      </c>
      <c r="F35" s="1458">
        <v>-266.5</v>
      </c>
      <c r="G35" s="1452">
        <f>SUM(H35:K35)</f>
        <v>-1000</v>
      </c>
      <c r="H35" s="1453">
        <v>-230.7</v>
      </c>
      <c r="I35" s="1453">
        <v>-250.3</v>
      </c>
      <c r="J35" s="1453">
        <v>-245.9</v>
      </c>
      <c r="K35" s="1453">
        <v>-273.10000000000002</v>
      </c>
      <c r="L35" s="1453">
        <f t="shared" si="4"/>
        <v>-957.05</v>
      </c>
      <c r="M35" s="1453">
        <v>-228.6</v>
      </c>
      <c r="N35" s="1453">
        <v>-227.5</v>
      </c>
      <c r="O35" s="1453">
        <v>-254</v>
      </c>
      <c r="P35" s="1453">
        <v>-246.95</v>
      </c>
      <c r="Q35" s="1453">
        <v>-249.6</v>
      </c>
      <c r="R35" s="1465" t="s">
        <v>1429</v>
      </c>
    </row>
    <row r="36" spans="1:20" ht="30" customHeight="1">
      <c r="A36" s="1466" t="s">
        <v>1430</v>
      </c>
      <c r="B36" s="1467">
        <f>SUM(C36:F36)</f>
        <v>-18.600000000000762</v>
      </c>
      <c r="C36" s="1468">
        <f t="shared" ref="C36:P36" si="21">C37+C39</f>
        <v>77.199999999999903</v>
      </c>
      <c r="D36" s="1468">
        <f t="shared" si="21"/>
        <v>-50.200000000000045</v>
      </c>
      <c r="E36" s="1468">
        <f t="shared" si="21"/>
        <v>113.69999999999993</v>
      </c>
      <c r="F36" s="1468">
        <f t="shared" si="21"/>
        <v>-159.30000000000055</v>
      </c>
      <c r="G36" s="1467">
        <f>SUM(H36:K36)</f>
        <v>89.812351210382246</v>
      </c>
      <c r="H36" s="1468">
        <f t="shared" si="21"/>
        <v>266.93138234672597</v>
      </c>
      <c r="I36" s="1468">
        <f t="shared" si="21"/>
        <v>-411.5856010933328</v>
      </c>
      <c r="J36" s="1468">
        <f t="shared" si="21"/>
        <v>-215.48068772765669</v>
      </c>
      <c r="K36" s="1468">
        <f t="shared" si="21"/>
        <v>449.94725768464576</v>
      </c>
      <c r="L36" s="1448">
        <f t="shared" si="4"/>
        <v>-681.55468670788946</v>
      </c>
      <c r="M36" s="1468">
        <f t="shared" si="21"/>
        <v>-157.90162584011819</v>
      </c>
      <c r="N36" s="1468">
        <f t="shared" si="21"/>
        <v>59.823696778957313</v>
      </c>
      <c r="O36" s="1468">
        <f t="shared" si="21"/>
        <v>-115.77681322066897</v>
      </c>
      <c r="P36" s="1468">
        <f t="shared" si="21"/>
        <v>-467.69994442605963</v>
      </c>
      <c r="Q36" s="1468">
        <f t="shared" ref="Q36" si="22">Q37+Q39</f>
        <v>187.67703435989182</v>
      </c>
      <c r="R36" s="1469" t="s">
        <v>1431</v>
      </c>
    </row>
    <row r="37" spans="1:20" ht="30" customHeight="1">
      <c r="A37" s="1451" t="s">
        <v>1432</v>
      </c>
      <c r="B37" s="1452">
        <f t="shared" ref="B37:B50" si="23">SUM(C37:F37)</f>
        <v>131.6</v>
      </c>
      <c r="C37" s="1453">
        <f t="shared" ref="C37:Q37" si="24">C38</f>
        <v>0</v>
      </c>
      <c r="D37" s="1453">
        <f t="shared" si="24"/>
        <v>0</v>
      </c>
      <c r="E37" s="1453">
        <f t="shared" si="24"/>
        <v>0</v>
      </c>
      <c r="F37" s="1453">
        <f t="shared" si="24"/>
        <v>131.6</v>
      </c>
      <c r="G37" s="1452">
        <f t="shared" ref="G37:G50" si="25">SUM(H37:K37)</f>
        <v>87.2</v>
      </c>
      <c r="H37" s="1453">
        <f t="shared" si="24"/>
        <v>0</v>
      </c>
      <c r="I37" s="1453">
        <f t="shared" si="24"/>
        <v>0</v>
      </c>
      <c r="J37" s="1453">
        <f t="shared" si="24"/>
        <v>0</v>
      </c>
      <c r="K37" s="1453">
        <f t="shared" si="24"/>
        <v>87.2</v>
      </c>
      <c r="L37" s="1453">
        <f t="shared" si="4"/>
        <v>77.5</v>
      </c>
      <c r="M37" s="1453">
        <f t="shared" si="24"/>
        <v>0</v>
      </c>
      <c r="N37" s="1453">
        <f t="shared" si="24"/>
        <v>10.199999999999999</v>
      </c>
      <c r="O37" s="1453">
        <f t="shared" si="24"/>
        <v>36.1</v>
      </c>
      <c r="P37" s="1453">
        <f t="shared" si="24"/>
        <v>31.2</v>
      </c>
      <c r="Q37" s="1453">
        <f t="shared" si="24"/>
        <v>35.700000000000003</v>
      </c>
      <c r="R37" s="1454" t="s">
        <v>1433</v>
      </c>
    </row>
    <row r="38" spans="1:20" ht="13.8">
      <c r="A38" s="1464" t="s">
        <v>1434</v>
      </c>
      <c r="B38" s="1452">
        <f t="shared" si="23"/>
        <v>131.6</v>
      </c>
      <c r="C38" s="1453">
        <v>0</v>
      </c>
      <c r="D38" s="1458">
        <v>0</v>
      </c>
      <c r="E38" s="1458">
        <v>0</v>
      </c>
      <c r="F38" s="1458">
        <v>131.6</v>
      </c>
      <c r="G38" s="1452">
        <f t="shared" si="25"/>
        <v>87.2</v>
      </c>
      <c r="H38" s="1453">
        <v>0</v>
      </c>
      <c r="I38" s="1453">
        <v>0</v>
      </c>
      <c r="J38" s="1453">
        <v>0</v>
      </c>
      <c r="K38" s="1453">
        <v>87.2</v>
      </c>
      <c r="L38" s="1453">
        <f t="shared" si="4"/>
        <v>77.5</v>
      </c>
      <c r="M38" s="1453">
        <v>0</v>
      </c>
      <c r="N38" s="1453">
        <v>10.199999999999999</v>
      </c>
      <c r="O38" s="1453">
        <v>36.1</v>
      </c>
      <c r="P38" s="1453">
        <v>31.2</v>
      </c>
      <c r="Q38" s="1453">
        <v>35.700000000000003</v>
      </c>
      <c r="R38" s="1465" t="s">
        <v>1435</v>
      </c>
    </row>
    <row r="39" spans="1:20" ht="30" customHeight="1">
      <c r="A39" s="1451" t="s">
        <v>1436</v>
      </c>
      <c r="B39" s="1452">
        <f t="shared" si="23"/>
        <v>-150.20000000000076</v>
      </c>
      <c r="C39" s="1453">
        <f t="shared" ref="C39:P39" si="26">C40+C43+C46+C49</f>
        <v>77.199999999999903</v>
      </c>
      <c r="D39" s="1453">
        <f t="shared" si="26"/>
        <v>-50.200000000000045</v>
      </c>
      <c r="E39" s="1453">
        <f t="shared" si="26"/>
        <v>113.69999999999993</v>
      </c>
      <c r="F39" s="1453">
        <f t="shared" si="26"/>
        <v>-290.90000000000055</v>
      </c>
      <c r="G39" s="1452">
        <f t="shared" si="25"/>
        <v>2.6123512103822577</v>
      </c>
      <c r="H39" s="1453">
        <f t="shared" si="26"/>
        <v>266.93138234672597</v>
      </c>
      <c r="I39" s="1453">
        <f t="shared" si="26"/>
        <v>-411.5856010933328</v>
      </c>
      <c r="J39" s="1453">
        <f t="shared" si="26"/>
        <v>-215.48068772765669</v>
      </c>
      <c r="K39" s="1453">
        <f t="shared" si="26"/>
        <v>362.74725768464577</v>
      </c>
      <c r="L39" s="1453">
        <f t="shared" si="4"/>
        <v>-759.05468670788946</v>
      </c>
      <c r="M39" s="1453">
        <f t="shared" si="26"/>
        <v>-157.90162584011819</v>
      </c>
      <c r="N39" s="1453">
        <f t="shared" si="26"/>
        <v>49.62369677895731</v>
      </c>
      <c r="O39" s="1453">
        <f t="shared" si="26"/>
        <v>-151.87681322066896</v>
      </c>
      <c r="P39" s="1453">
        <f t="shared" si="26"/>
        <v>-498.89994442605962</v>
      </c>
      <c r="Q39" s="1453">
        <f t="shared" ref="Q39" si="27">Q40+Q43+Q46+Q49</f>
        <v>151.97703435989183</v>
      </c>
      <c r="R39" s="1454" t="s">
        <v>1437</v>
      </c>
    </row>
    <row r="40" spans="1:20" ht="13.8">
      <c r="A40" s="1460" t="s">
        <v>1438</v>
      </c>
      <c r="B40" s="1452">
        <f t="shared" si="23"/>
        <v>2298.3999999999992</v>
      </c>
      <c r="C40" s="1453">
        <f t="shared" ref="C40:P40" si="28">C41+C42</f>
        <v>1060.8</v>
      </c>
      <c r="D40" s="1453">
        <f t="shared" si="28"/>
        <v>351.5</v>
      </c>
      <c r="E40" s="1453">
        <f t="shared" si="28"/>
        <v>568</v>
      </c>
      <c r="F40" s="1453">
        <f t="shared" si="28"/>
        <v>318.09999999999928</v>
      </c>
      <c r="G40" s="1452">
        <f t="shared" si="25"/>
        <v>876.26000000000022</v>
      </c>
      <c r="H40" s="1453">
        <f t="shared" si="28"/>
        <v>261.42999999999847</v>
      </c>
      <c r="I40" s="1453">
        <f t="shared" si="28"/>
        <v>-36.959999999999127</v>
      </c>
      <c r="J40" s="1453">
        <f t="shared" si="28"/>
        <v>64.829999999999927</v>
      </c>
      <c r="K40" s="1453">
        <f t="shared" si="28"/>
        <v>586.96000000000095</v>
      </c>
      <c r="L40" s="1453">
        <f t="shared" si="4"/>
        <v>147.93000000000029</v>
      </c>
      <c r="M40" s="1453">
        <f t="shared" si="28"/>
        <v>-70.950000000000728</v>
      </c>
      <c r="N40" s="1453">
        <f t="shared" si="28"/>
        <v>-60.159999999998035</v>
      </c>
      <c r="O40" s="1453">
        <f t="shared" si="28"/>
        <v>133.70999999999913</v>
      </c>
      <c r="P40" s="1453">
        <f t="shared" si="28"/>
        <v>145.32999999999993</v>
      </c>
      <c r="Q40" s="1453">
        <f t="shared" ref="Q40" si="29">Q41+Q42</f>
        <v>312.02999999999884</v>
      </c>
      <c r="R40" s="1461" t="s">
        <v>1439</v>
      </c>
    </row>
    <row r="41" spans="1:20" ht="13.8">
      <c r="A41" s="1455" t="s">
        <v>1440</v>
      </c>
      <c r="B41" s="1452">
        <f t="shared" si="23"/>
        <v>-418.49999999999994</v>
      </c>
      <c r="C41" s="1453">
        <v>-78.400000000000006</v>
      </c>
      <c r="D41" s="1458">
        <v>-76.3</v>
      </c>
      <c r="E41" s="1458">
        <v>-146.1</v>
      </c>
      <c r="F41" s="1458">
        <v>-117.7</v>
      </c>
      <c r="G41" s="1452">
        <f>H41+I41+J41+K41</f>
        <v>-202.60000000000036</v>
      </c>
      <c r="H41" s="1453">
        <v>56.399999999999636</v>
      </c>
      <c r="I41" s="1453">
        <v>-37</v>
      </c>
      <c r="J41" s="1453">
        <v>-77.100000000000364</v>
      </c>
      <c r="K41" s="1453">
        <v>-144.89999999999964</v>
      </c>
      <c r="L41" s="1453">
        <f t="shared" si="4"/>
        <v>-206.79999999999927</v>
      </c>
      <c r="M41" s="1453">
        <v>164.5</v>
      </c>
      <c r="N41" s="1453">
        <v>-143.89999999999964</v>
      </c>
      <c r="O41" s="1453">
        <v>-78.970000000001164</v>
      </c>
      <c r="P41" s="1453">
        <v>-148.42999999999847</v>
      </c>
      <c r="Q41" s="1453">
        <v>452.79999999999927</v>
      </c>
      <c r="R41" s="1456" t="s">
        <v>1441</v>
      </c>
    </row>
    <row r="42" spans="1:20" ht="13.8">
      <c r="A42" s="1455" t="s">
        <v>1442</v>
      </c>
      <c r="B42" s="1452">
        <f t="shared" si="23"/>
        <v>2716.8999999999992</v>
      </c>
      <c r="C42" s="1453">
        <v>1139.2</v>
      </c>
      <c r="D42" s="1458">
        <v>427.8</v>
      </c>
      <c r="E42" s="1458">
        <v>714.1</v>
      </c>
      <c r="F42" s="1458">
        <v>435.79999999999927</v>
      </c>
      <c r="G42" s="1452">
        <f t="shared" si="25"/>
        <v>1078.8600000000006</v>
      </c>
      <c r="H42" s="1453">
        <v>205.02999999999884</v>
      </c>
      <c r="I42" s="1453">
        <v>4.0000000000873115E-2</v>
      </c>
      <c r="J42" s="1453">
        <v>141.93000000000029</v>
      </c>
      <c r="K42" s="1453">
        <v>731.86000000000058</v>
      </c>
      <c r="L42" s="1453">
        <f t="shared" si="4"/>
        <v>354.72999999999956</v>
      </c>
      <c r="M42" s="1453">
        <v>-235.45000000000073</v>
      </c>
      <c r="N42" s="1453">
        <v>83.740000000001601</v>
      </c>
      <c r="O42" s="1453">
        <v>212.68000000000029</v>
      </c>
      <c r="P42" s="1453">
        <v>293.7599999999984</v>
      </c>
      <c r="Q42" s="1453">
        <v>-140.77000000000044</v>
      </c>
      <c r="R42" s="1456" t="s">
        <v>1443</v>
      </c>
    </row>
    <row r="43" spans="1:20" ht="30" customHeight="1">
      <c r="A43" s="1460" t="s">
        <v>1444</v>
      </c>
      <c r="B43" s="1452">
        <f t="shared" si="23"/>
        <v>299.60000000000014</v>
      </c>
      <c r="C43" s="1453">
        <f t="shared" ref="C43:D43" si="30">SUM(C44:C45)</f>
        <v>401.5</v>
      </c>
      <c r="D43" s="1453">
        <f t="shared" si="30"/>
        <v>676.8</v>
      </c>
      <c r="E43" s="1453">
        <f t="shared" ref="E43:P43" si="31">SUM(E44:E45)</f>
        <v>-334.3</v>
      </c>
      <c r="F43" s="1453">
        <f t="shared" si="31"/>
        <v>-444.39999999999986</v>
      </c>
      <c r="G43" s="1452">
        <f t="shared" si="25"/>
        <v>-443.50282617593621</v>
      </c>
      <c r="H43" s="1453">
        <f t="shared" si="31"/>
        <v>82.73287906173573</v>
      </c>
      <c r="I43" s="1453">
        <f t="shared" si="31"/>
        <v>-236.73136026634711</v>
      </c>
      <c r="J43" s="1453">
        <f t="shared" si="31"/>
        <v>-140.60148598219894</v>
      </c>
      <c r="K43" s="1453">
        <f t="shared" si="31"/>
        <v>-148.90285898912589</v>
      </c>
      <c r="L43" s="1453">
        <f t="shared" si="4"/>
        <v>1478.2022529746628</v>
      </c>
      <c r="M43" s="1453">
        <f t="shared" si="31"/>
        <v>-434.51597537047019</v>
      </c>
      <c r="N43" s="1453">
        <f t="shared" si="31"/>
        <v>1281.6608192390195</v>
      </c>
      <c r="O43" s="1453">
        <f t="shared" si="31"/>
        <v>651.77679835335402</v>
      </c>
      <c r="P43" s="1453">
        <f t="shared" si="31"/>
        <v>-20.719389247240542</v>
      </c>
      <c r="Q43" s="1453">
        <f t="shared" ref="Q43" si="32">SUM(Q44:Q45)</f>
        <v>2107.500306203181</v>
      </c>
      <c r="R43" s="1461" t="s">
        <v>1445</v>
      </c>
    </row>
    <row r="44" spans="1:20" ht="13.8">
      <c r="A44" s="1455" t="s">
        <v>1446</v>
      </c>
      <c r="B44" s="1452">
        <f t="shared" si="23"/>
        <v>-2001.3</v>
      </c>
      <c r="C44" s="1453">
        <v>-659.7</v>
      </c>
      <c r="D44" s="1458">
        <v>-75.099999999999994</v>
      </c>
      <c r="E44" s="1458">
        <v>-143.9</v>
      </c>
      <c r="F44" s="1458">
        <v>-1122.5999999999999</v>
      </c>
      <c r="G44" s="1452">
        <f t="shared" si="25"/>
        <v>-1725.7858272032754</v>
      </c>
      <c r="H44" s="1453">
        <v>-60.590106750743871</v>
      </c>
      <c r="I44" s="1453">
        <v>-242.4683818079975</v>
      </c>
      <c r="J44" s="1453">
        <v>-706.76189852975949</v>
      </c>
      <c r="K44" s="1453">
        <v>-715.96544011477454</v>
      </c>
      <c r="L44" s="1453">
        <f t="shared" si="4"/>
        <v>-561.85309724778563</v>
      </c>
      <c r="M44" s="1453">
        <v>-74.91961192404051</v>
      </c>
      <c r="N44" s="1453">
        <v>344.55845064621826</v>
      </c>
      <c r="O44" s="1453">
        <v>-136.35595859745445</v>
      </c>
      <c r="P44" s="1453">
        <v>-695.13597737250893</v>
      </c>
      <c r="Q44" s="1453">
        <v>1661.6560285209198</v>
      </c>
      <c r="R44" s="1456" t="s">
        <v>1447</v>
      </c>
      <c r="T44" s="1088"/>
    </row>
    <row r="45" spans="1:20" ht="13.8">
      <c r="A45" s="1455" t="s">
        <v>1448</v>
      </c>
      <c r="B45" s="1452">
        <f t="shared" si="23"/>
        <v>2300.8999999999996</v>
      </c>
      <c r="C45" s="1453">
        <v>1061.2</v>
      </c>
      <c r="D45" s="1458">
        <v>751.9</v>
      </c>
      <c r="E45" s="1458">
        <v>-190.4</v>
      </c>
      <c r="F45" s="1458">
        <v>678.2</v>
      </c>
      <c r="G45" s="1452">
        <f t="shared" si="25"/>
        <v>1282.2830010273392</v>
      </c>
      <c r="H45" s="1453">
        <v>143.3229858124796</v>
      </c>
      <c r="I45" s="1453">
        <v>5.7370215416503925</v>
      </c>
      <c r="J45" s="1453">
        <v>566.16041254756055</v>
      </c>
      <c r="K45" s="1453">
        <v>567.06258112564865</v>
      </c>
      <c r="L45" s="1453">
        <f t="shared" si="4"/>
        <v>2040.0553502224484</v>
      </c>
      <c r="M45" s="1453">
        <v>-359.59636344642968</v>
      </c>
      <c r="N45" s="1453">
        <v>937.10236859280121</v>
      </c>
      <c r="O45" s="1453">
        <v>788.13275695080847</v>
      </c>
      <c r="P45" s="1453">
        <v>674.41658812526839</v>
      </c>
      <c r="Q45" s="1453">
        <v>445.84427768226124</v>
      </c>
      <c r="R45" s="1456" t="s">
        <v>1449</v>
      </c>
      <c r="T45" s="1088"/>
    </row>
    <row r="46" spans="1:20" ht="30" customHeight="1">
      <c r="A46" s="1460" t="s">
        <v>1450</v>
      </c>
      <c r="B46" s="1452">
        <f t="shared" si="23"/>
        <v>-2635.2000000000003</v>
      </c>
      <c r="C46" s="1453">
        <f t="shared" ref="C46:P46" si="33">SUM(C47:C48)</f>
        <v>-1449.7</v>
      </c>
      <c r="D46" s="1453">
        <f t="shared" si="33"/>
        <v>-464.9</v>
      </c>
      <c r="E46" s="1453">
        <f t="shared" si="33"/>
        <v>-581.70000000000005</v>
      </c>
      <c r="F46" s="1453">
        <f t="shared" si="33"/>
        <v>-138.89999999999998</v>
      </c>
      <c r="G46" s="1452">
        <f t="shared" si="25"/>
        <v>-522.64482261368175</v>
      </c>
      <c r="H46" s="1453">
        <f t="shared" si="33"/>
        <v>-73.531496715007961</v>
      </c>
      <c r="I46" s="1453">
        <f t="shared" si="33"/>
        <v>-154.89424082698679</v>
      </c>
      <c r="J46" s="1453">
        <f t="shared" si="33"/>
        <v>265.39079825454246</v>
      </c>
      <c r="K46" s="1453">
        <f t="shared" si="33"/>
        <v>-559.60988332622946</v>
      </c>
      <c r="L46" s="1453">
        <f t="shared" si="4"/>
        <v>-2127.9869396825525</v>
      </c>
      <c r="M46" s="1453">
        <f t="shared" si="33"/>
        <v>-28.235650469647226</v>
      </c>
      <c r="N46" s="1453">
        <f t="shared" si="33"/>
        <v>-779.37712246006413</v>
      </c>
      <c r="O46" s="1453">
        <f t="shared" si="33"/>
        <v>-1148.6636115740221</v>
      </c>
      <c r="P46" s="1453">
        <f t="shared" si="33"/>
        <v>-171.71055517881905</v>
      </c>
      <c r="Q46" s="1453">
        <f t="shared" ref="Q46" si="34">SUM(Q47:Q48)</f>
        <v>-1735.5532718432878</v>
      </c>
      <c r="R46" s="1461" t="s">
        <v>1451</v>
      </c>
    </row>
    <row r="47" spans="1:20" ht="13.8">
      <c r="A47" s="1455" t="s">
        <v>1446</v>
      </c>
      <c r="B47" s="1452">
        <f t="shared" si="23"/>
        <v>-3279.2</v>
      </c>
      <c r="C47" s="1453">
        <v>-985</v>
      </c>
      <c r="D47" s="1458">
        <v>-210.5</v>
      </c>
      <c r="E47" s="1458">
        <v>-1181.2</v>
      </c>
      <c r="F47" s="1458">
        <v>-902.5</v>
      </c>
      <c r="G47" s="1452">
        <f t="shared" si="25"/>
        <v>-1912.0286243590381</v>
      </c>
      <c r="H47" s="1453">
        <v>-827.42831082331395</v>
      </c>
      <c r="I47" s="1453">
        <v>-931.12807822883042</v>
      </c>
      <c r="J47" s="1453">
        <v>-452.86096223239292</v>
      </c>
      <c r="K47" s="1453">
        <v>299.38872692549921</v>
      </c>
      <c r="L47" s="1453">
        <f t="shared" si="4"/>
        <v>-2458.6768305348596</v>
      </c>
      <c r="M47" s="1453">
        <v>391.96859932099323</v>
      </c>
      <c r="N47" s="1453">
        <v>-2387.4170261831096</v>
      </c>
      <c r="O47" s="1453">
        <v>-898.63843917375925</v>
      </c>
      <c r="P47" s="1453">
        <v>435.41003550101595</v>
      </c>
      <c r="Q47" s="1453">
        <v>-453.98735808871425</v>
      </c>
      <c r="R47" s="1456" t="s">
        <v>1447</v>
      </c>
      <c r="T47" s="1088"/>
    </row>
    <row r="48" spans="1:20" ht="13.8">
      <c r="A48" s="1455" t="s">
        <v>1448</v>
      </c>
      <c r="B48" s="1452">
        <f t="shared" si="23"/>
        <v>644</v>
      </c>
      <c r="C48" s="1453">
        <v>-464.7</v>
      </c>
      <c r="D48" s="1458">
        <v>-254.4</v>
      </c>
      <c r="E48" s="1458">
        <v>599.5</v>
      </c>
      <c r="F48" s="1458">
        <v>763.6</v>
      </c>
      <c r="G48" s="1452">
        <f t="shared" si="25"/>
        <v>1389.3838017453563</v>
      </c>
      <c r="H48" s="1453">
        <v>753.89681410830599</v>
      </c>
      <c r="I48" s="1453">
        <v>776.23383740184363</v>
      </c>
      <c r="J48" s="1453">
        <v>718.25176048693538</v>
      </c>
      <c r="K48" s="1453">
        <v>-858.99861025172868</v>
      </c>
      <c r="L48" s="1453">
        <f t="shared" si="4"/>
        <v>330.68989085230714</v>
      </c>
      <c r="M48" s="1453">
        <v>-420.20424979064046</v>
      </c>
      <c r="N48" s="1453">
        <v>1608.0399037230454</v>
      </c>
      <c r="O48" s="1453">
        <v>-250.02517240026282</v>
      </c>
      <c r="P48" s="1453">
        <v>-607.120590679835</v>
      </c>
      <c r="Q48" s="1453">
        <v>-1281.5659137545736</v>
      </c>
      <c r="R48" s="1456" t="s">
        <v>1449</v>
      </c>
      <c r="T48" s="1088"/>
    </row>
    <row r="49" spans="1:20" ht="30" customHeight="1">
      <c r="A49" s="1460" t="s">
        <v>1452</v>
      </c>
      <c r="B49" s="1452">
        <f t="shared" si="23"/>
        <v>-113.00000000000001</v>
      </c>
      <c r="C49" s="1453">
        <v>64.599999999999994</v>
      </c>
      <c r="D49" s="1458">
        <v>-613.6</v>
      </c>
      <c r="E49" s="1458">
        <v>461.7</v>
      </c>
      <c r="F49" s="1458">
        <v>-25.7</v>
      </c>
      <c r="G49" s="1452">
        <f t="shared" si="25"/>
        <v>92.5</v>
      </c>
      <c r="H49" s="1453">
        <v>-3.7000000000002728</v>
      </c>
      <c r="I49" s="1453">
        <v>17.000000000000227</v>
      </c>
      <c r="J49" s="1453">
        <v>-405.10000000000014</v>
      </c>
      <c r="K49" s="1453">
        <v>484.30000000000018</v>
      </c>
      <c r="L49" s="1453">
        <f t="shared" si="4"/>
        <v>-257.20000000000005</v>
      </c>
      <c r="M49" s="1453">
        <v>375.79999999999995</v>
      </c>
      <c r="N49" s="1453">
        <v>-392.5</v>
      </c>
      <c r="O49" s="1453">
        <v>211.29999999999995</v>
      </c>
      <c r="P49" s="1453">
        <v>-451.79999999999995</v>
      </c>
      <c r="Q49" s="1453">
        <v>-532.00000000000023</v>
      </c>
      <c r="R49" s="1461" t="s">
        <v>1453</v>
      </c>
      <c r="T49" s="1088"/>
    </row>
    <row r="50" spans="1:20" ht="30" customHeight="1">
      <c r="A50" s="1447" t="s">
        <v>1454</v>
      </c>
      <c r="B50" s="1448">
        <f t="shared" si="23"/>
        <v>-996.39999999999952</v>
      </c>
      <c r="C50" s="1470">
        <f t="shared" ref="C50:P50" si="35">-(C8+C36)</f>
        <v>-303.60000000000025</v>
      </c>
      <c r="D50" s="1470">
        <f t="shared" si="35"/>
        <v>-165.60000000000019</v>
      </c>
      <c r="E50" s="1470">
        <f t="shared" si="35"/>
        <v>-440.29999999999973</v>
      </c>
      <c r="F50" s="1470">
        <f t="shared" si="35"/>
        <v>-86.899999999999267</v>
      </c>
      <c r="G50" s="1448">
        <f t="shared" si="25"/>
        <v>-947.81235121038219</v>
      </c>
      <c r="H50" s="1470">
        <f t="shared" si="35"/>
        <v>-475.13138234672618</v>
      </c>
      <c r="I50" s="1470">
        <f t="shared" si="35"/>
        <v>158.98560109333295</v>
      </c>
      <c r="J50" s="1470">
        <f t="shared" si="35"/>
        <v>66.880687727656806</v>
      </c>
      <c r="K50" s="1470">
        <f t="shared" si="35"/>
        <v>-698.54725768464573</v>
      </c>
      <c r="L50" s="1471">
        <f t="shared" si="4"/>
        <v>-379.54531329211147</v>
      </c>
      <c r="M50" s="1470">
        <f t="shared" si="35"/>
        <v>-111.79837415988175</v>
      </c>
      <c r="N50" s="1470">
        <f t="shared" si="35"/>
        <v>-232.72369677895716</v>
      </c>
      <c r="O50" s="1470">
        <f t="shared" si="35"/>
        <v>-190.07318677933185</v>
      </c>
      <c r="P50" s="1470">
        <f t="shared" si="35"/>
        <v>155.04994442605926</v>
      </c>
      <c r="Q50" s="1470">
        <f t="shared" ref="Q50" si="36">-(Q8+Q36)</f>
        <v>-445.67703435989216</v>
      </c>
      <c r="R50" s="1450" t="s">
        <v>1455</v>
      </c>
    </row>
    <row r="51" spans="1:20" ht="21" customHeight="1">
      <c r="A51" s="1472" t="s">
        <v>1456</v>
      </c>
      <c r="B51" s="1473"/>
      <c r="C51" s="1473"/>
      <c r="D51" s="1473"/>
      <c r="E51" s="1473"/>
      <c r="F51" s="1473"/>
      <c r="G51" s="1473"/>
      <c r="H51" s="1473"/>
      <c r="I51" s="1473"/>
      <c r="J51" s="1473"/>
      <c r="K51" s="1473"/>
      <c r="L51" s="1473"/>
      <c r="M51" s="1473"/>
      <c r="N51" s="1473"/>
      <c r="O51" s="1473"/>
      <c r="P51" s="1473"/>
      <c r="Q51" s="1473"/>
      <c r="R51" s="409" t="s">
        <v>1457</v>
      </c>
    </row>
    <row r="52" spans="1:20">
      <c r="A52" s="1474" t="s">
        <v>1458</v>
      </c>
      <c r="R52" s="1475" t="s">
        <v>1459</v>
      </c>
    </row>
    <row r="54" spans="1:20" s="148" customFormat="1" ht="15">
      <c r="A54" s="1425" t="s">
        <v>1460</v>
      </c>
      <c r="B54" s="387"/>
      <c r="C54" s="387"/>
      <c r="D54" s="387"/>
      <c r="E54" s="387"/>
      <c r="F54" s="387"/>
      <c r="G54" s="387"/>
      <c r="H54" s="387"/>
      <c r="I54" s="387"/>
      <c r="J54" s="387"/>
      <c r="K54" s="387"/>
      <c r="L54" s="387"/>
      <c r="M54" s="387"/>
      <c r="N54" s="387"/>
      <c r="O54" s="387"/>
      <c r="P54" s="387"/>
      <c r="Q54" s="387"/>
      <c r="R54" s="387"/>
    </row>
    <row r="55" spans="1:20">
      <c r="B55" s="1476"/>
      <c r="C55" s="1476"/>
      <c r="D55" s="1476"/>
      <c r="E55" s="1476"/>
      <c r="F55" s="1476"/>
      <c r="G55" s="1476"/>
      <c r="H55" s="1476"/>
      <c r="I55" s="1476"/>
      <c r="J55" s="1476"/>
      <c r="K55" s="1476"/>
      <c r="L55" s="1476"/>
      <c r="M55" s="1476"/>
      <c r="N55" s="1476"/>
      <c r="O55" s="1476"/>
      <c r="P55" s="1476"/>
      <c r="Q55" s="1476"/>
    </row>
    <row r="56" spans="1:20">
      <c r="B56" s="1476"/>
      <c r="C56" s="1476"/>
      <c r="D56" s="1476"/>
      <c r="E56" s="1476"/>
      <c r="F56" s="1476"/>
      <c r="G56" s="1476"/>
      <c r="H56" s="1476"/>
      <c r="I56" s="1476"/>
      <c r="J56" s="1476"/>
      <c r="K56" s="1476"/>
      <c r="L56" s="1476"/>
      <c r="M56" s="1476"/>
      <c r="N56" s="1476"/>
      <c r="O56" s="1476"/>
      <c r="P56" s="1476"/>
      <c r="Q56" s="1476"/>
    </row>
    <row r="57" spans="1:20">
      <c r="B57" s="1476"/>
      <c r="C57" s="1476"/>
      <c r="D57" s="1476"/>
      <c r="E57" s="1476"/>
      <c r="F57" s="1476"/>
      <c r="G57" s="1476"/>
      <c r="H57" s="1476"/>
      <c r="I57" s="1476"/>
      <c r="J57" s="1476"/>
      <c r="K57" s="1476"/>
      <c r="L57" s="1476"/>
      <c r="M57" s="1476"/>
      <c r="N57" s="1476"/>
      <c r="O57" s="1476"/>
      <c r="P57" s="1476"/>
      <c r="Q57" s="1476"/>
    </row>
  </sheetData>
  <mergeCells count="7">
    <mergeCell ref="A5:A7"/>
    <mergeCell ref="B5:B7"/>
    <mergeCell ref="G5:G7"/>
    <mergeCell ref="R5:R7"/>
    <mergeCell ref="H5:K5"/>
    <mergeCell ref="L5:L7"/>
    <mergeCell ref="M5:P5"/>
  </mergeCells>
  <printOptions horizontalCentered="1" verticalCentered="1"/>
  <pageMargins left="0" right="0" top="0" bottom="0" header="0.3" footer="0.3"/>
  <pageSetup paperSize="9" scale="6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5">
    <pageSetUpPr fitToPage="1"/>
  </sheetPr>
  <dimension ref="A1:U36"/>
  <sheetViews>
    <sheetView zoomScale="80" zoomScaleNormal="80" workbookViewId="0">
      <selection activeCell="B2" sqref="B2"/>
    </sheetView>
  </sheetViews>
  <sheetFormatPr defaultColWidth="9.21875" defaultRowHeight="15"/>
  <cols>
    <col min="1" max="1" width="32.77734375" style="180" customWidth="1"/>
    <col min="2" max="6" width="13.77734375" style="180" hidden="1" customWidth="1"/>
    <col min="7" max="17" width="13.77734375" style="180" customWidth="1"/>
    <col min="18" max="18" width="29.77734375" style="180" customWidth="1"/>
    <col min="19" max="20" width="9.21875" style="180"/>
    <col min="21" max="21" width="15.44140625" style="180" customWidth="1"/>
    <col min="22" max="16384" width="9.21875" style="180"/>
  </cols>
  <sheetData>
    <row r="1" spans="1:21" s="1418" customFormat="1" ht="18" customHeight="1">
      <c r="A1" s="1416" t="s">
        <v>1461</v>
      </c>
      <c r="B1" s="1416"/>
      <c r="C1" s="1416"/>
      <c r="D1" s="1416"/>
      <c r="E1" s="1416"/>
      <c r="F1" s="1416"/>
      <c r="G1" s="1416"/>
      <c r="H1" s="1416"/>
      <c r="I1" s="1416"/>
      <c r="J1" s="1416"/>
      <c r="K1" s="1416"/>
      <c r="L1" s="1416"/>
      <c r="M1" s="1416"/>
      <c r="N1" s="1416"/>
      <c r="O1" s="1416"/>
      <c r="P1" s="1416"/>
      <c r="Q1" s="1416"/>
      <c r="R1" s="1417"/>
    </row>
    <row r="2" spans="1:21" s="1418" customFormat="1" ht="18" customHeight="1">
      <c r="A2" s="1417" t="s">
        <v>102</v>
      </c>
      <c r="B2" s="1417"/>
      <c r="C2" s="1417"/>
      <c r="D2" s="1417"/>
      <c r="E2" s="1417"/>
      <c r="F2" s="1417"/>
      <c r="G2" s="1417"/>
      <c r="H2" s="1417"/>
      <c r="I2" s="1417"/>
      <c r="J2" s="1417"/>
      <c r="K2" s="1417"/>
      <c r="L2" s="1417"/>
      <c r="M2" s="1417"/>
      <c r="N2" s="1417"/>
      <c r="O2" s="1417"/>
      <c r="P2" s="1417"/>
      <c r="Q2" s="1417"/>
      <c r="R2" s="1417"/>
    </row>
    <row r="3" spans="1:21" s="1418" customFormat="1" ht="18" customHeight="1">
      <c r="A3" s="1417" t="s">
        <v>101</v>
      </c>
      <c r="B3" s="1417"/>
      <c r="C3" s="1417"/>
      <c r="D3" s="1417"/>
      <c r="E3" s="1417"/>
      <c r="F3" s="1417"/>
      <c r="G3" s="1417"/>
      <c r="H3" s="1417"/>
      <c r="I3" s="1417"/>
      <c r="J3" s="1417"/>
      <c r="K3" s="1417"/>
      <c r="L3" s="1417"/>
      <c r="M3" s="1417"/>
      <c r="N3" s="1417"/>
      <c r="O3" s="1417"/>
      <c r="P3" s="1417"/>
      <c r="Q3" s="1417"/>
      <c r="R3" s="1417"/>
    </row>
    <row r="4" spans="1:21" ht="15.6">
      <c r="A4" s="381" t="s">
        <v>1145</v>
      </c>
      <c r="B4" s="1419"/>
      <c r="C4" s="1419"/>
      <c r="D4" s="1419"/>
      <c r="E4" s="1419"/>
      <c r="F4" s="1419"/>
      <c r="G4" s="1419"/>
      <c r="H4" s="1419"/>
      <c r="I4" s="1419"/>
      <c r="J4" s="1419"/>
      <c r="K4" s="1419"/>
      <c r="L4" s="1419"/>
      <c r="M4" s="1419"/>
      <c r="N4" s="1419"/>
      <c r="O4" s="1419"/>
      <c r="P4" s="1419"/>
      <c r="Q4" s="1419"/>
      <c r="R4" s="1420" t="s">
        <v>370</v>
      </c>
    </row>
    <row r="5" spans="1:21" ht="18" customHeight="1">
      <c r="A5" s="1294" t="s">
        <v>1375</v>
      </c>
      <c r="B5" s="1297">
        <v>2023</v>
      </c>
      <c r="C5" s="601">
        <v>2023</v>
      </c>
      <c r="D5" s="601"/>
      <c r="E5" s="601"/>
      <c r="F5" s="601"/>
      <c r="G5" s="1297">
        <v>2024</v>
      </c>
      <c r="H5" s="1299">
        <v>2024</v>
      </c>
      <c r="I5" s="1300"/>
      <c r="J5" s="1300"/>
      <c r="K5" s="1301"/>
      <c r="L5" s="1297" t="s">
        <v>1376</v>
      </c>
      <c r="M5" s="601" t="s">
        <v>1376</v>
      </c>
      <c r="N5" s="601"/>
      <c r="O5" s="601"/>
      <c r="P5" s="601"/>
      <c r="Q5" s="601" t="s">
        <v>1714</v>
      </c>
      <c r="R5" s="1291" t="s">
        <v>1377</v>
      </c>
    </row>
    <row r="6" spans="1:21" ht="18" customHeight="1">
      <c r="A6" s="1295"/>
      <c r="B6" s="1298"/>
      <c r="C6" s="865" t="s">
        <v>1378</v>
      </c>
      <c r="D6" s="865" t="s">
        <v>1379</v>
      </c>
      <c r="E6" s="865" t="s">
        <v>1380</v>
      </c>
      <c r="F6" s="928" t="s">
        <v>1381</v>
      </c>
      <c r="G6" s="1298"/>
      <c r="H6" s="865" t="s">
        <v>1378</v>
      </c>
      <c r="I6" s="865" t="s">
        <v>1379</v>
      </c>
      <c r="J6" s="865" t="s">
        <v>1380</v>
      </c>
      <c r="K6" s="928" t="s">
        <v>1381</v>
      </c>
      <c r="L6" s="1298"/>
      <c r="M6" s="865" t="s">
        <v>1378</v>
      </c>
      <c r="N6" s="865" t="s">
        <v>1379</v>
      </c>
      <c r="O6" s="865" t="s">
        <v>1380</v>
      </c>
      <c r="P6" s="865" t="s">
        <v>1381</v>
      </c>
      <c r="Q6" s="865" t="s">
        <v>1378</v>
      </c>
      <c r="R6" s="1292"/>
    </row>
    <row r="7" spans="1:21" ht="18" customHeight="1">
      <c r="A7" s="1296"/>
      <c r="B7" s="1421"/>
      <c r="C7" s="800" t="s">
        <v>239</v>
      </c>
      <c r="D7" s="800" t="s">
        <v>240</v>
      </c>
      <c r="E7" s="800" t="s">
        <v>237</v>
      </c>
      <c r="F7" s="800" t="s">
        <v>238</v>
      </c>
      <c r="G7" s="1421"/>
      <c r="H7" s="800" t="s">
        <v>239</v>
      </c>
      <c r="I7" s="800" t="s">
        <v>240</v>
      </c>
      <c r="J7" s="800" t="s">
        <v>237</v>
      </c>
      <c r="K7" s="800" t="s">
        <v>238</v>
      </c>
      <c r="L7" s="1302"/>
      <c r="M7" s="800" t="s">
        <v>239</v>
      </c>
      <c r="N7" s="800" t="s">
        <v>240</v>
      </c>
      <c r="O7" s="800" t="s">
        <v>237</v>
      </c>
      <c r="P7" s="800" t="s">
        <v>238</v>
      </c>
      <c r="Q7" s="800" t="s">
        <v>239</v>
      </c>
      <c r="R7" s="1293"/>
    </row>
    <row r="8" spans="1:21" s="321" customFormat="1" ht="33" customHeight="1">
      <c r="A8" s="1422" t="s">
        <v>1462</v>
      </c>
      <c r="B8" s="759">
        <f>F8</f>
        <v>10572.700000000004</v>
      </c>
      <c r="C8" s="759">
        <f t="shared" ref="C8:P8" si="0">C9-C14</f>
        <v>10200.099999999999</v>
      </c>
      <c r="D8" s="759">
        <f t="shared" si="0"/>
        <v>10250.299999999996</v>
      </c>
      <c r="E8" s="759">
        <f t="shared" si="0"/>
        <v>10136.599999999999</v>
      </c>
      <c r="F8" s="759">
        <f t="shared" si="0"/>
        <v>10572.700000000004</v>
      </c>
      <c r="G8" s="759">
        <f>K8</f>
        <v>10419.495693180805</v>
      </c>
      <c r="H8" s="759">
        <f>H9-H14-0.1</f>
        <v>10160.576229789249</v>
      </c>
      <c r="I8" s="759">
        <f>I9-I14-0.1</f>
        <v>10566.562263137783</v>
      </c>
      <c r="J8" s="759">
        <f t="shared" si="0"/>
        <v>10782.342950865444</v>
      </c>
      <c r="K8" s="759">
        <f t="shared" si="0"/>
        <v>10419.495693180805</v>
      </c>
      <c r="L8" s="1203">
        <f>P8</f>
        <v>11185.570874961864</v>
      </c>
      <c r="M8" s="759">
        <f t="shared" si="0"/>
        <v>10577.397319020907</v>
      </c>
      <c r="N8" s="759">
        <f t="shared" si="0"/>
        <v>10534.896201407842</v>
      </c>
      <c r="O8" s="759">
        <f t="shared" si="0"/>
        <v>10686.873014628516</v>
      </c>
      <c r="P8" s="759">
        <f t="shared" si="0"/>
        <v>11185.570874961864</v>
      </c>
      <c r="Q8" s="759">
        <f t="shared" ref="Q8" si="1">Q9-Q14</f>
        <v>10777.189935973642</v>
      </c>
      <c r="R8" s="557" t="s">
        <v>1463</v>
      </c>
    </row>
    <row r="9" spans="1:21" s="321" customFormat="1" ht="30" customHeight="1">
      <c r="A9" s="558" t="s">
        <v>778</v>
      </c>
      <c r="B9" s="559">
        <f t="shared" ref="B9:B17" si="2">F9</f>
        <v>62206.1</v>
      </c>
      <c r="C9" s="559">
        <f t="shared" ref="C9:D9" si="3">SUM(C10:C13)</f>
        <v>58052.6</v>
      </c>
      <c r="D9" s="559">
        <f t="shared" si="3"/>
        <v>59028.1</v>
      </c>
      <c r="E9" s="559">
        <f t="shared" ref="E9:O9" si="4">SUM(E10:E13)</f>
        <v>60037.599999999999</v>
      </c>
      <c r="F9" s="559">
        <f t="shared" si="4"/>
        <v>62206.1</v>
      </c>
      <c r="G9" s="559">
        <f t="shared" ref="G9:G17" si="5">K9</f>
        <v>65954.125197947928</v>
      </c>
      <c r="H9" s="559">
        <f>SUM(H10:H13)+0.1</f>
        <v>63041.529163959662</v>
      </c>
      <c r="I9" s="559">
        <f t="shared" si="4"/>
        <v>64235.025623996487</v>
      </c>
      <c r="J9" s="559">
        <f>SUM(J10:J13)+0.1</f>
        <v>65876.948484758643</v>
      </c>
      <c r="K9" s="559">
        <f>SUM(K10:K13)+0.1</f>
        <v>65954.125197947928</v>
      </c>
      <c r="L9" s="565">
        <f t="shared" ref="L9:L17" si="6">P9</f>
        <v>69438.455125730557</v>
      </c>
      <c r="M9" s="559">
        <f t="shared" si="4"/>
        <v>65096.676210550962</v>
      </c>
      <c r="N9" s="559">
        <f t="shared" si="4"/>
        <v>67675.934786087848</v>
      </c>
      <c r="O9" s="559">
        <f t="shared" si="4"/>
        <v>68578.599183859071</v>
      </c>
      <c r="P9" s="559">
        <f>SUM(P10:P13)-0.1</f>
        <v>69438.455125730557</v>
      </c>
      <c r="Q9" s="559">
        <f>SUM(Q10:Q13)</f>
        <v>68310.086455298355</v>
      </c>
      <c r="R9" s="557" t="s">
        <v>1464</v>
      </c>
    </row>
    <row r="10" spans="1:21" s="321" customFormat="1" ht="22.5" customHeight="1">
      <c r="A10" s="560" t="s">
        <v>1465</v>
      </c>
      <c r="B10" s="561">
        <f t="shared" si="2"/>
        <v>8297.4</v>
      </c>
      <c r="C10" s="561">
        <v>7957.3</v>
      </c>
      <c r="D10" s="561">
        <v>8033.6</v>
      </c>
      <c r="E10" s="561">
        <v>8179.7</v>
      </c>
      <c r="F10" s="561">
        <v>8297.4</v>
      </c>
      <c r="G10" s="561">
        <f t="shared" si="5"/>
        <v>8500</v>
      </c>
      <c r="H10" s="561">
        <v>8241</v>
      </c>
      <c r="I10" s="561">
        <v>8278</v>
      </c>
      <c r="J10" s="561">
        <v>8355.1</v>
      </c>
      <c r="K10" s="561">
        <v>8500</v>
      </c>
      <c r="L10" s="561">
        <f t="shared" si="6"/>
        <v>8706.7999999999993</v>
      </c>
      <c r="M10" s="561">
        <v>8335.5</v>
      </c>
      <c r="N10" s="561">
        <v>8479.4</v>
      </c>
      <c r="O10" s="561">
        <v>8558.3700000000008</v>
      </c>
      <c r="P10" s="561">
        <v>8706.7999999999993</v>
      </c>
      <c r="Q10" s="561">
        <v>8254</v>
      </c>
      <c r="R10" s="562" t="s">
        <v>1466</v>
      </c>
      <c r="U10" s="770"/>
    </row>
    <row r="11" spans="1:21" s="321" customFormat="1" ht="22.5" customHeight="1">
      <c r="A11" s="560" t="s">
        <v>1467</v>
      </c>
      <c r="B11" s="561">
        <f t="shared" si="2"/>
        <v>20292.099999999999</v>
      </c>
      <c r="C11" s="561">
        <v>18950.5</v>
      </c>
      <c r="D11" s="561">
        <v>19025.599999999999</v>
      </c>
      <c r="E11" s="561">
        <v>19169.5</v>
      </c>
      <c r="F11" s="561">
        <v>20292.099999999999</v>
      </c>
      <c r="G11" s="561">
        <f t="shared" si="5"/>
        <v>22017.862455227736</v>
      </c>
      <c r="H11" s="561">
        <v>20352.666734775205</v>
      </c>
      <c r="I11" s="561">
        <v>20595.135116583202</v>
      </c>
      <c r="J11" s="561">
        <v>21301.897015112962</v>
      </c>
      <c r="K11" s="561">
        <v>22017.862455227736</v>
      </c>
      <c r="L11" s="561">
        <f t="shared" si="6"/>
        <v>22579.715552475522</v>
      </c>
      <c r="M11" s="561">
        <v>22092.782067151777</v>
      </c>
      <c r="N11" s="561">
        <v>21748.223616505558</v>
      </c>
      <c r="O11" s="561">
        <v>21884.579575103013</v>
      </c>
      <c r="P11" s="561">
        <v>22579.715552475522</v>
      </c>
      <c r="Q11" s="561">
        <v>20918.059523954602</v>
      </c>
      <c r="R11" s="562" t="s">
        <v>1468</v>
      </c>
      <c r="U11" s="770"/>
    </row>
    <row r="12" spans="1:21" s="321" customFormat="1" ht="22.5" customHeight="1">
      <c r="A12" s="560" t="s">
        <v>1469</v>
      </c>
      <c r="B12" s="561">
        <f t="shared" si="2"/>
        <v>31805</v>
      </c>
      <c r="C12" s="561">
        <v>29510.799999999999</v>
      </c>
      <c r="D12" s="561">
        <v>29721.3</v>
      </c>
      <c r="E12" s="561">
        <v>30902.5</v>
      </c>
      <c r="F12" s="561">
        <v>31805</v>
      </c>
      <c r="G12" s="561">
        <f t="shared" si="5"/>
        <v>33717.062742720176</v>
      </c>
      <c r="H12" s="561">
        <v>32632.462429184452</v>
      </c>
      <c r="I12" s="561">
        <v>33563.590507413282</v>
      </c>
      <c r="J12" s="561">
        <v>34016.451469645675</v>
      </c>
      <c r="K12" s="561">
        <v>33717.062742720176</v>
      </c>
      <c r="L12" s="561">
        <f t="shared" si="6"/>
        <v>36175.739573255036</v>
      </c>
      <c r="M12" s="561">
        <v>33325.094143399183</v>
      </c>
      <c r="N12" s="561">
        <v>35712.511169582292</v>
      </c>
      <c r="O12" s="561">
        <v>36611.149608756052</v>
      </c>
      <c r="P12" s="561">
        <v>36175.739573255036</v>
      </c>
      <c r="Q12" s="561">
        <v>36629.72693134375</v>
      </c>
      <c r="R12" s="562" t="s">
        <v>1470</v>
      </c>
      <c r="U12" s="770"/>
    </row>
    <row r="13" spans="1:21" s="321" customFormat="1" ht="22.5" customHeight="1">
      <c r="A13" s="563" t="s">
        <v>1471</v>
      </c>
      <c r="B13" s="561">
        <f t="shared" si="2"/>
        <v>1811.6</v>
      </c>
      <c r="C13" s="561">
        <v>1634</v>
      </c>
      <c r="D13" s="561">
        <v>2247.6</v>
      </c>
      <c r="E13" s="561">
        <v>1785.9</v>
      </c>
      <c r="F13" s="561">
        <v>1811.6</v>
      </c>
      <c r="G13" s="561">
        <f t="shared" si="5"/>
        <v>1719.1</v>
      </c>
      <c r="H13" s="561">
        <v>1815.3000000000002</v>
      </c>
      <c r="I13" s="561">
        <v>1798.3</v>
      </c>
      <c r="J13" s="561">
        <v>2203.4</v>
      </c>
      <c r="K13" s="561">
        <v>1719.1</v>
      </c>
      <c r="L13" s="561">
        <f t="shared" si="6"/>
        <v>1976.3</v>
      </c>
      <c r="M13" s="561">
        <v>1343.3</v>
      </c>
      <c r="N13" s="561">
        <v>1735.8</v>
      </c>
      <c r="O13" s="561">
        <v>1524.5</v>
      </c>
      <c r="P13" s="561">
        <v>1976.3</v>
      </c>
      <c r="Q13" s="561">
        <v>2508.3000000000002</v>
      </c>
      <c r="R13" s="562" t="s">
        <v>1472</v>
      </c>
      <c r="U13" s="770"/>
    </row>
    <row r="14" spans="1:21" s="321" customFormat="1" ht="30" customHeight="1">
      <c r="A14" s="564" t="s">
        <v>1014</v>
      </c>
      <c r="B14" s="565">
        <f t="shared" si="2"/>
        <v>51633.399999999994</v>
      </c>
      <c r="C14" s="565">
        <f t="shared" ref="C14:N14" si="7">SUM(C15:C17)</f>
        <v>47852.5</v>
      </c>
      <c r="D14" s="565">
        <f t="shared" si="7"/>
        <v>48777.8</v>
      </c>
      <c r="E14" s="565">
        <f t="shared" si="7"/>
        <v>49901</v>
      </c>
      <c r="F14" s="565">
        <f t="shared" si="7"/>
        <v>51633.399999999994</v>
      </c>
      <c r="G14" s="565">
        <f t="shared" si="5"/>
        <v>55534.629504767123</v>
      </c>
      <c r="H14" s="565">
        <f t="shared" si="7"/>
        <v>52880.852934170412</v>
      </c>
      <c r="I14" s="565">
        <f t="shared" si="7"/>
        <v>53668.363360858704</v>
      </c>
      <c r="J14" s="565">
        <f>SUM(J15:J17)-0.1</f>
        <v>55094.605533893198</v>
      </c>
      <c r="K14" s="565">
        <f t="shared" si="7"/>
        <v>55534.629504767123</v>
      </c>
      <c r="L14" s="565">
        <f t="shared" si="6"/>
        <v>58252.884250768693</v>
      </c>
      <c r="M14" s="565">
        <f>SUM(M15:M17)-0.1</f>
        <v>54519.278891530055</v>
      </c>
      <c r="N14" s="565">
        <f t="shared" si="7"/>
        <v>57141.038584680005</v>
      </c>
      <c r="O14" s="565">
        <f>SUM(O15:O17)-0.1</f>
        <v>57891.726169230555</v>
      </c>
      <c r="P14" s="565">
        <f t="shared" ref="P14:Q14" si="8">SUM(P15:P17)</f>
        <v>58252.884250768693</v>
      </c>
      <c r="Q14" s="565">
        <f t="shared" si="8"/>
        <v>57532.896519324713</v>
      </c>
      <c r="R14" s="557" t="s">
        <v>1473</v>
      </c>
    </row>
    <row r="15" spans="1:21" s="321" customFormat="1" ht="22.5" customHeight="1">
      <c r="A15" s="563" t="s">
        <v>1474</v>
      </c>
      <c r="B15" s="561">
        <f t="shared" si="2"/>
        <v>16344.9</v>
      </c>
      <c r="C15" s="561">
        <v>14767.2</v>
      </c>
      <c r="D15" s="561">
        <v>15195</v>
      </c>
      <c r="E15" s="561">
        <v>15909.1</v>
      </c>
      <c r="F15" s="561">
        <v>16344.9</v>
      </c>
      <c r="G15" s="561">
        <f t="shared" si="5"/>
        <v>17423.79</v>
      </c>
      <c r="H15" s="561">
        <v>16549.96</v>
      </c>
      <c r="I15" s="561">
        <v>16550</v>
      </c>
      <c r="J15" s="561">
        <v>16691.93</v>
      </c>
      <c r="K15" s="561">
        <v>17423.79</v>
      </c>
      <c r="L15" s="561">
        <f t="shared" si="6"/>
        <v>17778.52</v>
      </c>
      <c r="M15" s="561">
        <v>17188.34</v>
      </c>
      <c r="N15" s="561">
        <v>17272.080000000002</v>
      </c>
      <c r="O15" s="561">
        <v>17484.760000000002</v>
      </c>
      <c r="P15" s="561">
        <v>17778.52</v>
      </c>
      <c r="Q15" s="561">
        <v>17637.75</v>
      </c>
      <c r="R15" s="562" t="s">
        <v>1475</v>
      </c>
      <c r="U15" s="770"/>
    </row>
    <row r="16" spans="1:21" s="321" customFormat="1" ht="22.5" customHeight="1">
      <c r="A16" s="563" t="s">
        <v>1467</v>
      </c>
      <c r="B16" s="561">
        <f t="shared" si="2"/>
        <v>11702.4</v>
      </c>
      <c r="C16" s="561">
        <v>10462.700000000001</v>
      </c>
      <c r="D16" s="561">
        <v>11214.6</v>
      </c>
      <c r="E16" s="561">
        <v>11024.2</v>
      </c>
      <c r="F16" s="561">
        <v>11702.4</v>
      </c>
      <c r="G16" s="561">
        <f t="shared" si="5"/>
        <v>12984.698581006289</v>
      </c>
      <c r="H16" s="561">
        <v>11845.738565791429</v>
      </c>
      <c r="I16" s="561">
        <v>11851.47558733308</v>
      </c>
      <c r="J16" s="561">
        <v>12417.63599988064</v>
      </c>
      <c r="K16" s="561">
        <v>12984.698581006289</v>
      </c>
      <c r="L16" s="561">
        <f t="shared" si="6"/>
        <v>15024.756015321451</v>
      </c>
      <c r="M16" s="561">
        <v>12625.102217559859</v>
      </c>
      <c r="N16" s="561">
        <v>13562.20458615266</v>
      </c>
      <c r="O16" s="561">
        <v>14350.337343103469</v>
      </c>
      <c r="P16" s="561">
        <v>15024.756015321451</v>
      </c>
      <c r="Q16" s="561">
        <v>15470.600293003712</v>
      </c>
      <c r="R16" s="562" t="s">
        <v>1468</v>
      </c>
      <c r="U16" s="770"/>
    </row>
    <row r="17" spans="1:21" s="321" customFormat="1" ht="22.5" customHeight="1">
      <c r="A17" s="560" t="s">
        <v>1469</v>
      </c>
      <c r="B17" s="566">
        <f t="shared" si="2"/>
        <v>23586.1</v>
      </c>
      <c r="C17" s="566">
        <v>22622.6</v>
      </c>
      <c r="D17" s="566">
        <v>22368.2</v>
      </c>
      <c r="E17" s="566">
        <v>22967.7</v>
      </c>
      <c r="F17" s="566">
        <v>23586.1</v>
      </c>
      <c r="G17" s="566">
        <f t="shared" si="5"/>
        <v>25126.140923760831</v>
      </c>
      <c r="H17" s="566">
        <v>24485.15436837899</v>
      </c>
      <c r="I17" s="566">
        <v>25266.887773525625</v>
      </c>
      <c r="J17" s="566">
        <v>25985.13953401256</v>
      </c>
      <c r="K17" s="566">
        <v>25126.140923760831</v>
      </c>
      <c r="L17" s="566">
        <f t="shared" si="6"/>
        <v>25449.608235447246</v>
      </c>
      <c r="M17" s="566">
        <v>24705.936673970191</v>
      </c>
      <c r="N17" s="566">
        <v>26306.753998527343</v>
      </c>
      <c r="O17" s="566">
        <v>26056.728826127081</v>
      </c>
      <c r="P17" s="566">
        <v>25449.608235447246</v>
      </c>
      <c r="Q17" s="566">
        <v>24424.546226321003</v>
      </c>
      <c r="R17" s="562" t="s">
        <v>1470</v>
      </c>
      <c r="U17" s="770"/>
    </row>
    <row r="18" spans="1:21" s="381" customFormat="1" ht="20.25" customHeight="1">
      <c r="A18" s="380" t="s">
        <v>1476</v>
      </c>
      <c r="B18" s="567"/>
      <c r="C18" s="567"/>
      <c r="D18" s="567"/>
      <c r="E18" s="567"/>
      <c r="F18" s="567"/>
      <c r="G18" s="567"/>
      <c r="H18" s="567"/>
      <c r="I18" s="567"/>
      <c r="J18" s="567"/>
      <c r="K18" s="567"/>
      <c r="L18" s="567"/>
      <c r="M18" s="567"/>
      <c r="N18" s="567"/>
      <c r="O18" s="567"/>
      <c r="P18" s="567"/>
      <c r="Q18" s="567"/>
      <c r="R18" s="568" t="s">
        <v>1477</v>
      </c>
    </row>
    <row r="19" spans="1:21" ht="15.6">
      <c r="B19" s="569"/>
      <c r="C19" s="569"/>
      <c r="D19" s="569"/>
      <c r="E19" s="569"/>
      <c r="F19" s="569"/>
      <c r="G19" s="569"/>
      <c r="H19" s="569"/>
      <c r="I19" s="569"/>
      <c r="J19" s="569"/>
      <c r="K19" s="569"/>
      <c r="L19" s="569"/>
      <c r="M19" s="569"/>
      <c r="N19" s="569"/>
      <c r="O19" s="569"/>
      <c r="P19" s="569"/>
      <c r="Q19" s="569"/>
    </row>
    <row r="21" spans="1:21">
      <c r="C21" s="348"/>
      <c r="D21" s="348"/>
      <c r="E21" s="348"/>
      <c r="F21" s="348"/>
      <c r="H21" s="348"/>
      <c r="I21" s="348"/>
      <c r="J21" s="348"/>
      <c r="K21" s="348"/>
      <c r="L21" s="348"/>
      <c r="M21" s="348"/>
      <c r="N21" s="348"/>
      <c r="O21" s="348"/>
      <c r="P21" s="348"/>
      <c r="Q21" s="348"/>
    </row>
    <row r="26" spans="1:21">
      <c r="A26" s="382" t="s">
        <v>1478</v>
      </c>
      <c r="B26" s="276"/>
      <c r="C26" s="276"/>
      <c r="D26" s="276"/>
      <c r="E26" s="276"/>
      <c r="F26" s="276"/>
      <c r="G26" s="276"/>
      <c r="H26" s="276"/>
      <c r="I26" s="276"/>
      <c r="J26" s="276"/>
      <c r="K26" s="276"/>
      <c r="L26" s="276"/>
      <c r="M26" s="276"/>
      <c r="N26" s="276"/>
      <c r="O26" s="276"/>
      <c r="P26" s="276"/>
      <c r="Q26" s="276"/>
      <c r="R26" s="276"/>
    </row>
    <row r="33" s="180" customFormat="1"/>
    <row r="34" s="180" customFormat="1"/>
    <row r="35" s="180" customFormat="1"/>
    <row r="36" s="180" customFormat="1"/>
  </sheetData>
  <mergeCells count="6">
    <mergeCell ref="R5:R7"/>
    <mergeCell ref="A5:A7"/>
    <mergeCell ref="B5:B7"/>
    <mergeCell ref="G5:G7"/>
    <mergeCell ref="H5:K5"/>
    <mergeCell ref="L5:L7"/>
  </mergeCells>
  <printOptions horizontalCentered="1" verticalCentered="1"/>
  <pageMargins left="0.5" right="0.5" top="0" bottom="0" header="0.3" footer="0.3"/>
  <pageSetup paperSize="9" scale="6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E50"/>
  <sheetViews>
    <sheetView zoomScale="90" zoomScaleNormal="90" workbookViewId="0">
      <pane ySplit="12" topLeftCell="A40" activePane="bottomLeft" state="frozen"/>
      <selection activeCell="B2" sqref="B2"/>
      <selection pane="bottomLeft" activeCell="B2" sqref="B2"/>
    </sheetView>
  </sheetViews>
  <sheetFormatPr defaultColWidth="8.77734375" defaultRowHeight="13.2"/>
  <cols>
    <col min="1" max="2" width="9.77734375" style="1413" customWidth="1"/>
    <col min="3" max="3" width="13.21875" style="1413" bestFit="1" customWidth="1"/>
    <col min="4" max="4" width="14.21875" style="1413" customWidth="1"/>
    <col min="5" max="5" width="20.21875" style="1413" bestFit="1" customWidth="1"/>
    <col min="6" max="6" width="21" style="1413" bestFit="1" customWidth="1"/>
    <col min="7" max="7" width="16" style="1413" customWidth="1"/>
    <col min="8" max="8" width="18" style="1413" customWidth="1"/>
    <col min="9" max="9" width="9.21875" style="1412" customWidth="1"/>
    <col min="10" max="16384" width="8.77734375" style="1413"/>
  </cols>
  <sheetData>
    <row r="1" spans="1:18" s="23" customFormat="1" ht="17.399999999999999">
      <c r="A1" s="16" t="s">
        <v>1736</v>
      </c>
      <c r="B1" s="4"/>
      <c r="C1" s="4"/>
      <c r="D1" s="4"/>
      <c r="E1" s="4"/>
      <c r="F1" s="4"/>
      <c r="G1" s="4"/>
      <c r="H1" s="4"/>
      <c r="I1" s="1404"/>
    </row>
    <row r="2" spans="1:18" s="23" customFormat="1" ht="17.399999999999999" hidden="1">
      <c r="A2" s="1405" t="s">
        <v>365</v>
      </c>
      <c r="B2" s="4"/>
      <c r="C2" s="4"/>
      <c r="D2" s="4"/>
      <c r="E2" s="4"/>
      <c r="F2" s="4"/>
      <c r="G2" s="4"/>
      <c r="H2" s="4"/>
      <c r="I2" s="1404"/>
    </row>
    <row r="3" spans="1:18" s="23" customFormat="1" ht="19.2" hidden="1">
      <c r="A3" s="1406" t="s">
        <v>366</v>
      </c>
      <c r="B3" s="4"/>
      <c r="C3" s="4"/>
      <c r="D3" s="4"/>
      <c r="E3" s="4"/>
      <c r="F3" s="4"/>
      <c r="G3" s="4"/>
      <c r="H3" s="4"/>
      <c r="I3" s="1404"/>
    </row>
    <row r="4" spans="1:18" s="23" customFormat="1" ht="17.399999999999999">
      <c r="A4" s="1405" t="s">
        <v>1479</v>
      </c>
      <c r="B4" s="4"/>
      <c r="C4" s="4"/>
      <c r="D4" s="4"/>
      <c r="E4" s="4"/>
      <c r="F4" s="4"/>
      <c r="G4" s="4"/>
      <c r="H4" s="4"/>
      <c r="I4" s="1404"/>
    </row>
    <row r="5" spans="1:18" s="23" customFormat="1" ht="19.2">
      <c r="A5" s="1406" t="s">
        <v>103</v>
      </c>
      <c r="B5" s="4"/>
      <c r="C5" s="4"/>
      <c r="D5" s="4"/>
      <c r="E5" s="4"/>
      <c r="F5" s="4"/>
      <c r="G5" s="4"/>
      <c r="H5" s="4"/>
      <c r="I5" s="1404"/>
    </row>
    <row r="6" spans="1:18" s="8" customFormat="1" ht="15">
      <c r="I6" s="234"/>
    </row>
    <row r="7" spans="1:18" s="8" customFormat="1" ht="15">
      <c r="A7" s="1166" t="s">
        <v>369</v>
      </c>
      <c r="B7" s="172"/>
      <c r="C7" s="172"/>
      <c r="D7" s="172"/>
      <c r="E7" s="172"/>
      <c r="F7" s="172"/>
      <c r="G7" s="172"/>
      <c r="H7" s="1407" t="s">
        <v>370</v>
      </c>
      <c r="I7" s="234"/>
    </row>
    <row r="8" spans="1:18" s="34" customFormat="1" ht="18" customHeight="1">
      <c r="A8" s="56"/>
      <c r="C8" s="273" t="s">
        <v>1480</v>
      </c>
      <c r="D8" s="54"/>
      <c r="E8" s="1167" t="s">
        <v>1481</v>
      </c>
      <c r="F8" s="1167"/>
      <c r="G8" s="1168"/>
      <c r="H8" s="1169" t="s">
        <v>1482</v>
      </c>
      <c r="I8" s="240"/>
    </row>
    <row r="9" spans="1:18" s="34" customFormat="1" ht="18" customHeight="1">
      <c r="A9" s="24" t="s">
        <v>379</v>
      </c>
      <c r="B9" s="74"/>
      <c r="C9" s="87" t="s">
        <v>397</v>
      </c>
      <c r="D9" s="88"/>
      <c r="E9" s="61" t="s">
        <v>1483</v>
      </c>
      <c r="F9" s="59" t="s">
        <v>1484</v>
      </c>
      <c r="G9" s="59" t="s">
        <v>1485</v>
      </c>
      <c r="H9" s="313" t="s">
        <v>1486</v>
      </c>
      <c r="I9" s="240"/>
    </row>
    <row r="10" spans="1:18" s="34" customFormat="1" ht="18" customHeight="1">
      <c r="A10" s="82" t="s">
        <v>387</v>
      </c>
      <c r="B10" s="125"/>
      <c r="C10" s="307" t="s">
        <v>1487</v>
      </c>
      <c r="D10" s="59" t="s">
        <v>1639</v>
      </c>
      <c r="E10" s="110" t="s">
        <v>1488</v>
      </c>
      <c r="F10" s="59" t="s">
        <v>1489</v>
      </c>
      <c r="G10" s="202" t="s">
        <v>375</v>
      </c>
      <c r="H10" s="173" t="s">
        <v>392</v>
      </c>
      <c r="I10" s="240"/>
    </row>
    <row r="11" spans="1:18" s="39" customFormat="1" ht="18" customHeight="1">
      <c r="A11" s="97"/>
      <c r="B11" s="60"/>
      <c r="C11" s="126" t="s">
        <v>1490</v>
      </c>
      <c r="D11" s="84" t="s">
        <v>1213</v>
      </c>
      <c r="E11" s="110" t="s">
        <v>1491</v>
      </c>
      <c r="F11" s="110" t="s">
        <v>1492</v>
      </c>
      <c r="G11" s="110" t="s">
        <v>380</v>
      </c>
      <c r="H11" s="173" t="s">
        <v>1493</v>
      </c>
      <c r="I11" s="241"/>
    </row>
    <row r="12" spans="1:18" s="34" customFormat="1" ht="18" customHeight="1">
      <c r="A12" s="65"/>
      <c r="B12" s="66"/>
      <c r="C12" s="207"/>
      <c r="D12" s="89"/>
      <c r="E12" s="90" t="s">
        <v>1494</v>
      </c>
      <c r="F12" s="89" t="s">
        <v>1495</v>
      </c>
      <c r="G12" s="1170" t="s">
        <v>955</v>
      </c>
      <c r="H12" s="212" t="s">
        <v>410</v>
      </c>
      <c r="I12" s="242"/>
    </row>
    <row r="13" spans="1:18" s="1031" customFormat="1" ht="21" customHeight="1">
      <c r="A13" s="405">
        <v>2016</v>
      </c>
      <c r="B13" s="1113"/>
      <c r="C13" s="1195">
        <v>150317</v>
      </c>
      <c r="D13" s="674">
        <v>2.5</v>
      </c>
      <c r="E13" s="836">
        <v>32.700000000000003</v>
      </c>
      <c r="F13" s="836">
        <v>68.8</v>
      </c>
      <c r="G13" s="838">
        <f>'1'!D13</f>
        <v>815.9</v>
      </c>
      <c r="H13" s="1104">
        <f t="shared" ref="H13:H18" si="0">SUM(D13:G13)</f>
        <v>919.9</v>
      </c>
      <c r="I13" s="778"/>
      <c r="J13" s="770"/>
      <c r="K13" s="321"/>
      <c r="L13" s="321"/>
      <c r="M13" s="321"/>
      <c r="N13" s="321"/>
      <c r="O13" s="321"/>
      <c r="P13" s="321"/>
      <c r="Q13" s="321"/>
    </row>
    <row r="14" spans="1:18" s="1031" customFormat="1" ht="14.25" customHeight="1">
      <c r="A14" s="1408">
        <v>2017</v>
      </c>
      <c r="B14" s="1113"/>
      <c r="C14" s="1195">
        <v>150317</v>
      </c>
      <c r="D14" s="674">
        <v>2.5</v>
      </c>
      <c r="E14" s="836">
        <v>34.5</v>
      </c>
      <c r="F14" s="836">
        <v>70.2</v>
      </c>
      <c r="G14" s="838">
        <f>'1'!D14</f>
        <v>880.6</v>
      </c>
      <c r="H14" s="1104">
        <f t="shared" si="0"/>
        <v>987.80000000000007</v>
      </c>
      <c r="I14" s="778"/>
      <c r="J14" s="321"/>
      <c r="K14" s="321"/>
      <c r="L14" s="321"/>
      <c r="M14" s="321"/>
      <c r="N14" s="321"/>
      <c r="O14" s="321"/>
      <c r="P14" s="321"/>
      <c r="Q14" s="321"/>
      <c r="R14" s="321"/>
    </row>
    <row r="15" spans="1:18" s="321" customFormat="1" ht="14.25" customHeight="1">
      <c r="A15" s="747">
        <v>2018</v>
      </c>
      <c r="B15" s="1103"/>
      <c r="C15" s="1195">
        <v>150317</v>
      </c>
      <c r="D15" s="674">
        <v>2.5</v>
      </c>
      <c r="E15" s="836">
        <v>35.9</v>
      </c>
      <c r="F15" s="836">
        <v>73.2</v>
      </c>
      <c r="G15" s="838">
        <f>'1'!D15</f>
        <v>699.8</v>
      </c>
      <c r="H15" s="1104">
        <f t="shared" si="0"/>
        <v>811.4</v>
      </c>
      <c r="I15" s="778"/>
    </row>
    <row r="16" spans="1:18" s="321" customFormat="1" ht="14.25" customHeight="1">
      <c r="A16" s="747">
        <v>2019</v>
      </c>
      <c r="B16" s="1103"/>
      <c r="C16" s="1195">
        <v>150317</v>
      </c>
      <c r="D16" s="674">
        <v>2.5</v>
      </c>
      <c r="E16" s="836">
        <v>35.6</v>
      </c>
      <c r="F16" s="836">
        <v>72.5</v>
      </c>
      <c r="G16" s="838">
        <f>'1'!D16</f>
        <v>1276.0999999999999</v>
      </c>
      <c r="H16" s="1104">
        <f t="shared" si="0"/>
        <v>1386.6999999999998</v>
      </c>
      <c r="I16" s="778"/>
    </row>
    <row r="17" spans="1:10" s="321" customFormat="1" ht="14.25" customHeight="1">
      <c r="A17" s="747">
        <v>2020</v>
      </c>
      <c r="B17" s="1103"/>
      <c r="C17" s="1195">
        <v>150317</v>
      </c>
      <c r="D17" s="674">
        <v>2.5</v>
      </c>
      <c r="E17" s="836">
        <v>34.4</v>
      </c>
      <c r="F17" s="836">
        <v>70</v>
      </c>
      <c r="G17" s="838">
        <f>'1'!D17</f>
        <v>732</v>
      </c>
      <c r="H17" s="1104">
        <f t="shared" si="0"/>
        <v>838.9</v>
      </c>
      <c r="I17" s="778"/>
    </row>
    <row r="18" spans="1:10" s="321" customFormat="1" ht="14.25" customHeight="1">
      <c r="A18" s="747">
        <v>2021</v>
      </c>
      <c r="B18" s="1103"/>
      <c r="C18" s="1195">
        <v>150317</v>
      </c>
      <c r="D18" s="674">
        <v>2.5</v>
      </c>
      <c r="E18" s="836">
        <v>240.6</v>
      </c>
      <c r="F18" s="836">
        <v>73.5</v>
      </c>
      <c r="G18" s="838">
        <f>'1'!D18</f>
        <v>1468.6</v>
      </c>
      <c r="H18" s="1104">
        <f t="shared" si="0"/>
        <v>1785.1999999999998</v>
      </c>
      <c r="I18" s="778"/>
    </row>
    <row r="19" spans="1:10" s="321" customFormat="1" ht="14.25" customHeight="1">
      <c r="A19" s="747">
        <v>2022</v>
      </c>
      <c r="B19" s="1103"/>
      <c r="C19" s="1195">
        <v>150317</v>
      </c>
      <c r="D19" s="674">
        <v>2.5</v>
      </c>
      <c r="E19" s="836">
        <v>225.6</v>
      </c>
      <c r="F19" s="836">
        <v>68.900000000000006</v>
      </c>
      <c r="G19" s="838">
        <v>1401.6</v>
      </c>
      <c r="H19" s="1104">
        <v>1698.6</v>
      </c>
      <c r="I19" s="778"/>
    </row>
    <row r="20" spans="1:10" s="321" customFormat="1" ht="14.25" customHeight="1">
      <c r="A20" s="747">
        <v>2023</v>
      </c>
      <c r="B20" s="1103"/>
      <c r="C20" s="1195">
        <v>150317</v>
      </c>
      <c r="D20" s="674">
        <v>2.5</v>
      </c>
      <c r="E20" s="836">
        <v>227.4</v>
      </c>
      <c r="F20" s="836">
        <v>69</v>
      </c>
      <c r="G20" s="838">
        <v>1512.7</v>
      </c>
      <c r="H20" s="1104">
        <v>1811.6</v>
      </c>
      <c r="I20" s="778"/>
    </row>
    <row r="21" spans="1:10" s="321" customFormat="1" ht="14.25" customHeight="1">
      <c r="A21" s="747">
        <v>2024</v>
      </c>
      <c r="B21" s="1103"/>
      <c r="C21" s="1195">
        <v>150317</v>
      </c>
      <c r="D21" s="674">
        <v>2.5</v>
      </c>
      <c r="E21" s="836">
        <v>224.1</v>
      </c>
      <c r="F21" s="836">
        <v>67.5</v>
      </c>
      <c r="G21" s="838">
        <v>1425</v>
      </c>
      <c r="H21" s="1104">
        <v>1719.1</v>
      </c>
      <c r="I21" s="778"/>
    </row>
    <row r="22" spans="1:10" s="321" customFormat="1" ht="14.25" customHeight="1">
      <c r="A22" s="906">
        <v>2025</v>
      </c>
      <c r="B22" s="968"/>
      <c r="C22" s="1196">
        <f t="shared" ref="C22:H22" si="1">C28</f>
        <v>150317</v>
      </c>
      <c r="D22" s="969">
        <f t="shared" si="1"/>
        <v>244.1</v>
      </c>
      <c r="E22" s="970">
        <f t="shared" si="1"/>
        <v>231.9</v>
      </c>
      <c r="F22" s="970">
        <f t="shared" si="1"/>
        <v>69.5</v>
      </c>
      <c r="G22" s="972">
        <f t="shared" si="1"/>
        <v>1430.8</v>
      </c>
      <c r="H22" s="973">
        <f t="shared" si="1"/>
        <v>1976.3</v>
      </c>
      <c r="I22" s="778"/>
    </row>
    <row r="23" spans="1:10" s="321" customFormat="1" ht="21" customHeight="1">
      <c r="A23" s="747">
        <v>2024</v>
      </c>
      <c r="B23" s="1103" t="s">
        <v>237</v>
      </c>
      <c r="C23" s="1195">
        <v>150317</v>
      </c>
      <c r="D23" s="674">
        <v>2.5</v>
      </c>
      <c r="E23" s="836">
        <v>223.7</v>
      </c>
      <c r="F23" s="836">
        <v>67.5</v>
      </c>
      <c r="G23" s="838">
        <v>1909.7</v>
      </c>
      <c r="H23" s="1104">
        <v>2203.4</v>
      </c>
      <c r="I23" s="1409"/>
    </row>
    <row r="24" spans="1:10" s="321" customFormat="1" ht="15" customHeight="1">
      <c r="A24" s="747"/>
      <c r="B24" s="1103" t="s">
        <v>238</v>
      </c>
      <c r="C24" s="1195">
        <v>150317</v>
      </c>
      <c r="D24" s="674">
        <v>2.5</v>
      </c>
      <c r="E24" s="836">
        <v>224.1</v>
      </c>
      <c r="F24" s="836">
        <v>67.5</v>
      </c>
      <c r="G24" s="838">
        <v>1425</v>
      </c>
      <c r="H24" s="1104">
        <v>1719.1</v>
      </c>
      <c r="I24" s="1409"/>
    </row>
    <row r="25" spans="1:10" s="321" customFormat="1" ht="21" customHeight="1">
      <c r="A25" s="747">
        <v>2025</v>
      </c>
      <c r="B25" s="1103" t="s">
        <v>239</v>
      </c>
      <c r="C25" s="1195">
        <v>150317</v>
      </c>
      <c r="D25" s="674">
        <v>2.5</v>
      </c>
      <c r="E25" s="836">
        <v>224.5</v>
      </c>
      <c r="F25" s="836">
        <v>67.5</v>
      </c>
      <c r="G25" s="838">
        <v>1048.8</v>
      </c>
      <c r="H25" s="1104">
        <v>1343.3</v>
      </c>
      <c r="I25" s="1409"/>
    </row>
    <row r="26" spans="1:10" s="321" customFormat="1" ht="15" customHeight="1">
      <c r="A26" s="747"/>
      <c r="B26" s="1103" t="s">
        <v>240</v>
      </c>
      <c r="C26" s="1195">
        <v>150317</v>
      </c>
      <c r="D26" s="674">
        <v>2.5</v>
      </c>
      <c r="E26" s="836">
        <v>231.3</v>
      </c>
      <c r="F26" s="836">
        <v>69.5</v>
      </c>
      <c r="G26" s="838">
        <v>1432.5</v>
      </c>
      <c r="H26" s="1104">
        <v>1735.8</v>
      </c>
      <c r="I26" s="1409"/>
    </row>
    <row r="27" spans="1:10" s="321" customFormat="1" ht="15" customHeight="1">
      <c r="A27" s="747"/>
      <c r="B27" s="1103" t="s">
        <v>237</v>
      </c>
      <c r="C27" s="1195">
        <v>150317</v>
      </c>
      <c r="D27" s="674">
        <v>2.5</v>
      </c>
      <c r="E27" s="836">
        <v>231.6</v>
      </c>
      <c r="F27" s="836">
        <v>69.5</v>
      </c>
      <c r="G27" s="838">
        <v>1220.9000000000001</v>
      </c>
      <c r="H27" s="1104">
        <v>1524.5</v>
      </c>
      <c r="I27" s="1409"/>
    </row>
    <row r="28" spans="1:10" s="321" customFormat="1" ht="15" customHeight="1">
      <c r="A28" s="747"/>
      <c r="B28" s="1103" t="s">
        <v>238</v>
      </c>
      <c r="C28" s="1195">
        <f t="shared" ref="C28:H28" si="2">C36</f>
        <v>150317</v>
      </c>
      <c r="D28" s="674">
        <f t="shared" si="2"/>
        <v>244.1</v>
      </c>
      <c r="E28" s="836">
        <f t="shared" si="2"/>
        <v>231.9</v>
      </c>
      <c r="F28" s="836">
        <f t="shared" si="2"/>
        <v>69.5</v>
      </c>
      <c r="G28" s="838">
        <f t="shared" si="2"/>
        <v>1430.8</v>
      </c>
      <c r="H28" s="1104">
        <f t="shared" si="2"/>
        <v>1976.3</v>
      </c>
      <c r="I28" s="1409"/>
    </row>
    <row r="29" spans="1:10" s="321" customFormat="1" ht="21" customHeight="1">
      <c r="A29" s="747">
        <v>2026</v>
      </c>
      <c r="B29" s="1103" t="s">
        <v>239</v>
      </c>
      <c r="C29" s="1195">
        <f t="shared" ref="C29:H29" si="3">C39</f>
        <v>150317</v>
      </c>
      <c r="D29" s="674">
        <f t="shared" si="3"/>
        <v>261.2</v>
      </c>
      <c r="E29" s="836">
        <f t="shared" si="3"/>
        <v>232.2</v>
      </c>
      <c r="F29" s="836">
        <f t="shared" si="3"/>
        <v>69.5</v>
      </c>
      <c r="G29" s="838">
        <f t="shared" si="3"/>
        <v>1945.4</v>
      </c>
      <c r="H29" s="1104">
        <f t="shared" si="3"/>
        <v>2508.3000000000002</v>
      </c>
      <c r="I29" s="1409"/>
    </row>
    <row r="30" spans="1:10" s="321" customFormat="1" ht="15" customHeight="1">
      <c r="A30" s="906"/>
      <c r="B30" s="968" t="s">
        <v>240</v>
      </c>
      <c r="C30" s="1196">
        <f t="shared" ref="C30:H30" si="4">C42</f>
        <v>150317</v>
      </c>
      <c r="D30" s="969">
        <f t="shared" si="4"/>
        <v>228.2</v>
      </c>
      <c r="E30" s="970">
        <f t="shared" si="4"/>
        <v>235.2</v>
      </c>
      <c r="F30" s="970">
        <f t="shared" si="4"/>
        <v>70.3</v>
      </c>
      <c r="G30" s="972">
        <f t="shared" si="4"/>
        <v>684</v>
      </c>
      <c r="H30" s="973">
        <f t="shared" si="4"/>
        <v>1217.6999999999998</v>
      </c>
      <c r="I30" s="1409"/>
    </row>
    <row r="31" spans="1:10" s="321" customFormat="1" ht="21" customHeight="1">
      <c r="A31" s="747">
        <v>2025</v>
      </c>
      <c r="B31" s="748" t="s">
        <v>420</v>
      </c>
      <c r="C31" s="1195">
        <v>150317</v>
      </c>
      <c r="D31" s="674">
        <f>'1'!C31</f>
        <v>2.5</v>
      </c>
      <c r="E31" s="836">
        <v>231.3</v>
      </c>
      <c r="F31" s="836">
        <v>69.5</v>
      </c>
      <c r="G31" s="838">
        <f>'1'!D31</f>
        <v>1605.2</v>
      </c>
      <c r="H31" s="1104">
        <f t="shared" ref="H31" si="5">SUM(D31:G31)</f>
        <v>1908.5</v>
      </c>
      <c r="I31" s="778"/>
    </row>
    <row r="32" spans="1:10" s="321" customFormat="1" ht="15" customHeight="1">
      <c r="A32" s="747"/>
      <c r="B32" s="748" t="s">
        <v>421</v>
      </c>
      <c r="C32" s="1195">
        <v>150317</v>
      </c>
      <c r="D32" s="674">
        <f>'1'!C32</f>
        <v>2.5</v>
      </c>
      <c r="E32" s="836">
        <v>231.6</v>
      </c>
      <c r="F32" s="836">
        <v>69.5</v>
      </c>
      <c r="G32" s="838">
        <f>'1'!D32</f>
        <v>1334.5</v>
      </c>
      <c r="H32" s="1104">
        <f t="shared" ref="H32" si="6">SUM(D32:G32)</f>
        <v>1638.1</v>
      </c>
      <c r="I32" s="778"/>
      <c r="J32" s="770"/>
    </row>
    <row r="33" spans="1:31" s="321" customFormat="1" ht="15" customHeight="1">
      <c r="A33" s="747"/>
      <c r="B33" s="748" t="s">
        <v>422</v>
      </c>
      <c r="C33" s="1195">
        <v>150317</v>
      </c>
      <c r="D33" s="674">
        <f>'1'!C33</f>
        <v>2.5</v>
      </c>
      <c r="E33" s="1186">
        <v>231.6</v>
      </c>
      <c r="F33" s="1186">
        <v>69.5</v>
      </c>
      <c r="G33" s="838">
        <f>'1'!D33</f>
        <v>1220.9000000000001</v>
      </c>
      <c r="H33" s="1104">
        <f t="shared" ref="H33" si="7">SUM(D33:G33)</f>
        <v>1524.5</v>
      </c>
      <c r="I33" s="778"/>
      <c r="J33" s="770"/>
    </row>
    <row r="34" spans="1:31" s="321" customFormat="1" ht="15" customHeight="1">
      <c r="A34" s="747"/>
      <c r="B34" s="748" t="s">
        <v>411</v>
      </c>
      <c r="C34" s="1195">
        <v>150317</v>
      </c>
      <c r="D34" s="674">
        <f>'1'!C34</f>
        <v>2.5</v>
      </c>
      <c r="E34" s="1186">
        <v>231.6</v>
      </c>
      <c r="F34" s="1186">
        <v>69.5</v>
      </c>
      <c r="G34" s="838">
        <f>'1'!D34</f>
        <v>1588.6</v>
      </c>
      <c r="H34" s="1104">
        <f t="shared" ref="H34" si="8">SUM(D34:G34)</f>
        <v>1892.1999999999998</v>
      </c>
      <c r="I34" s="778"/>
      <c r="J34" s="770"/>
    </row>
    <row r="35" spans="1:31" s="321" customFormat="1" ht="15" customHeight="1">
      <c r="A35" s="747"/>
      <c r="B35" s="748" t="s">
        <v>412</v>
      </c>
      <c r="C35" s="1195">
        <v>150317</v>
      </c>
      <c r="D35" s="674">
        <f>'1'!C35</f>
        <v>2.5</v>
      </c>
      <c r="E35" s="1186">
        <v>231.9</v>
      </c>
      <c r="F35" s="1186">
        <v>69.5</v>
      </c>
      <c r="G35" s="838">
        <f>'1'!D35</f>
        <v>1364.2</v>
      </c>
      <c r="H35" s="1104">
        <f t="shared" ref="H35" si="9">SUM(D35:G35)</f>
        <v>1668.1</v>
      </c>
      <c r="I35" s="778"/>
      <c r="J35" s="770"/>
    </row>
    <row r="36" spans="1:31" s="321" customFormat="1" ht="15" customHeight="1">
      <c r="A36" s="747"/>
      <c r="B36" s="748" t="s">
        <v>413</v>
      </c>
      <c r="C36" s="1195">
        <v>150317</v>
      </c>
      <c r="D36" s="674">
        <f>'1'!C36</f>
        <v>244.1</v>
      </c>
      <c r="E36" s="1186">
        <v>231.9</v>
      </c>
      <c r="F36" s="1186">
        <v>69.5</v>
      </c>
      <c r="G36" s="838">
        <f>'1'!D36</f>
        <v>1430.8</v>
      </c>
      <c r="H36" s="1104">
        <f t="shared" ref="H36" si="10">SUM(D36:G36)</f>
        <v>1976.3</v>
      </c>
      <c r="I36" s="778"/>
      <c r="J36" s="770"/>
    </row>
    <row r="37" spans="1:31" s="321" customFormat="1" ht="21" customHeight="1">
      <c r="A37" s="747">
        <v>2026</v>
      </c>
      <c r="B37" s="748" t="s">
        <v>414</v>
      </c>
      <c r="C37" s="1195">
        <v>150317</v>
      </c>
      <c r="D37" s="674">
        <f>'1'!C37</f>
        <v>282.3</v>
      </c>
      <c r="E37" s="1186">
        <v>231.9</v>
      </c>
      <c r="F37" s="1186">
        <v>69.5</v>
      </c>
      <c r="G37" s="838">
        <f>'1'!D37</f>
        <v>1076.3</v>
      </c>
      <c r="H37" s="1104">
        <f t="shared" ref="H37" si="11">SUM(D37:G37)</f>
        <v>1660</v>
      </c>
      <c r="I37" s="778"/>
      <c r="J37" s="770"/>
    </row>
    <row r="38" spans="1:31" s="321" customFormat="1" ht="15" customHeight="1">
      <c r="A38" s="747"/>
      <c r="B38" s="748" t="s">
        <v>415</v>
      </c>
      <c r="C38" s="1195">
        <v>150317</v>
      </c>
      <c r="D38" s="674">
        <f>'1'!C38</f>
        <v>296</v>
      </c>
      <c r="E38" s="1186">
        <v>232.2</v>
      </c>
      <c r="F38" s="1186">
        <v>69.5</v>
      </c>
      <c r="G38" s="838">
        <f>'1'!D38</f>
        <v>1774.5</v>
      </c>
      <c r="H38" s="1104">
        <f t="shared" ref="H38" si="12">SUM(D38:G38)</f>
        <v>2372.1999999999998</v>
      </c>
      <c r="I38" s="778"/>
      <c r="J38" s="770"/>
    </row>
    <row r="39" spans="1:31" s="321" customFormat="1" ht="15" customHeight="1">
      <c r="A39" s="747"/>
      <c r="B39" s="748" t="s">
        <v>416</v>
      </c>
      <c r="C39" s="1195">
        <v>150317</v>
      </c>
      <c r="D39" s="674">
        <f>'1'!C39</f>
        <v>261.2</v>
      </c>
      <c r="E39" s="1186">
        <v>232.2</v>
      </c>
      <c r="F39" s="1186">
        <v>69.5</v>
      </c>
      <c r="G39" s="838">
        <f>'1'!D39</f>
        <v>1945.4</v>
      </c>
      <c r="H39" s="1104">
        <f t="shared" ref="H39" si="13">SUM(D39:G39)</f>
        <v>2508.3000000000002</v>
      </c>
      <c r="I39" s="778"/>
      <c r="J39" s="770"/>
    </row>
    <row r="40" spans="1:31" s="321" customFormat="1" ht="15" customHeight="1">
      <c r="A40" s="747"/>
      <c r="B40" s="748" t="s">
        <v>417</v>
      </c>
      <c r="C40" s="1195">
        <v>150317</v>
      </c>
      <c r="D40" s="674">
        <f>'1'!C40</f>
        <v>261.3</v>
      </c>
      <c r="E40" s="1186">
        <v>234.9</v>
      </c>
      <c r="F40" s="1186">
        <v>70.3</v>
      </c>
      <c r="G40" s="838">
        <f>'1'!D40</f>
        <v>1306</v>
      </c>
      <c r="H40" s="1104">
        <f t="shared" ref="H40" si="14">SUM(D40:G40)</f>
        <v>1872.5</v>
      </c>
      <c r="I40" s="778"/>
      <c r="J40" s="770"/>
    </row>
    <row r="41" spans="1:31" s="321" customFormat="1" ht="15" customHeight="1">
      <c r="A41" s="747"/>
      <c r="B41" s="748" t="s">
        <v>418</v>
      </c>
      <c r="C41" s="1195">
        <v>150317</v>
      </c>
      <c r="D41" s="674">
        <f>'1'!C41</f>
        <v>257.60000000000002</v>
      </c>
      <c r="E41" s="1186">
        <v>235.2</v>
      </c>
      <c r="F41" s="1186">
        <v>70.3</v>
      </c>
      <c r="G41" s="838">
        <f>'1'!D41</f>
        <v>567.6</v>
      </c>
      <c r="H41" s="1104">
        <f t="shared" ref="H41" si="15">SUM(D41:G41)</f>
        <v>1130.7</v>
      </c>
      <c r="I41" s="778"/>
      <c r="J41" s="770"/>
    </row>
    <row r="42" spans="1:31" s="321" customFormat="1" ht="15" customHeight="1">
      <c r="A42" s="747"/>
      <c r="B42" s="748" t="s">
        <v>419</v>
      </c>
      <c r="C42" s="1195">
        <v>150317</v>
      </c>
      <c r="D42" s="674">
        <f>'1'!C42</f>
        <v>228.2</v>
      </c>
      <c r="E42" s="1186">
        <v>235.2</v>
      </c>
      <c r="F42" s="1186">
        <v>70.3</v>
      </c>
      <c r="G42" s="838">
        <f>'1'!D42</f>
        <v>684</v>
      </c>
      <c r="H42" s="1104">
        <f t="shared" ref="H42" si="16">SUM(D42:G42)</f>
        <v>1217.6999999999998</v>
      </c>
      <c r="I42" s="778"/>
      <c r="J42" s="770"/>
    </row>
    <row r="43" spans="1:31" s="321" customFormat="1" ht="15" customHeight="1">
      <c r="A43" s="747"/>
      <c r="B43" s="748" t="s">
        <v>420</v>
      </c>
      <c r="C43" s="1195">
        <v>150317</v>
      </c>
      <c r="D43" s="674">
        <f>'1'!C43</f>
        <v>228.2</v>
      </c>
      <c r="E43" s="1186">
        <v>235.2</v>
      </c>
      <c r="F43" s="1186">
        <v>70.3</v>
      </c>
      <c r="G43" s="838">
        <f>'1'!D43</f>
        <v>944.5</v>
      </c>
      <c r="H43" s="1104">
        <f t="shared" ref="H43" si="17">SUM(D43:G43)</f>
        <v>1478.1999999999998</v>
      </c>
      <c r="I43" s="778"/>
      <c r="J43" s="770"/>
    </row>
    <row r="44" spans="1:31" s="321" customFormat="1" ht="13.8">
      <c r="A44" s="548"/>
      <c r="B44" s="548"/>
      <c r="C44" s="1410"/>
      <c r="D44" s="1410"/>
      <c r="E44" s="1410"/>
      <c r="F44" s="1411"/>
      <c r="G44" s="1410"/>
      <c r="H44" s="1410" t="s">
        <v>117</v>
      </c>
      <c r="I44" s="1412"/>
      <c r="J44" s="1413"/>
      <c r="K44" s="1413"/>
      <c r="L44" s="1413"/>
      <c r="M44" s="1413"/>
      <c r="N44" s="1413"/>
      <c r="O44" s="1413"/>
      <c r="P44" s="1413"/>
      <c r="Q44" s="1413"/>
      <c r="R44" s="1413"/>
      <c r="S44" s="1413"/>
      <c r="T44" s="1413"/>
      <c r="U44" s="1413"/>
      <c r="V44" s="1413"/>
      <c r="W44" s="1413"/>
      <c r="X44" s="1413"/>
      <c r="Y44" s="1413"/>
      <c r="Z44" s="1413"/>
      <c r="AA44" s="1413"/>
      <c r="AB44" s="1413"/>
      <c r="AC44" s="1413"/>
      <c r="AD44" s="1413"/>
      <c r="AE44" s="1413"/>
    </row>
    <row r="45" spans="1:31" ht="12.75" customHeight="1"/>
    <row r="46" spans="1:31" ht="13.8">
      <c r="A46" s="318" t="s">
        <v>1496</v>
      </c>
      <c r="B46" s="1414"/>
      <c r="C46" s="1414"/>
      <c r="D46" s="1414"/>
      <c r="E46" s="1414"/>
      <c r="F46" s="1414"/>
      <c r="G46" s="1414"/>
      <c r="H46" s="1414"/>
    </row>
    <row r="50" spans="3:9">
      <c r="C50" s="1415"/>
      <c r="D50" s="1415"/>
      <c r="E50" s="1415"/>
      <c r="F50" s="1415"/>
      <c r="G50" s="1415"/>
      <c r="H50" s="1415"/>
      <c r="I50" s="1413"/>
    </row>
  </sheetData>
  <printOptions horizontalCentered="1" verticalCentered="1"/>
  <pageMargins left="0" right="0" top="0" bottom="0" header="0.51181102362204722" footer="0.51181102362204722"/>
  <pageSetup paperSize="9" scale="77"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9"/>
  <dimension ref="A1:U50"/>
  <sheetViews>
    <sheetView topLeftCell="B1" zoomScale="80" zoomScaleNormal="80" workbookViewId="0">
      <pane ySplit="12" topLeftCell="A26" activePane="bottomLeft" state="frozen"/>
      <selection activeCell="B2" sqref="B2"/>
      <selection pane="bottomLeft" activeCell="B2" sqref="B2"/>
    </sheetView>
  </sheetViews>
  <sheetFormatPr defaultColWidth="9.21875" defaultRowHeight="13.2"/>
  <cols>
    <col min="1" max="2" width="9.77734375" style="445" customWidth="1"/>
    <col min="3" max="3" width="14.77734375" style="445" customWidth="1"/>
    <col min="4" max="4" width="16.77734375" style="445" customWidth="1"/>
    <col min="5" max="5" width="18.77734375" style="445" customWidth="1"/>
    <col min="6" max="8" width="16.77734375" style="445" customWidth="1"/>
    <col min="9" max="9" width="17.77734375" style="445" customWidth="1"/>
    <col min="10" max="10" width="16.77734375" style="445" customWidth="1"/>
    <col min="11" max="12" width="15.77734375" style="445" customWidth="1"/>
    <col min="13" max="16384" width="9.21875" style="445"/>
  </cols>
  <sheetData>
    <row r="1" spans="1:21" ht="18" customHeight="1">
      <c r="A1" s="807" t="s">
        <v>1734</v>
      </c>
      <c r="B1" s="807"/>
      <c r="C1" s="807"/>
      <c r="D1" s="807"/>
      <c r="E1" s="807"/>
      <c r="F1" s="807"/>
      <c r="G1" s="807"/>
      <c r="H1" s="807"/>
      <c r="I1" s="807"/>
      <c r="J1" s="807"/>
      <c r="K1" s="807"/>
      <c r="L1" s="807"/>
    </row>
    <row r="2" spans="1:21" ht="18" customHeight="1">
      <c r="A2" s="807" t="s">
        <v>1497</v>
      </c>
      <c r="B2" s="807"/>
      <c r="C2" s="807"/>
      <c r="D2" s="807"/>
      <c r="E2" s="807"/>
      <c r="F2" s="807"/>
      <c r="G2" s="807"/>
      <c r="H2" s="807"/>
      <c r="I2" s="807"/>
      <c r="J2" s="807"/>
      <c r="K2" s="807"/>
      <c r="L2" s="807"/>
    </row>
    <row r="3" spans="1:21" ht="16.05" customHeight="1">
      <c r="A3" s="808" t="s">
        <v>1498</v>
      </c>
      <c r="B3" s="464"/>
      <c r="C3" s="464"/>
      <c r="D3" s="464"/>
      <c r="E3" s="464"/>
      <c r="F3" s="464"/>
      <c r="G3" s="464"/>
      <c r="H3" s="464"/>
      <c r="I3" s="464"/>
      <c r="J3" s="464"/>
      <c r="K3" s="464"/>
      <c r="L3" s="464"/>
    </row>
    <row r="4" spans="1:21" ht="16.05" hidden="1" customHeight="1">
      <c r="A4" s="808"/>
      <c r="B4" s="464"/>
      <c r="C4" s="464"/>
      <c r="D4" s="464"/>
      <c r="E4" s="464"/>
      <c r="F4" s="464"/>
      <c r="G4" s="464"/>
      <c r="H4" s="464"/>
      <c r="I4" s="464"/>
      <c r="J4" s="464"/>
      <c r="K4" s="464"/>
      <c r="L4" s="464"/>
    </row>
    <row r="5" spans="1:21" ht="16.05" hidden="1" customHeight="1">
      <c r="A5" s="808"/>
      <c r="B5" s="464"/>
      <c r="C5" s="464"/>
      <c r="D5" s="464"/>
      <c r="E5" s="464"/>
      <c r="F5" s="464"/>
      <c r="G5" s="464"/>
      <c r="H5" s="464"/>
      <c r="I5" s="464"/>
      <c r="J5" s="464"/>
      <c r="K5" s="464"/>
      <c r="L5" s="464"/>
    </row>
    <row r="6" spans="1:21" ht="16.05" hidden="1" customHeight="1">
      <c r="A6" s="808"/>
      <c r="B6" s="464"/>
      <c r="C6" s="464"/>
      <c r="D6" s="464"/>
      <c r="E6" s="464"/>
      <c r="F6" s="464"/>
      <c r="G6" s="464"/>
      <c r="H6" s="464"/>
      <c r="I6" s="464"/>
      <c r="J6" s="464"/>
      <c r="K6" s="464"/>
      <c r="L6" s="464"/>
    </row>
    <row r="7" spans="1:21" s="448" customFormat="1" ht="14.85" customHeight="1">
      <c r="A7" s="446"/>
      <c r="B7" s="446"/>
      <c r="C7" s="447"/>
      <c r="D7" s="447"/>
      <c r="E7" s="447"/>
      <c r="F7" s="447"/>
      <c r="G7" s="447"/>
      <c r="H7" s="447"/>
      <c r="I7" s="447"/>
      <c r="J7" s="447"/>
      <c r="K7" s="447"/>
      <c r="L7" s="447"/>
    </row>
    <row r="8" spans="1:21" s="468" customFormat="1" ht="13.8">
      <c r="A8" s="465"/>
      <c r="B8" s="466"/>
      <c r="C8" s="467" t="s">
        <v>1499</v>
      </c>
      <c r="D8" s="467" t="s">
        <v>1500</v>
      </c>
      <c r="E8" s="467" t="s">
        <v>1501</v>
      </c>
      <c r="F8" s="467" t="s">
        <v>1502</v>
      </c>
      <c r="G8" s="860" t="s">
        <v>1503</v>
      </c>
      <c r="H8" s="860" t="s">
        <v>1504</v>
      </c>
      <c r="I8" s="859" t="s">
        <v>1505</v>
      </c>
      <c r="J8" s="467"/>
      <c r="K8" s="467"/>
      <c r="L8" s="467" t="s">
        <v>1506</v>
      </c>
    </row>
    <row r="9" spans="1:21" s="468" customFormat="1" ht="14.25" customHeight="1">
      <c r="A9" s="854"/>
      <c r="B9" s="855"/>
      <c r="C9" s="469" t="s">
        <v>1507</v>
      </c>
      <c r="D9" s="469" t="s">
        <v>1508</v>
      </c>
      <c r="E9" s="469" t="s">
        <v>1509</v>
      </c>
      <c r="F9" s="469" t="s">
        <v>1510</v>
      </c>
      <c r="G9" s="857" t="s">
        <v>1511</v>
      </c>
      <c r="H9" s="857" t="s">
        <v>1511</v>
      </c>
      <c r="I9" s="856" t="s">
        <v>1512</v>
      </c>
      <c r="J9" s="470" t="s">
        <v>1513</v>
      </c>
      <c r="K9" s="470" t="s">
        <v>1514</v>
      </c>
      <c r="L9" s="470" t="s">
        <v>1515</v>
      </c>
    </row>
    <row r="10" spans="1:21" s="468" customFormat="1" ht="13.8">
      <c r="A10" s="471" t="s">
        <v>1516</v>
      </c>
      <c r="B10" s="472"/>
      <c r="C10" s="473" t="s">
        <v>1517</v>
      </c>
      <c r="D10" s="473" t="s">
        <v>1518</v>
      </c>
      <c r="E10" s="473" t="s">
        <v>1519</v>
      </c>
      <c r="F10" s="473" t="s">
        <v>1517</v>
      </c>
      <c r="G10" s="474" t="s">
        <v>928</v>
      </c>
      <c r="H10" s="474" t="s">
        <v>1520</v>
      </c>
      <c r="I10" s="475" t="s">
        <v>1521</v>
      </c>
      <c r="J10" s="473" t="s">
        <v>1522</v>
      </c>
      <c r="L10" s="473" t="s">
        <v>1523</v>
      </c>
    </row>
    <row r="11" spans="1:21" s="468" customFormat="1" ht="13.8">
      <c r="A11" s="471" t="s">
        <v>1524</v>
      </c>
      <c r="B11" s="472"/>
      <c r="C11" s="473" t="s">
        <v>1525</v>
      </c>
      <c r="D11" s="473" t="s">
        <v>1526</v>
      </c>
      <c r="E11" s="473" t="s">
        <v>1527</v>
      </c>
      <c r="F11" s="473" t="s">
        <v>1528</v>
      </c>
      <c r="G11" s="474" t="s">
        <v>1529</v>
      </c>
      <c r="H11" s="474" t="s">
        <v>1530</v>
      </c>
      <c r="I11" s="475" t="s">
        <v>1531</v>
      </c>
      <c r="J11" s="473" t="s">
        <v>1532</v>
      </c>
      <c r="K11" s="473" t="s">
        <v>1533</v>
      </c>
      <c r="L11" s="473" t="s">
        <v>1534</v>
      </c>
    </row>
    <row r="12" spans="1:21" s="482" customFormat="1" ht="13.8">
      <c r="A12" s="476"/>
      <c r="B12" s="477"/>
      <c r="C12" s="478" t="s">
        <v>1535</v>
      </c>
      <c r="D12" s="479" t="s">
        <v>1536</v>
      </c>
      <c r="E12" s="478" t="s">
        <v>1537</v>
      </c>
      <c r="F12" s="480"/>
      <c r="G12" s="639" t="s">
        <v>1538</v>
      </c>
      <c r="H12" s="478" t="s">
        <v>1538</v>
      </c>
      <c r="I12" s="481" t="s">
        <v>1539</v>
      </c>
      <c r="J12" s="479" t="s">
        <v>710</v>
      </c>
      <c r="K12" s="479"/>
      <c r="L12" s="479"/>
    </row>
    <row r="13" spans="1:21" s="468" customFormat="1" ht="20.25" customHeight="1">
      <c r="A13" s="405">
        <v>2016</v>
      </c>
      <c r="B13" s="483"/>
      <c r="C13" s="484">
        <v>44</v>
      </c>
      <c r="D13" s="485">
        <v>734391.93700000003</v>
      </c>
      <c r="E13" s="486">
        <v>124453.992</v>
      </c>
      <c r="F13" s="487">
        <v>10592</v>
      </c>
      <c r="G13" s="496" t="s">
        <v>1540</v>
      </c>
      <c r="H13" s="489">
        <v>1220.45</v>
      </c>
      <c r="I13" s="490">
        <v>7248.4495200000001</v>
      </c>
      <c r="J13" s="545">
        <v>1.72</v>
      </c>
      <c r="K13" s="491">
        <v>8.99</v>
      </c>
      <c r="L13" s="491">
        <v>4.1100000000000003</v>
      </c>
    </row>
    <row r="14" spans="1:21" s="468" customFormat="1" ht="16.05" customHeight="1">
      <c r="A14" s="405">
        <v>2017</v>
      </c>
      <c r="B14" s="495"/>
      <c r="C14" s="492">
        <v>43</v>
      </c>
      <c r="D14" s="487">
        <v>1129827</v>
      </c>
      <c r="E14" s="493">
        <v>211339</v>
      </c>
      <c r="F14" s="487">
        <v>19440</v>
      </c>
      <c r="G14" s="489" t="s">
        <v>1540</v>
      </c>
      <c r="H14" s="489">
        <v>1331.71</v>
      </c>
      <c r="I14" s="488">
        <v>8146.33</v>
      </c>
      <c r="J14" s="545">
        <v>2.58</v>
      </c>
      <c r="K14" s="494">
        <v>9.43</v>
      </c>
      <c r="L14" s="494">
        <v>4.82</v>
      </c>
    </row>
    <row r="15" spans="1:21" s="468" customFormat="1" ht="16.5" customHeight="1">
      <c r="A15" s="405">
        <v>2018</v>
      </c>
      <c r="B15" s="497"/>
      <c r="C15" s="492">
        <v>44</v>
      </c>
      <c r="D15" s="487">
        <v>1441081.638</v>
      </c>
      <c r="E15" s="493">
        <v>321919</v>
      </c>
      <c r="F15" s="487">
        <v>19225</v>
      </c>
      <c r="G15" s="489" t="s">
        <v>1541</v>
      </c>
      <c r="H15" s="489">
        <v>1337.26</v>
      </c>
      <c r="I15" s="488">
        <v>8198.5304350000006</v>
      </c>
      <c r="J15" s="555">
        <v>3.88</v>
      </c>
      <c r="K15" s="494">
        <v>9.69</v>
      </c>
      <c r="L15" s="494">
        <v>5.22</v>
      </c>
      <c r="M15" s="821"/>
      <c r="N15" s="822"/>
      <c r="O15" s="822"/>
      <c r="P15" s="822"/>
      <c r="Q15" s="822"/>
      <c r="R15" s="822"/>
      <c r="S15" s="822"/>
      <c r="T15" s="822"/>
      <c r="U15" s="822"/>
    </row>
    <row r="16" spans="1:21" s="468" customFormat="1" ht="16.5" customHeight="1">
      <c r="A16" s="405">
        <v>2019</v>
      </c>
      <c r="B16" s="497"/>
      <c r="C16" s="492">
        <v>44</v>
      </c>
      <c r="D16" s="487">
        <v>397719</v>
      </c>
      <c r="E16" s="493">
        <v>56461</v>
      </c>
      <c r="F16" s="487">
        <v>4209</v>
      </c>
      <c r="G16" s="489" t="s">
        <v>1541</v>
      </c>
      <c r="H16" s="489">
        <v>1610.18</v>
      </c>
      <c r="I16" s="488">
        <v>10134.620000000001</v>
      </c>
      <c r="J16" s="555">
        <v>2.82</v>
      </c>
      <c r="K16" s="494">
        <v>11.27</v>
      </c>
      <c r="L16" s="494">
        <v>4.0999999999999996</v>
      </c>
      <c r="M16" s="821"/>
      <c r="N16" s="822"/>
      <c r="O16" s="822"/>
      <c r="P16" s="822"/>
      <c r="Q16" s="822"/>
      <c r="R16" s="822"/>
      <c r="S16" s="822"/>
      <c r="T16" s="822"/>
      <c r="U16" s="822"/>
    </row>
    <row r="17" spans="1:21" s="468" customFormat="1" ht="16.5" customHeight="1">
      <c r="A17" s="405">
        <v>2020</v>
      </c>
      <c r="B17" s="497"/>
      <c r="C17" s="492">
        <v>43</v>
      </c>
      <c r="D17" s="487">
        <v>1063071.6359999999</v>
      </c>
      <c r="E17" s="493">
        <v>193309.04775</v>
      </c>
      <c r="F17" s="487">
        <v>18074</v>
      </c>
      <c r="G17" s="489" t="s">
        <v>1541</v>
      </c>
      <c r="H17" s="489">
        <v>1489.78</v>
      </c>
      <c r="I17" s="488">
        <v>9277.25</v>
      </c>
      <c r="J17" s="555">
        <v>2.1800000000000002</v>
      </c>
      <c r="K17" s="494">
        <v>11.29</v>
      </c>
      <c r="L17" s="494">
        <v>5.07</v>
      </c>
      <c r="M17" s="821"/>
      <c r="N17" s="822"/>
      <c r="O17" s="822"/>
      <c r="P17" s="822"/>
      <c r="Q17" s="822"/>
      <c r="R17" s="822"/>
      <c r="S17" s="822"/>
      <c r="T17" s="822"/>
      <c r="U17" s="822"/>
    </row>
    <row r="18" spans="1:21" s="468" customFormat="1" ht="16.5" customHeight="1">
      <c r="A18" s="405">
        <v>2021</v>
      </c>
      <c r="B18" s="497"/>
      <c r="C18" s="492">
        <v>42</v>
      </c>
      <c r="D18" s="487">
        <v>1018298.618</v>
      </c>
      <c r="E18" s="493">
        <v>195678</v>
      </c>
      <c r="F18" s="487">
        <v>21001</v>
      </c>
      <c r="G18" s="489" t="s">
        <v>1541</v>
      </c>
      <c r="H18" s="489">
        <v>1797.25</v>
      </c>
      <c r="I18" s="488">
        <v>10815.45</v>
      </c>
      <c r="J18" s="555">
        <v>1.7</v>
      </c>
      <c r="K18" s="494">
        <v>20.350000000000001</v>
      </c>
      <c r="L18" s="494">
        <v>1.89</v>
      </c>
      <c r="M18" s="821"/>
      <c r="N18" s="822"/>
      <c r="O18" s="822"/>
      <c r="P18" s="822"/>
      <c r="Q18" s="822"/>
      <c r="R18" s="822"/>
      <c r="S18" s="822"/>
      <c r="T18" s="822"/>
      <c r="U18" s="822"/>
    </row>
    <row r="19" spans="1:21" s="468" customFormat="1" ht="16.5" customHeight="1">
      <c r="A19" s="405">
        <v>2022</v>
      </c>
      <c r="B19" s="497"/>
      <c r="C19" s="492">
        <v>43</v>
      </c>
      <c r="D19" s="487">
        <v>536936</v>
      </c>
      <c r="E19" s="493">
        <v>169789</v>
      </c>
      <c r="F19" s="487">
        <v>17474</v>
      </c>
      <c r="G19" s="489" t="s">
        <v>1541</v>
      </c>
      <c r="H19" s="489">
        <v>1895.27</v>
      </c>
      <c r="I19" s="488">
        <v>11408.89</v>
      </c>
      <c r="J19" s="555">
        <v>1.41</v>
      </c>
      <c r="K19" s="494">
        <v>9.83</v>
      </c>
      <c r="L19" s="494">
        <v>3.81</v>
      </c>
      <c r="M19" s="821"/>
      <c r="N19" s="822"/>
      <c r="O19" s="822"/>
      <c r="P19" s="822"/>
      <c r="Q19" s="822"/>
      <c r="R19" s="822"/>
      <c r="S19" s="822"/>
      <c r="T19" s="822"/>
      <c r="U19" s="822"/>
    </row>
    <row r="20" spans="1:21" s="468" customFormat="1" ht="16.5" customHeight="1">
      <c r="A20" s="405">
        <v>2023</v>
      </c>
      <c r="B20" s="497"/>
      <c r="C20" s="492">
        <v>42</v>
      </c>
      <c r="D20" s="487">
        <v>780702</v>
      </c>
      <c r="E20" s="493">
        <v>210239</v>
      </c>
      <c r="F20" s="487">
        <v>17730</v>
      </c>
      <c r="G20" s="489" t="s">
        <v>1541</v>
      </c>
      <c r="H20" s="489">
        <v>1971.49</v>
      </c>
      <c r="I20" s="488">
        <v>7768.57</v>
      </c>
      <c r="J20" s="555">
        <v>1.62</v>
      </c>
      <c r="K20" s="494">
        <v>7.81</v>
      </c>
      <c r="L20" s="494">
        <v>5.56</v>
      </c>
      <c r="M20" s="821"/>
      <c r="N20" s="822"/>
      <c r="O20" s="822"/>
      <c r="P20" s="822"/>
      <c r="Q20" s="822"/>
      <c r="R20" s="822"/>
      <c r="S20" s="822"/>
      <c r="T20" s="822"/>
      <c r="U20" s="822"/>
    </row>
    <row r="21" spans="1:21" s="468" customFormat="1" ht="16.5" customHeight="1">
      <c r="A21" s="405">
        <v>2024</v>
      </c>
      <c r="B21" s="497"/>
      <c r="C21" s="492">
        <v>41</v>
      </c>
      <c r="D21" s="487">
        <v>1483917</v>
      </c>
      <c r="E21" s="493">
        <v>319799</v>
      </c>
      <c r="F21" s="487">
        <v>17014</v>
      </c>
      <c r="G21" s="489" t="s">
        <v>1541</v>
      </c>
      <c r="H21" s="489">
        <v>1985.91</v>
      </c>
      <c r="I21" s="488">
        <v>7693.68</v>
      </c>
      <c r="J21" s="555">
        <v>3.84</v>
      </c>
      <c r="K21" s="494">
        <v>11.36</v>
      </c>
      <c r="L21" s="494">
        <v>4.7</v>
      </c>
      <c r="M21" s="821"/>
      <c r="N21" s="822"/>
      <c r="O21" s="822"/>
      <c r="P21" s="822"/>
      <c r="Q21" s="822"/>
      <c r="R21" s="822"/>
      <c r="S21" s="822"/>
      <c r="T21" s="822"/>
      <c r="U21" s="822"/>
    </row>
    <row r="22" spans="1:21" s="468" customFormat="1" ht="16.5" customHeight="1">
      <c r="A22" s="713">
        <v>2025</v>
      </c>
      <c r="B22" s="750"/>
      <c r="C22" s="751">
        <f>C28</f>
        <v>41</v>
      </c>
      <c r="D22" s="752">
        <f>SUM(D25:D28)</f>
        <v>1420363</v>
      </c>
      <c r="E22" s="753">
        <f>SUM(E25:E28)</f>
        <v>619075</v>
      </c>
      <c r="F22" s="752">
        <f>SUM(F25:F28)</f>
        <v>21776</v>
      </c>
      <c r="G22" s="754" t="s">
        <v>1541</v>
      </c>
      <c r="H22" s="754">
        <f>H28</f>
        <v>2066.54</v>
      </c>
      <c r="I22" s="755">
        <f>I28</f>
        <v>8033.26</v>
      </c>
      <c r="J22" s="756">
        <v>7.6</v>
      </c>
      <c r="K22" s="715">
        <v>10.08</v>
      </c>
      <c r="L22" s="715">
        <v>5.07</v>
      </c>
      <c r="M22" s="821"/>
      <c r="N22" s="822"/>
      <c r="O22" s="822"/>
      <c r="P22" s="822"/>
      <c r="Q22" s="822"/>
      <c r="R22" s="822"/>
      <c r="S22" s="822"/>
      <c r="T22" s="822"/>
      <c r="U22" s="822"/>
    </row>
    <row r="23" spans="1:21" s="468" customFormat="1" ht="21" customHeight="1">
      <c r="A23" s="405">
        <v>2024</v>
      </c>
      <c r="B23" s="497" t="s">
        <v>237</v>
      </c>
      <c r="C23" s="492">
        <v>40</v>
      </c>
      <c r="D23" s="487">
        <v>502684</v>
      </c>
      <c r="E23" s="493">
        <v>117643</v>
      </c>
      <c r="F23" s="487">
        <v>4280</v>
      </c>
      <c r="G23" s="489" t="s">
        <v>1541</v>
      </c>
      <c r="H23" s="489">
        <v>2012.77</v>
      </c>
      <c r="I23" s="488">
        <v>7797.73</v>
      </c>
      <c r="J23" s="555">
        <v>1.38</v>
      </c>
      <c r="K23" s="494">
        <v>11.53</v>
      </c>
      <c r="L23" s="494">
        <v>4.6500000000000004</v>
      </c>
      <c r="M23" s="821"/>
      <c r="N23" s="822"/>
      <c r="O23" s="822"/>
      <c r="P23" s="822"/>
      <c r="Q23" s="822"/>
      <c r="R23" s="822"/>
      <c r="S23" s="822"/>
      <c r="T23" s="822"/>
      <c r="U23" s="822"/>
    </row>
    <row r="24" spans="1:21" s="468" customFormat="1" ht="15" customHeight="1">
      <c r="A24" s="405"/>
      <c r="B24" s="497" t="s">
        <v>238</v>
      </c>
      <c r="C24" s="492">
        <v>41</v>
      </c>
      <c r="D24" s="487">
        <v>84918</v>
      </c>
      <c r="E24" s="493">
        <v>44836</v>
      </c>
      <c r="F24" s="487">
        <v>3163</v>
      </c>
      <c r="G24" s="489" t="s">
        <v>1541</v>
      </c>
      <c r="H24" s="489">
        <v>1985.91</v>
      </c>
      <c r="I24" s="488">
        <v>7693.68</v>
      </c>
      <c r="J24" s="555">
        <v>0.55000000000000004</v>
      </c>
      <c r="K24" s="494">
        <v>11.38</v>
      </c>
      <c r="L24" s="494">
        <v>4.7</v>
      </c>
      <c r="M24" s="821"/>
      <c r="N24" s="822"/>
      <c r="O24" s="822"/>
      <c r="P24" s="822"/>
      <c r="Q24" s="822"/>
      <c r="R24" s="822"/>
      <c r="S24" s="822"/>
      <c r="T24" s="822"/>
      <c r="U24" s="822"/>
    </row>
    <row r="25" spans="1:21" s="468" customFormat="1" ht="21" customHeight="1">
      <c r="A25" s="405">
        <v>2025</v>
      </c>
      <c r="B25" s="497" t="s">
        <v>239</v>
      </c>
      <c r="C25" s="492">
        <v>41</v>
      </c>
      <c r="D25" s="487">
        <v>570770</v>
      </c>
      <c r="E25" s="493">
        <v>418270</v>
      </c>
      <c r="F25" s="487">
        <v>3900</v>
      </c>
      <c r="G25" s="489" t="s">
        <v>1541</v>
      </c>
      <c r="H25" s="489">
        <v>1951.37</v>
      </c>
      <c r="I25" s="488">
        <v>7558.81</v>
      </c>
      <c r="J25" s="555">
        <v>5.5</v>
      </c>
      <c r="K25" s="494">
        <v>9.34</v>
      </c>
      <c r="L25" s="494">
        <v>5.35</v>
      </c>
      <c r="M25" s="821"/>
      <c r="N25" s="822"/>
      <c r="O25" s="822"/>
      <c r="P25" s="822"/>
      <c r="Q25" s="822"/>
      <c r="R25" s="822"/>
      <c r="S25" s="822"/>
      <c r="T25" s="822"/>
      <c r="U25" s="822"/>
    </row>
    <row r="26" spans="1:21" s="468" customFormat="1" ht="15" customHeight="1">
      <c r="A26" s="405"/>
      <c r="B26" s="497" t="s">
        <v>240</v>
      </c>
      <c r="C26" s="492">
        <v>41</v>
      </c>
      <c r="D26" s="487">
        <v>219487</v>
      </c>
      <c r="E26" s="493">
        <v>50790</v>
      </c>
      <c r="F26" s="487">
        <v>5467</v>
      </c>
      <c r="G26" s="489" t="s">
        <v>1541</v>
      </c>
      <c r="H26" s="489">
        <v>1943.81</v>
      </c>
      <c r="I26" s="488">
        <v>7556.17</v>
      </c>
      <c r="J26" s="555">
        <v>0.63</v>
      </c>
      <c r="K26" s="494">
        <v>9.3000000000000007</v>
      </c>
      <c r="L26" s="494">
        <v>5.38</v>
      </c>
      <c r="M26" s="821"/>
      <c r="N26" s="822"/>
      <c r="O26" s="822"/>
      <c r="P26" s="822"/>
      <c r="Q26" s="822"/>
      <c r="R26" s="822"/>
      <c r="S26" s="822"/>
      <c r="T26" s="822"/>
      <c r="U26" s="822"/>
    </row>
    <row r="27" spans="1:21" s="468" customFormat="1" ht="15" customHeight="1">
      <c r="A27" s="405"/>
      <c r="B27" s="497" t="s">
        <v>237</v>
      </c>
      <c r="C27" s="492">
        <v>41</v>
      </c>
      <c r="D27" s="487">
        <v>235680</v>
      </c>
      <c r="E27" s="493">
        <v>52100</v>
      </c>
      <c r="F27" s="487">
        <v>5289</v>
      </c>
      <c r="G27" s="489" t="s">
        <v>1541</v>
      </c>
      <c r="H27" s="489">
        <v>1948.17</v>
      </c>
      <c r="I27" s="488">
        <v>7573.13</v>
      </c>
      <c r="J27" s="555">
        <v>0.65</v>
      </c>
      <c r="K27" s="494">
        <v>9.31</v>
      </c>
      <c r="L27" s="494">
        <v>5.37</v>
      </c>
      <c r="M27" s="821"/>
      <c r="N27" s="822"/>
      <c r="O27" s="822"/>
      <c r="P27" s="822"/>
      <c r="Q27" s="822"/>
      <c r="R27" s="822"/>
      <c r="S27" s="822"/>
      <c r="T27" s="822"/>
      <c r="U27" s="822"/>
    </row>
    <row r="28" spans="1:21" s="468" customFormat="1" ht="15" customHeight="1">
      <c r="A28" s="405"/>
      <c r="B28" s="497" t="s">
        <v>238</v>
      </c>
      <c r="C28" s="492">
        <f>C36</f>
        <v>41</v>
      </c>
      <c r="D28" s="487">
        <f>SUM(D34:D36)</f>
        <v>394426</v>
      </c>
      <c r="E28" s="493">
        <f>SUM(E34:E36)</f>
        <v>97915</v>
      </c>
      <c r="F28" s="487">
        <f>SUM(F34:F36)</f>
        <v>7120</v>
      </c>
      <c r="G28" s="489" t="s">
        <v>1541</v>
      </c>
      <c r="H28" s="489">
        <f>H36</f>
        <v>2066.54</v>
      </c>
      <c r="I28" s="488">
        <f>I36</f>
        <v>8033.26</v>
      </c>
      <c r="J28" s="555">
        <v>1.21</v>
      </c>
      <c r="K28" s="494">
        <v>10.08</v>
      </c>
      <c r="L28" s="494">
        <v>5.07</v>
      </c>
      <c r="M28" s="821"/>
      <c r="N28" s="822"/>
      <c r="O28" s="822"/>
      <c r="P28" s="822"/>
      <c r="Q28" s="822"/>
      <c r="R28" s="822"/>
      <c r="S28" s="822"/>
      <c r="T28" s="822"/>
      <c r="U28" s="822"/>
    </row>
    <row r="29" spans="1:21" s="468" customFormat="1" ht="21" customHeight="1">
      <c r="A29" s="405">
        <v>2026</v>
      </c>
      <c r="B29" s="497" t="s">
        <v>239</v>
      </c>
      <c r="C29" s="492">
        <f>C39</f>
        <v>41</v>
      </c>
      <c r="D29" s="487">
        <f>SUM(D37:D39)</f>
        <v>130016.302</v>
      </c>
      <c r="E29" s="493">
        <f>SUM(E37:E39)</f>
        <v>49127.376501999999</v>
      </c>
      <c r="F29" s="487">
        <f>SUM(F37:F39)</f>
        <v>5863</v>
      </c>
      <c r="G29" s="489" t="s">
        <v>1541</v>
      </c>
      <c r="H29" s="489">
        <f>H39</f>
        <v>1899.079</v>
      </c>
      <c r="I29" s="488">
        <f>I39</f>
        <v>7367.5744285245028</v>
      </c>
      <c r="J29" s="555">
        <v>0.65</v>
      </c>
      <c r="K29" s="494">
        <v>8.27</v>
      </c>
      <c r="L29" s="494">
        <v>6.26</v>
      </c>
      <c r="M29" s="821"/>
      <c r="N29" s="822"/>
      <c r="O29" s="822"/>
      <c r="P29" s="822"/>
      <c r="Q29" s="822"/>
      <c r="R29" s="822"/>
      <c r="S29" s="822"/>
      <c r="T29" s="822"/>
      <c r="U29" s="822"/>
    </row>
    <row r="30" spans="1:21" s="468" customFormat="1" ht="15" customHeight="1">
      <c r="A30" s="713"/>
      <c r="B30" s="750" t="s">
        <v>240</v>
      </c>
      <c r="C30" s="751">
        <f>C42</f>
        <v>41</v>
      </c>
      <c r="D30" s="752">
        <f>SUM(D40:D42)</f>
        <v>190001.56400000001</v>
      </c>
      <c r="E30" s="753">
        <f>SUM(E40:E42)</f>
        <v>57106.295190000004</v>
      </c>
      <c r="F30" s="752">
        <f>SUM(F40:F42)</f>
        <v>8569</v>
      </c>
      <c r="G30" s="754" t="s">
        <v>1541</v>
      </c>
      <c r="H30" s="754">
        <f>H42</f>
        <v>2042.56</v>
      </c>
      <c r="I30" s="755">
        <f>I42</f>
        <v>7928.98</v>
      </c>
      <c r="J30" s="756">
        <v>0.68</v>
      </c>
      <c r="K30" s="715">
        <v>8.92</v>
      </c>
      <c r="L30" s="715">
        <v>5.82</v>
      </c>
      <c r="M30" s="821"/>
      <c r="N30" s="822"/>
      <c r="O30" s="822"/>
      <c r="P30" s="822"/>
      <c r="Q30" s="822"/>
      <c r="R30" s="822"/>
      <c r="S30" s="822"/>
      <c r="T30" s="822"/>
      <c r="U30" s="822"/>
    </row>
    <row r="31" spans="1:21" s="822" customFormat="1" ht="21" customHeight="1">
      <c r="A31" s="747">
        <v>2025</v>
      </c>
      <c r="B31" s="748" t="s">
        <v>420</v>
      </c>
      <c r="C31" s="1178">
        <v>41</v>
      </c>
      <c r="D31" s="843">
        <v>161116</v>
      </c>
      <c r="E31" s="1179">
        <v>28851</v>
      </c>
      <c r="F31" s="843">
        <v>2044</v>
      </c>
      <c r="G31" s="806" t="s">
        <v>1541</v>
      </c>
      <c r="H31" s="1180">
        <v>1955.63</v>
      </c>
      <c r="I31" s="1181">
        <v>7602.13</v>
      </c>
      <c r="J31" s="1182">
        <v>0.35</v>
      </c>
      <c r="K31" s="1183">
        <v>9.35</v>
      </c>
      <c r="L31" s="1183">
        <v>5.37</v>
      </c>
    </row>
    <row r="32" spans="1:21" s="822" customFormat="1" ht="17.25" customHeight="1">
      <c r="A32" s="747"/>
      <c r="B32" s="748" t="s">
        <v>421</v>
      </c>
      <c r="C32" s="1178">
        <v>41</v>
      </c>
      <c r="D32" s="843">
        <v>24600</v>
      </c>
      <c r="E32" s="1179">
        <v>8703</v>
      </c>
      <c r="F32" s="843">
        <v>1567</v>
      </c>
      <c r="G32" s="806" t="s">
        <v>1541</v>
      </c>
      <c r="H32" s="1180">
        <v>1929.18</v>
      </c>
      <c r="I32" s="1181">
        <v>7499.31</v>
      </c>
      <c r="J32" s="1182">
        <v>0.11</v>
      </c>
      <c r="K32" s="1183">
        <v>9.2100000000000009</v>
      </c>
      <c r="L32" s="1183">
        <v>5.44</v>
      </c>
    </row>
    <row r="33" spans="1:12" s="822" customFormat="1" ht="17.25" customHeight="1">
      <c r="A33" s="747"/>
      <c r="B33" s="748" t="s">
        <v>422</v>
      </c>
      <c r="C33" s="1178">
        <v>41</v>
      </c>
      <c r="D33" s="843">
        <v>49964</v>
      </c>
      <c r="E33" s="1179">
        <v>14546</v>
      </c>
      <c r="F33" s="843">
        <v>1678</v>
      </c>
      <c r="G33" s="806" t="s">
        <v>1541</v>
      </c>
      <c r="H33" s="1180">
        <v>1948.17</v>
      </c>
      <c r="I33" s="1181">
        <v>7573.13</v>
      </c>
      <c r="J33" s="1182">
        <v>0.18</v>
      </c>
      <c r="K33" s="1183">
        <v>9.31</v>
      </c>
      <c r="L33" s="1183">
        <v>5.39</v>
      </c>
    </row>
    <row r="34" spans="1:12" s="822" customFormat="1" ht="17.25" customHeight="1">
      <c r="A34" s="747"/>
      <c r="B34" s="748" t="s">
        <v>411</v>
      </c>
      <c r="C34" s="1178">
        <v>41</v>
      </c>
      <c r="D34" s="843">
        <v>148575</v>
      </c>
      <c r="E34" s="1179">
        <v>36116</v>
      </c>
      <c r="F34" s="843">
        <v>2704</v>
      </c>
      <c r="G34" s="806" t="s">
        <v>1541</v>
      </c>
      <c r="H34" s="1180">
        <v>2062.9</v>
      </c>
      <c r="I34" s="1181">
        <v>8016.67</v>
      </c>
      <c r="J34" s="1182">
        <v>0.45</v>
      </c>
      <c r="K34" s="1183">
        <v>10.01</v>
      </c>
      <c r="L34" s="1183">
        <v>5.0999999999999996</v>
      </c>
    </row>
    <row r="35" spans="1:12" s="822" customFormat="1" ht="17.25" customHeight="1">
      <c r="A35" s="747"/>
      <c r="B35" s="748" t="s">
        <v>412</v>
      </c>
      <c r="C35" s="1178">
        <v>41</v>
      </c>
      <c r="D35" s="843">
        <v>139326</v>
      </c>
      <c r="E35" s="1179">
        <v>32770</v>
      </c>
      <c r="F35" s="843">
        <v>2384</v>
      </c>
      <c r="G35" s="806" t="s">
        <v>1541</v>
      </c>
      <c r="H35" s="1180">
        <v>2040.32</v>
      </c>
      <c r="I35" s="1181">
        <v>7931.32</v>
      </c>
      <c r="J35" s="1182">
        <v>0.41</v>
      </c>
      <c r="K35" s="1183">
        <v>9.93</v>
      </c>
      <c r="L35" s="1183">
        <v>5.16</v>
      </c>
    </row>
    <row r="36" spans="1:12" s="822" customFormat="1" ht="17.25" customHeight="1">
      <c r="A36" s="747"/>
      <c r="B36" s="748" t="s">
        <v>413</v>
      </c>
      <c r="C36" s="1178">
        <v>41</v>
      </c>
      <c r="D36" s="843">
        <v>106525</v>
      </c>
      <c r="E36" s="1179">
        <v>29029</v>
      </c>
      <c r="F36" s="843">
        <v>2032</v>
      </c>
      <c r="G36" s="806" t="s">
        <v>1541</v>
      </c>
      <c r="H36" s="1180">
        <v>2066.54</v>
      </c>
      <c r="I36" s="1181">
        <v>8033.26</v>
      </c>
      <c r="J36" s="1182">
        <v>0.35</v>
      </c>
      <c r="K36" s="1183">
        <v>10.08</v>
      </c>
      <c r="L36" s="1183">
        <v>5.09</v>
      </c>
    </row>
    <row r="37" spans="1:12" s="822" customFormat="1" ht="21" customHeight="1">
      <c r="A37" s="747">
        <v>2026</v>
      </c>
      <c r="B37" s="748" t="s">
        <v>414</v>
      </c>
      <c r="C37" s="1178">
        <v>40</v>
      </c>
      <c r="D37" s="843">
        <v>53574.635999999999</v>
      </c>
      <c r="E37" s="1179">
        <v>23742</v>
      </c>
      <c r="F37" s="843">
        <v>1588</v>
      </c>
      <c r="G37" s="806" t="s">
        <v>1541</v>
      </c>
      <c r="H37" s="1180">
        <v>2044.088</v>
      </c>
      <c r="I37" s="1181">
        <v>7929.7672646417332</v>
      </c>
      <c r="J37" s="1182">
        <v>0.28999999999999998</v>
      </c>
      <c r="K37" s="1183">
        <v>9.9700000000000006</v>
      </c>
      <c r="L37" s="1183">
        <v>5.16</v>
      </c>
    </row>
    <row r="38" spans="1:12" s="822" customFormat="1" ht="17.25" customHeight="1">
      <c r="A38" s="747"/>
      <c r="B38" s="748" t="s">
        <v>415</v>
      </c>
      <c r="C38" s="1178">
        <v>41</v>
      </c>
      <c r="D38" s="843">
        <v>57411.56</v>
      </c>
      <c r="E38" s="1179">
        <v>18457.376501999999</v>
      </c>
      <c r="F38" s="843">
        <v>1903</v>
      </c>
      <c r="G38" s="806" t="s">
        <v>1541</v>
      </c>
      <c r="H38" s="1180">
        <v>2060.7159999999999</v>
      </c>
      <c r="I38" s="1181">
        <v>7994.272876455364</v>
      </c>
      <c r="J38" s="1182">
        <v>0.2298590060031534</v>
      </c>
      <c r="K38" s="1183">
        <v>8.9539751617546308</v>
      </c>
      <c r="L38" s="1183">
        <v>5.8057751729200877</v>
      </c>
    </row>
    <row r="39" spans="1:12" s="822" customFormat="1" ht="17.25" customHeight="1">
      <c r="A39" s="747"/>
      <c r="B39" s="748" t="s">
        <v>416</v>
      </c>
      <c r="C39" s="1178">
        <v>41</v>
      </c>
      <c r="D39" s="843">
        <v>19030.106</v>
      </c>
      <c r="E39" s="1179">
        <v>6928</v>
      </c>
      <c r="F39" s="843">
        <v>2372</v>
      </c>
      <c r="G39" s="806" t="s">
        <v>1541</v>
      </c>
      <c r="H39" s="1180">
        <v>1899.079</v>
      </c>
      <c r="I39" s="1181">
        <v>7367.5744285245028</v>
      </c>
      <c r="J39" s="1182">
        <v>9.2131634907139992E-2</v>
      </c>
      <c r="K39" s="1183">
        <v>8.2659840271600125</v>
      </c>
      <c r="L39" s="1183">
        <v>6.2811435312775856</v>
      </c>
    </row>
    <row r="40" spans="1:12" s="822" customFormat="1" ht="17.25" customHeight="1">
      <c r="A40" s="747"/>
      <c r="B40" s="748" t="s">
        <v>417</v>
      </c>
      <c r="C40" s="1208">
        <v>41</v>
      </c>
      <c r="D40" s="1209">
        <v>61651.103000000003</v>
      </c>
      <c r="E40" s="1210">
        <v>18397.957270999999</v>
      </c>
      <c r="F40" s="1209">
        <v>3082</v>
      </c>
      <c r="G40" s="1211" t="s">
        <v>1541</v>
      </c>
      <c r="H40" s="1211">
        <v>1972.0509999999999</v>
      </c>
      <c r="I40" s="1212">
        <v>7650.6725458860883</v>
      </c>
      <c r="J40" s="1213">
        <v>0.21944519122083947</v>
      </c>
      <c r="K40" s="1214">
        <v>8.5845004759022032</v>
      </c>
      <c r="L40" s="1214">
        <v>6.0653201595447923</v>
      </c>
    </row>
    <row r="41" spans="1:12" s="822" customFormat="1" ht="17.25" customHeight="1">
      <c r="A41" s="747"/>
      <c r="B41" s="748" t="s">
        <v>418</v>
      </c>
      <c r="C41" s="1208">
        <v>41</v>
      </c>
      <c r="D41" s="1209">
        <v>63844.461000000003</v>
      </c>
      <c r="E41" s="1210">
        <v>18652.337919000001</v>
      </c>
      <c r="F41" s="1209">
        <v>3193</v>
      </c>
      <c r="G41" s="1211" t="s">
        <v>1541</v>
      </c>
      <c r="H41" s="1211">
        <v>1979.0509999999999</v>
      </c>
      <c r="I41" s="1212">
        <v>7682.4401525510139</v>
      </c>
      <c r="J41" s="1213">
        <v>0.2398001955522252</v>
      </c>
      <c r="K41" s="1214">
        <v>8.6176650291312953</v>
      </c>
      <c r="L41" s="1214">
        <v>6.0397456624869728</v>
      </c>
    </row>
    <row r="42" spans="1:12" s="822" customFormat="1" ht="17.25" customHeight="1">
      <c r="A42" s="747"/>
      <c r="B42" s="748" t="s">
        <v>419</v>
      </c>
      <c r="C42" s="1208">
        <v>41</v>
      </c>
      <c r="D42" s="1209">
        <v>64506</v>
      </c>
      <c r="E42" s="1210">
        <v>20056</v>
      </c>
      <c r="F42" s="1209">
        <v>2294</v>
      </c>
      <c r="G42" s="1211" t="s">
        <v>1541</v>
      </c>
      <c r="H42" s="1211">
        <v>2042.56</v>
      </c>
      <c r="I42" s="1212">
        <v>7928.98</v>
      </c>
      <c r="J42" s="1213">
        <v>0.24</v>
      </c>
      <c r="K42" s="1214">
        <v>8.92</v>
      </c>
      <c r="L42" s="1214">
        <v>5.85</v>
      </c>
    </row>
    <row r="43" spans="1:12" s="822" customFormat="1" ht="17.25" customHeight="1">
      <c r="A43" s="747"/>
      <c r="B43" s="748" t="s">
        <v>420</v>
      </c>
      <c r="C43" s="1208">
        <v>41</v>
      </c>
      <c r="D43" s="1209">
        <v>30479</v>
      </c>
      <c r="E43" s="1210">
        <v>9644</v>
      </c>
      <c r="F43" s="1209">
        <v>1944</v>
      </c>
      <c r="G43" s="1211" t="s">
        <v>1541</v>
      </c>
      <c r="H43" s="1211">
        <v>1956.33</v>
      </c>
      <c r="I43" s="1212">
        <v>7594.25</v>
      </c>
      <c r="J43" s="1213">
        <v>0.12</v>
      </c>
      <c r="K43" s="1214">
        <v>8.52</v>
      </c>
      <c r="L43" s="1214">
        <v>6.1</v>
      </c>
    </row>
    <row r="44" spans="1:12" ht="21.3" customHeight="1">
      <c r="A44" s="462" t="s">
        <v>1542</v>
      </c>
      <c r="B44" s="462"/>
      <c r="C44" s="462"/>
      <c r="D44" s="462"/>
      <c r="E44" s="462"/>
      <c r="F44" s="462"/>
      <c r="G44" s="462"/>
      <c r="H44" s="462"/>
      <c r="I44" s="462"/>
      <c r="J44" s="462"/>
      <c r="K44" s="462"/>
      <c r="L44" s="498" t="s">
        <v>1543</v>
      </c>
    </row>
    <row r="45" spans="1:12" ht="13.8" customHeight="1">
      <c r="A45" s="445" t="s">
        <v>1544</v>
      </c>
      <c r="L45" s="499" t="s">
        <v>1545</v>
      </c>
    </row>
    <row r="46" spans="1:12" ht="13.8" customHeight="1">
      <c r="A46" s="445" t="s">
        <v>1546</v>
      </c>
      <c r="L46" s="499" t="s">
        <v>1735</v>
      </c>
    </row>
    <row r="47" spans="1:12" ht="13.8" customHeight="1">
      <c r="A47" s="445" t="s">
        <v>1547</v>
      </c>
      <c r="L47" s="499" t="s">
        <v>1548</v>
      </c>
    </row>
    <row r="48" spans="1:12" ht="13.8" customHeight="1">
      <c r="A48" s="463" t="s">
        <v>1549</v>
      </c>
      <c r="L48" s="500" t="s">
        <v>1550</v>
      </c>
    </row>
    <row r="49" spans="1:12">
      <c r="E49" s="445" t="s">
        <v>117</v>
      </c>
    </row>
    <row r="50" spans="1:12" ht="13.8">
      <c r="A50" s="501" t="s">
        <v>1551</v>
      </c>
      <c r="B50" s="444"/>
      <c r="C50" s="444"/>
      <c r="D50" s="444"/>
      <c r="E50" s="444"/>
      <c r="F50" s="444"/>
      <c r="G50" s="444"/>
      <c r="H50" s="444"/>
      <c r="I50" s="444"/>
      <c r="J50" s="444"/>
      <c r="K50" s="444"/>
      <c r="L50" s="444"/>
    </row>
  </sheetData>
  <printOptions horizontalCentered="1" verticalCentered="1"/>
  <pageMargins left="0" right="0" top="0" bottom="0" header="0.3" footer="0.3"/>
  <pageSetup paperSize="9" scale="7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pageSetUpPr fitToPage="1"/>
  </sheetPr>
  <dimension ref="A1:W67"/>
  <sheetViews>
    <sheetView zoomScale="80" zoomScaleNormal="80" workbookViewId="0">
      <pane ySplit="12" topLeftCell="A38" activePane="bottomLeft" state="frozen"/>
      <selection activeCell="B2" sqref="B2"/>
      <selection pane="bottomLeft" activeCell="L48" sqref="L48"/>
    </sheetView>
  </sheetViews>
  <sheetFormatPr defaultColWidth="9.21875" defaultRowHeight="13.2"/>
  <cols>
    <col min="1" max="2" width="9.77734375" style="445" customWidth="1"/>
    <col min="3" max="8" width="13.77734375" style="445" customWidth="1"/>
    <col min="9" max="9" width="18.77734375" style="445" bestFit="1" customWidth="1"/>
    <col min="10" max="14" width="13.77734375" style="445" customWidth="1"/>
    <col min="15" max="16384" width="9.21875" style="445"/>
  </cols>
  <sheetData>
    <row r="1" spans="1:23" ht="21.75" customHeight="1">
      <c r="A1" s="1399" t="s">
        <v>1733</v>
      </c>
      <c r="B1" s="807"/>
      <c r="C1" s="807"/>
      <c r="D1" s="807"/>
      <c r="E1" s="807"/>
      <c r="F1" s="807"/>
      <c r="G1" s="807"/>
      <c r="H1" s="807"/>
      <c r="I1" s="807"/>
      <c r="J1" s="807"/>
      <c r="K1" s="807"/>
      <c r="L1" s="807"/>
      <c r="M1" s="807"/>
      <c r="N1" s="807"/>
    </row>
    <row r="2" spans="1:23" ht="17.399999999999999">
      <c r="A2" s="1399" t="s">
        <v>1552</v>
      </c>
      <c r="B2" s="807"/>
      <c r="C2" s="807"/>
      <c r="D2" s="807"/>
      <c r="E2" s="807"/>
      <c r="F2" s="807"/>
      <c r="G2" s="807"/>
      <c r="H2" s="807"/>
      <c r="I2" s="807"/>
      <c r="J2" s="807"/>
      <c r="K2" s="807"/>
      <c r="L2" s="807"/>
      <c r="M2" s="807"/>
      <c r="N2" s="807"/>
    </row>
    <row r="3" spans="1:23" ht="16.8">
      <c r="A3" s="1400" t="s">
        <v>1553</v>
      </c>
      <c r="B3" s="464"/>
      <c r="C3" s="464"/>
      <c r="D3" s="464"/>
      <c r="E3" s="464"/>
      <c r="F3" s="464"/>
      <c r="G3" s="464"/>
      <c r="H3" s="464"/>
      <c r="I3" s="464"/>
      <c r="J3" s="464"/>
      <c r="K3" s="464"/>
      <c r="L3" s="464"/>
      <c r="M3" s="464"/>
      <c r="N3" s="464"/>
    </row>
    <row r="4" spans="1:23" ht="16.8" hidden="1">
      <c r="A4" s="1400"/>
      <c r="B4" s="464"/>
      <c r="C4" s="464"/>
      <c r="D4" s="464"/>
      <c r="E4" s="464"/>
      <c r="F4" s="464"/>
      <c r="G4" s="464"/>
      <c r="H4" s="464"/>
      <c r="I4" s="464"/>
      <c r="J4" s="464"/>
      <c r="K4" s="464"/>
      <c r="L4" s="464"/>
      <c r="M4" s="464"/>
      <c r="N4" s="464"/>
    </row>
    <row r="5" spans="1:23" ht="16.8" hidden="1">
      <c r="A5" s="1400"/>
      <c r="B5" s="464"/>
      <c r="C5" s="464"/>
      <c r="D5" s="464"/>
      <c r="E5" s="464"/>
      <c r="F5" s="464"/>
      <c r="G5" s="464"/>
      <c r="H5" s="464"/>
      <c r="I5" s="464"/>
      <c r="J5" s="464"/>
      <c r="K5" s="464"/>
      <c r="L5" s="464"/>
      <c r="M5" s="464"/>
      <c r="N5" s="464"/>
    </row>
    <row r="6" spans="1:23" ht="16.8" hidden="1">
      <c r="A6" s="1400"/>
      <c r="B6" s="464"/>
      <c r="C6" s="464"/>
      <c r="D6" s="464"/>
      <c r="E6" s="464"/>
      <c r="F6" s="464"/>
      <c r="G6" s="464"/>
      <c r="H6" s="464"/>
      <c r="I6" s="464"/>
      <c r="J6" s="464"/>
      <c r="K6" s="464"/>
      <c r="L6" s="464"/>
      <c r="M6" s="464"/>
      <c r="N6" s="464"/>
    </row>
    <row r="7" spans="1:23" ht="0.6" customHeight="1">
      <c r="A7" s="1400"/>
      <c r="B7" s="464"/>
      <c r="C7" s="464"/>
      <c r="D7" s="464"/>
      <c r="E7" s="464"/>
      <c r="F7" s="464"/>
      <c r="G7" s="464"/>
      <c r="H7" s="464"/>
      <c r="I7" s="464"/>
      <c r="J7" s="464"/>
      <c r="K7" s="464"/>
      <c r="L7" s="464"/>
      <c r="M7" s="464"/>
      <c r="N7" s="464"/>
    </row>
    <row r="8" spans="1:23" s="448" customFormat="1" ht="14.85" customHeight="1">
      <c r="A8" s="502" t="s">
        <v>1554</v>
      </c>
      <c r="B8" s="446"/>
      <c r="C8" s="447"/>
      <c r="D8" s="447"/>
      <c r="E8" s="447"/>
      <c r="F8" s="447"/>
      <c r="G8" s="447"/>
      <c r="H8" s="447"/>
      <c r="I8" s="447"/>
      <c r="J8" s="447"/>
      <c r="K8" s="447"/>
      <c r="L8" s="447"/>
      <c r="M8" s="447"/>
      <c r="N8" s="503" t="s">
        <v>1555</v>
      </c>
    </row>
    <row r="9" spans="1:23" s="508" customFormat="1" ht="16.05" customHeight="1">
      <c r="A9" s="504"/>
      <c r="B9" s="505"/>
      <c r="C9" s="506"/>
      <c r="D9" s="506"/>
      <c r="E9" s="467" t="s">
        <v>1556</v>
      </c>
      <c r="F9" s="467" t="s">
        <v>1556</v>
      </c>
      <c r="G9" s="931"/>
      <c r="H9" s="931"/>
      <c r="I9" s="932"/>
      <c r="J9" s="506"/>
      <c r="K9" s="506"/>
      <c r="L9" s="467" t="s">
        <v>1557</v>
      </c>
      <c r="M9" s="506"/>
      <c r="N9" s="507"/>
    </row>
    <row r="10" spans="1:23" s="468" customFormat="1" ht="13.8">
      <c r="A10" s="509" t="s">
        <v>1516</v>
      </c>
      <c r="B10" s="510"/>
      <c r="C10" s="511" t="s">
        <v>1558</v>
      </c>
      <c r="D10" s="511" t="s">
        <v>1559</v>
      </c>
      <c r="E10" s="511" t="s">
        <v>1560</v>
      </c>
      <c r="F10" s="511" t="s">
        <v>1561</v>
      </c>
      <c r="G10" s="511" t="s">
        <v>1562</v>
      </c>
      <c r="H10" s="511" t="s">
        <v>1658</v>
      </c>
      <c r="I10" s="511" t="s">
        <v>1284</v>
      </c>
      <c r="J10" s="511" t="s">
        <v>1563</v>
      </c>
      <c r="K10" s="511" t="s">
        <v>1564</v>
      </c>
      <c r="L10" s="511" t="s">
        <v>1565</v>
      </c>
      <c r="M10" s="511" t="s">
        <v>1566</v>
      </c>
      <c r="N10" s="511" t="s">
        <v>382</v>
      </c>
    </row>
    <row r="11" spans="1:23" s="468" customFormat="1" ht="13.8">
      <c r="A11" s="471" t="s">
        <v>1524</v>
      </c>
      <c r="B11" s="510"/>
      <c r="C11" s="474" t="s">
        <v>1567</v>
      </c>
      <c r="D11" s="474" t="s">
        <v>1568</v>
      </c>
      <c r="E11" s="474" t="s">
        <v>1569</v>
      </c>
      <c r="F11" s="474" t="s">
        <v>1569</v>
      </c>
      <c r="G11" s="474" t="s">
        <v>1570</v>
      </c>
      <c r="H11" s="474" t="s">
        <v>1659</v>
      </c>
      <c r="I11" s="474" t="s">
        <v>1571</v>
      </c>
      <c r="J11" s="474" t="s">
        <v>1572</v>
      </c>
      <c r="K11" s="474" t="s">
        <v>1573</v>
      </c>
      <c r="L11" s="474" t="s">
        <v>1574</v>
      </c>
      <c r="M11" s="474" t="s">
        <v>1575</v>
      </c>
      <c r="N11" s="474" t="s">
        <v>392</v>
      </c>
    </row>
    <row r="12" spans="1:23" s="468" customFormat="1" ht="13.8">
      <c r="A12" s="512"/>
      <c r="B12" s="513"/>
      <c r="C12" s="514"/>
      <c r="D12" s="514"/>
      <c r="E12" s="514" t="s">
        <v>1576</v>
      </c>
      <c r="F12" s="514" t="s">
        <v>1577</v>
      </c>
      <c r="G12" s="514"/>
      <c r="H12" s="514" t="s">
        <v>1660</v>
      </c>
      <c r="I12" s="514" t="s">
        <v>1578</v>
      </c>
      <c r="J12" s="514" t="s">
        <v>1579</v>
      </c>
      <c r="K12" s="514" t="s">
        <v>1535</v>
      </c>
      <c r="L12" s="515" t="s">
        <v>949</v>
      </c>
      <c r="M12" s="515" t="s">
        <v>1522</v>
      </c>
      <c r="N12" s="515"/>
    </row>
    <row r="13" spans="1:23" ht="20.25" hidden="1" customHeight="1">
      <c r="A13" s="516">
        <v>2016</v>
      </c>
      <c r="B13" s="517"/>
      <c r="C13" s="518"/>
      <c r="D13" s="519"/>
      <c r="E13" s="520"/>
      <c r="F13" s="520"/>
      <c r="G13" s="520"/>
      <c r="H13" s="520"/>
      <c r="I13" s="520"/>
      <c r="J13" s="520"/>
      <c r="K13" s="520"/>
      <c r="L13" s="520"/>
      <c r="M13" s="520"/>
      <c r="N13" s="520"/>
    </row>
    <row r="14" spans="1:23" ht="16.05" hidden="1" customHeight="1">
      <c r="A14" s="521">
        <v>2017</v>
      </c>
      <c r="B14" s="522"/>
      <c r="C14" s="520"/>
      <c r="D14" s="520"/>
      <c r="E14" s="520"/>
      <c r="F14" s="520"/>
      <c r="G14" s="520"/>
      <c r="H14" s="520"/>
      <c r="I14" s="520"/>
      <c r="J14" s="520"/>
      <c r="K14" s="520"/>
      <c r="L14" s="520"/>
      <c r="M14" s="520"/>
      <c r="N14" s="520"/>
    </row>
    <row r="15" spans="1:23" ht="16.5" hidden="1" customHeight="1">
      <c r="A15" s="851">
        <v>2018</v>
      </c>
      <c r="B15" s="523"/>
      <c r="C15" s="716"/>
      <c r="D15" s="716"/>
      <c r="E15" s="716"/>
      <c r="F15" s="716"/>
      <c r="G15" s="716"/>
      <c r="H15" s="716"/>
      <c r="I15" s="716"/>
      <c r="J15" s="716"/>
      <c r="K15" s="716"/>
      <c r="L15" s="716"/>
      <c r="M15" s="716"/>
      <c r="N15" s="520"/>
      <c r="O15" s="980"/>
      <c r="P15" s="842"/>
      <c r="Q15" s="842"/>
      <c r="R15" s="842"/>
      <c r="S15" s="842"/>
      <c r="T15" s="842"/>
      <c r="U15" s="842"/>
      <c r="V15" s="842"/>
      <c r="W15" s="842"/>
    </row>
    <row r="16" spans="1:23" ht="16.5" hidden="1" customHeight="1">
      <c r="A16" s="851">
        <v>2019</v>
      </c>
      <c r="B16" s="523"/>
      <c r="C16" s="716"/>
      <c r="D16" s="716"/>
      <c r="E16" s="716"/>
      <c r="F16" s="716"/>
      <c r="G16" s="716"/>
      <c r="H16" s="716"/>
      <c r="I16" s="716"/>
      <c r="J16" s="716"/>
      <c r="K16" s="716"/>
      <c r="L16" s="716"/>
      <c r="M16" s="716"/>
      <c r="N16" s="520"/>
      <c r="O16" s="980"/>
      <c r="P16" s="842"/>
      <c r="Q16" s="842"/>
      <c r="R16" s="842"/>
      <c r="S16" s="842"/>
      <c r="T16" s="842"/>
      <c r="U16" s="842"/>
      <c r="V16" s="842"/>
      <c r="W16" s="842"/>
    </row>
    <row r="17" spans="1:23" ht="16.5" hidden="1" customHeight="1">
      <c r="A17" s="851">
        <v>2020</v>
      </c>
      <c r="B17" s="523"/>
      <c r="C17" s="716"/>
      <c r="D17" s="716"/>
      <c r="E17" s="716"/>
      <c r="F17" s="716"/>
      <c r="G17" s="716"/>
      <c r="H17" s="716"/>
      <c r="I17" s="716"/>
      <c r="J17" s="716"/>
      <c r="K17" s="716"/>
      <c r="L17" s="716"/>
      <c r="M17" s="716"/>
      <c r="N17" s="520"/>
      <c r="O17" s="980"/>
      <c r="P17" s="842"/>
      <c r="Q17" s="842"/>
      <c r="R17" s="842"/>
      <c r="S17" s="842"/>
      <c r="T17" s="842"/>
      <c r="U17" s="842"/>
      <c r="V17" s="842"/>
      <c r="W17" s="842"/>
    </row>
    <row r="18" spans="1:23" ht="20.25" customHeight="1">
      <c r="A18" s="851">
        <v>2021</v>
      </c>
      <c r="B18" s="523"/>
      <c r="C18" s="716">
        <v>31978</v>
      </c>
      <c r="D18" s="716">
        <v>11171</v>
      </c>
      <c r="E18" s="716">
        <v>6485</v>
      </c>
      <c r="F18" s="716">
        <v>3022</v>
      </c>
      <c r="G18" s="716">
        <v>105831</v>
      </c>
      <c r="H18" s="716"/>
      <c r="I18" s="716">
        <v>27275</v>
      </c>
      <c r="J18" s="716">
        <v>3642</v>
      </c>
      <c r="K18" s="716">
        <v>6274</v>
      </c>
      <c r="L18" s="716">
        <v>0</v>
      </c>
      <c r="M18" s="716">
        <v>0</v>
      </c>
      <c r="N18" s="520">
        <v>195678</v>
      </c>
      <c r="O18" s="980"/>
      <c r="P18" s="842"/>
      <c r="Q18" s="842"/>
      <c r="R18" s="842"/>
      <c r="S18" s="842"/>
      <c r="T18" s="842"/>
      <c r="U18" s="842"/>
      <c r="V18" s="842"/>
      <c r="W18" s="842"/>
    </row>
    <row r="19" spans="1:23" ht="20.25" customHeight="1">
      <c r="A19" s="851">
        <v>2022</v>
      </c>
      <c r="B19" s="523"/>
      <c r="C19" s="716">
        <v>62994</v>
      </c>
      <c r="D19" s="716">
        <v>2600</v>
      </c>
      <c r="E19" s="716">
        <v>2328</v>
      </c>
      <c r="F19" s="716">
        <v>1727</v>
      </c>
      <c r="G19" s="716">
        <v>77046</v>
      </c>
      <c r="H19" s="716"/>
      <c r="I19" s="716">
        <v>12278</v>
      </c>
      <c r="J19" s="716">
        <v>1582</v>
      </c>
      <c r="K19" s="716">
        <v>1913</v>
      </c>
      <c r="L19" s="716">
        <v>7321</v>
      </c>
      <c r="M19" s="716">
        <v>0</v>
      </c>
      <c r="N19" s="520">
        <v>169789</v>
      </c>
      <c r="O19" s="980"/>
      <c r="P19" s="842"/>
      <c r="Q19" s="842"/>
      <c r="R19" s="842"/>
      <c r="S19" s="842"/>
      <c r="T19" s="842"/>
      <c r="U19" s="842"/>
      <c r="V19" s="842"/>
      <c r="W19" s="842"/>
    </row>
    <row r="20" spans="1:23" ht="20.25" customHeight="1">
      <c r="A20" s="851">
        <v>2023</v>
      </c>
      <c r="B20" s="523"/>
      <c r="C20" s="716">
        <v>72832</v>
      </c>
      <c r="D20" s="716">
        <v>3977</v>
      </c>
      <c r="E20" s="716">
        <v>3621</v>
      </c>
      <c r="F20" s="716">
        <v>482</v>
      </c>
      <c r="G20" s="716">
        <v>97308</v>
      </c>
      <c r="H20" s="716"/>
      <c r="I20" s="716">
        <v>12823</v>
      </c>
      <c r="J20" s="716">
        <v>1674</v>
      </c>
      <c r="K20" s="716">
        <v>1913</v>
      </c>
      <c r="L20" s="716">
        <v>15609</v>
      </c>
      <c r="M20" s="716">
        <v>0</v>
      </c>
      <c r="N20" s="520">
        <v>210239</v>
      </c>
      <c r="O20" s="980"/>
      <c r="P20" s="842"/>
      <c r="Q20" s="842"/>
      <c r="R20" s="842"/>
      <c r="S20" s="842"/>
      <c r="T20" s="842"/>
      <c r="U20" s="842"/>
      <c r="V20" s="842"/>
      <c r="W20" s="842"/>
    </row>
    <row r="21" spans="1:23" ht="20.25" customHeight="1">
      <c r="A21" s="851">
        <v>2024</v>
      </c>
      <c r="B21" s="523"/>
      <c r="C21" s="716">
        <v>62089</v>
      </c>
      <c r="D21" s="716">
        <v>2296</v>
      </c>
      <c r="E21" s="716">
        <v>5149</v>
      </c>
      <c r="F21" s="716">
        <v>1057</v>
      </c>
      <c r="G21" s="716">
        <v>211400</v>
      </c>
      <c r="H21" s="716"/>
      <c r="I21" s="716">
        <v>8757</v>
      </c>
      <c r="J21" s="716">
        <v>11495</v>
      </c>
      <c r="K21" s="716">
        <v>6308</v>
      </c>
      <c r="L21" s="716">
        <v>11248</v>
      </c>
      <c r="M21" s="716">
        <v>0</v>
      </c>
      <c r="N21" s="520">
        <v>319799</v>
      </c>
      <c r="O21" s="980"/>
      <c r="P21" s="842"/>
      <c r="Q21" s="842"/>
      <c r="R21" s="842"/>
      <c r="S21" s="842"/>
      <c r="T21" s="842"/>
      <c r="U21" s="842"/>
      <c r="V21" s="842"/>
      <c r="W21" s="842"/>
    </row>
    <row r="22" spans="1:23" ht="20.25" customHeight="1">
      <c r="A22" s="981">
        <v>2025</v>
      </c>
      <c r="B22" s="757"/>
      <c r="C22" s="773">
        <f t="shared" ref="C22:M22" si="0">SUM(C25:C28)</f>
        <v>395060</v>
      </c>
      <c r="D22" s="773">
        <f t="shared" si="0"/>
        <v>2576</v>
      </c>
      <c r="E22" s="773">
        <f t="shared" si="0"/>
        <v>5220</v>
      </c>
      <c r="F22" s="773">
        <f t="shared" si="0"/>
        <v>3271</v>
      </c>
      <c r="G22" s="773">
        <f t="shared" si="0"/>
        <v>172760</v>
      </c>
      <c r="H22" s="773"/>
      <c r="I22" s="773">
        <f t="shared" si="0"/>
        <v>17426</v>
      </c>
      <c r="J22" s="773">
        <f t="shared" si="0"/>
        <v>13988</v>
      </c>
      <c r="K22" s="773">
        <f t="shared" si="0"/>
        <v>0</v>
      </c>
      <c r="L22" s="773">
        <f t="shared" si="0"/>
        <v>8774</v>
      </c>
      <c r="M22" s="773">
        <f t="shared" si="0"/>
        <v>0</v>
      </c>
      <c r="N22" s="982">
        <f t="shared" ref="N22" si="1">SUM(C22:M22)</f>
        <v>619075</v>
      </c>
      <c r="O22" s="1403"/>
      <c r="P22" s="926"/>
      <c r="Q22" s="842"/>
      <c r="R22" s="842"/>
      <c r="S22" s="842"/>
      <c r="T22" s="842"/>
      <c r="U22" s="842"/>
      <c r="V22" s="842"/>
      <c r="W22" s="842"/>
    </row>
    <row r="23" spans="1:23" ht="21" customHeight="1">
      <c r="A23" s="851">
        <v>2024</v>
      </c>
      <c r="B23" s="523" t="s">
        <v>237</v>
      </c>
      <c r="C23" s="716">
        <v>16348</v>
      </c>
      <c r="D23" s="716">
        <v>140</v>
      </c>
      <c r="E23" s="716">
        <v>3429</v>
      </c>
      <c r="F23" s="716">
        <v>94</v>
      </c>
      <c r="G23" s="716">
        <v>86401</v>
      </c>
      <c r="H23" s="716"/>
      <c r="I23" s="716">
        <v>2127</v>
      </c>
      <c r="J23" s="716">
        <v>1085</v>
      </c>
      <c r="K23" s="716">
        <v>6308</v>
      </c>
      <c r="L23" s="716">
        <v>1711</v>
      </c>
      <c r="M23" s="716">
        <v>0</v>
      </c>
      <c r="N23" s="520">
        <v>117643</v>
      </c>
      <c r="O23" s="1403"/>
      <c r="P23" s="926"/>
      <c r="Q23" s="842"/>
      <c r="R23" s="842"/>
      <c r="S23" s="842"/>
      <c r="T23" s="842"/>
      <c r="U23" s="842"/>
      <c r="V23" s="842"/>
      <c r="W23" s="842"/>
    </row>
    <row r="24" spans="1:23" ht="15" customHeight="1">
      <c r="A24" s="851"/>
      <c r="B24" s="523" t="s">
        <v>238</v>
      </c>
      <c r="C24" s="716">
        <v>12176</v>
      </c>
      <c r="D24" s="716">
        <v>900</v>
      </c>
      <c r="E24" s="716">
        <v>579</v>
      </c>
      <c r="F24" s="716">
        <v>378</v>
      </c>
      <c r="G24" s="716">
        <v>25942</v>
      </c>
      <c r="H24" s="716"/>
      <c r="I24" s="716">
        <v>1887</v>
      </c>
      <c r="J24" s="716">
        <v>430</v>
      </c>
      <c r="K24" s="716">
        <v>0</v>
      </c>
      <c r="L24" s="716">
        <v>2544</v>
      </c>
      <c r="M24" s="716">
        <v>0</v>
      </c>
      <c r="N24" s="520">
        <v>44836</v>
      </c>
      <c r="O24" s="1403"/>
      <c r="P24" s="926"/>
      <c r="Q24" s="842"/>
      <c r="R24" s="842"/>
      <c r="S24" s="842"/>
      <c r="T24" s="842"/>
      <c r="U24" s="842"/>
      <c r="V24" s="842"/>
      <c r="W24" s="842"/>
    </row>
    <row r="25" spans="1:23" ht="21" customHeight="1">
      <c r="A25" s="851">
        <v>2025</v>
      </c>
      <c r="B25" s="523" t="s">
        <v>239</v>
      </c>
      <c r="C25" s="716">
        <v>369447</v>
      </c>
      <c r="D25" s="716">
        <v>1046</v>
      </c>
      <c r="E25" s="716">
        <v>764</v>
      </c>
      <c r="F25" s="716">
        <v>265</v>
      </c>
      <c r="G25" s="716">
        <v>41509</v>
      </c>
      <c r="H25" s="716"/>
      <c r="I25" s="716">
        <v>3306</v>
      </c>
      <c r="J25" s="716">
        <v>457</v>
      </c>
      <c r="K25" s="716">
        <v>0</v>
      </c>
      <c r="L25" s="716">
        <v>1476</v>
      </c>
      <c r="M25" s="716">
        <v>0</v>
      </c>
      <c r="N25" s="520">
        <v>418270</v>
      </c>
      <c r="O25" s="1403"/>
      <c r="P25" s="926"/>
      <c r="Q25" s="842"/>
      <c r="R25" s="842"/>
      <c r="S25" s="842"/>
      <c r="T25" s="842"/>
      <c r="U25" s="842"/>
      <c r="V25" s="842"/>
      <c r="W25" s="842"/>
    </row>
    <row r="26" spans="1:23" ht="15" customHeight="1">
      <c r="A26" s="851"/>
      <c r="B26" s="523" t="s">
        <v>240</v>
      </c>
      <c r="C26" s="716">
        <v>4300</v>
      </c>
      <c r="D26" s="716">
        <v>411</v>
      </c>
      <c r="E26" s="716">
        <v>1099</v>
      </c>
      <c r="F26" s="716">
        <v>208</v>
      </c>
      <c r="G26" s="716">
        <v>24597</v>
      </c>
      <c r="H26" s="716"/>
      <c r="I26" s="716">
        <v>4396</v>
      </c>
      <c r="J26" s="716">
        <v>12758</v>
      </c>
      <c r="K26" s="716">
        <v>0</v>
      </c>
      <c r="L26" s="716">
        <v>3021</v>
      </c>
      <c r="M26" s="716">
        <v>0</v>
      </c>
      <c r="N26" s="520">
        <v>50790</v>
      </c>
      <c r="O26" s="1403"/>
      <c r="P26" s="926"/>
      <c r="Q26" s="842"/>
      <c r="R26" s="842"/>
      <c r="S26" s="842"/>
      <c r="T26" s="842"/>
      <c r="U26" s="842"/>
      <c r="V26" s="842"/>
      <c r="W26" s="842"/>
    </row>
    <row r="27" spans="1:23" ht="15" customHeight="1">
      <c r="A27" s="851"/>
      <c r="B27" s="523" t="s">
        <v>237</v>
      </c>
      <c r="C27" s="716">
        <v>6607</v>
      </c>
      <c r="D27" s="716">
        <v>456</v>
      </c>
      <c r="E27" s="716">
        <v>1885</v>
      </c>
      <c r="F27" s="716">
        <v>949</v>
      </c>
      <c r="G27" s="716">
        <v>32686</v>
      </c>
      <c r="H27" s="716"/>
      <c r="I27" s="716">
        <v>5806</v>
      </c>
      <c r="J27" s="716">
        <v>487</v>
      </c>
      <c r="K27" s="716">
        <v>0</v>
      </c>
      <c r="L27" s="716">
        <v>3224</v>
      </c>
      <c r="M27" s="716">
        <v>0</v>
      </c>
      <c r="N27" s="520">
        <v>52100</v>
      </c>
      <c r="O27" s="1403"/>
      <c r="P27" s="926"/>
      <c r="Q27" s="842"/>
      <c r="R27" s="842"/>
      <c r="S27" s="842"/>
      <c r="T27" s="842"/>
      <c r="U27" s="842"/>
      <c r="V27" s="842"/>
      <c r="W27" s="842"/>
    </row>
    <row r="28" spans="1:23" ht="15" customHeight="1">
      <c r="A28" s="851"/>
      <c r="B28" s="523" t="s">
        <v>238</v>
      </c>
      <c r="C28" s="716">
        <f t="shared" ref="C28:N28" si="2">SUM(C34:C36)</f>
        <v>14706</v>
      </c>
      <c r="D28" s="716">
        <f t="shared" si="2"/>
        <v>663</v>
      </c>
      <c r="E28" s="716">
        <f t="shared" si="2"/>
        <v>1472</v>
      </c>
      <c r="F28" s="716">
        <f t="shared" si="2"/>
        <v>1849</v>
      </c>
      <c r="G28" s="716">
        <f t="shared" si="2"/>
        <v>73968</v>
      </c>
      <c r="H28" s="716"/>
      <c r="I28" s="716">
        <f t="shared" si="2"/>
        <v>3918</v>
      </c>
      <c r="J28" s="716">
        <f t="shared" si="2"/>
        <v>286</v>
      </c>
      <c r="K28" s="716">
        <f t="shared" si="2"/>
        <v>0</v>
      </c>
      <c r="L28" s="716">
        <f t="shared" si="2"/>
        <v>1053</v>
      </c>
      <c r="M28" s="716">
        <f t="shared" si="2"/>
        <v>0</v>
      </c>
      <c r="N28" s="520">
        <f t="shared" si="2"/>
        <v>97915</v>
      </c>
      <c r="O28" s="1403"/>
      <c r="P28" s="926"/>
      <c r="Q28" s="842"/>
      <c r="R28" s="842"/>
      <c r="S28" s="842"/>
      <c r="T28" s="842"/>
      <c r="U28" s="842"/>
      <c r="V28" s="842"/>
      <c r="W28" s="842"/>
    </row>
    <row r="29" spans="1:23" ht="21" customHeight="1">
      <c r="A29" s="851">
        <v>2026</v>
      </c>
      <c r="B29" s="523" t="s">
        <v>239</v>
      </c>
      <c r="C29" s="716">
        <f t="shared" ref="C29:H29" si="3">SUM(C37:C39)</f>
        <v>21851.506840000002</v>
      </c>
      <c r="D29" s="716">
        <f t="shared" si="3"/>
        <v>724.53355499999998</v>
      </c>
      <c r="E29" s="716">
        <f t="shared" si="3"/>
        <v>1088.286443</v>
      </c>
      <c r="F29" s="716">
        <f t="shared" si="3"/>
        <v>749.68751900000007</v>
      </c>
      <c r="G29" s="716">
        <f t="shared" si="3"/>
        <v>19870.431653</v>
      </c>
      <c r="H29" s="716">
        <f t="shared" si="3"/>
        <v>108.71669199999999</v>
      </c>
      <c r="I29" s="716">
        <f>SUM(I37:I39)</f>
        <v>3395.3777989999999</v>
      </c>
      <c r="J29" s="716">
        <f t="shared" ref="J29:N29" si="4">SUM(J37:J39)</f>
        <v>503.01567</v>
      </c>
      <c r="K29" s="716">
        <f t="shared" si="4"/>
        <v>0</v>
      </c>
      <c r="L29" s="716">
        <f t="shared" si="4"/>
        <v>835.82033100000001</v>
      </c>
      <c r="M29" s="716">
        <f t="shared" si="4"/>
        <v>0</v>
      </c>
      <c r="N29" s="520">
        <f t="shared" si="4"/>
        <v>49127.376501999999</v>
      </c>
      <c r="O29" s="1403"/>
      <c r="P29" s="926"/>
      <c r="Q29" s="842"/>
      <c r="R29" s="842"/>
      <c r="S29" s="842"/>
      <c r="T29" s="842"/>
      <c r="U29" s="842"/>
      <c r="V29" s="842"/>
      <c r="W29" s="842"/>
    </row>
    <row r="30" spans="1:23" ht="15" customHeight="1">
      <c r="A30" s="981"/>
      <c r="B30" s="757" t="s">
        <v>240</v>
      </c>
      <c r="C30" s="773">
        <f t="shared" ref="C30:N30" si="5">SUM(C40:C42)</f>
        <v>10939.467719</v>
      </c>
      <c r="D30" s="773">
        <f t="shared" si="5"/>
        <v>605.77918499999998</v>
      </c>
      <c r="E30" s="773">
        <f t="shared" si="5"/>
        <v>546.76998800000001</v>
      </c>
      <c r="F30" s="773">
        <f t="shared" si="5"/>
        <v>294.26129900000001</v>
      </c>
      <c r="G30" s="773">
        <f t="shared" si="5"/>
        <v>36766.267629000002</v>
      </c>
      <c r="H30" s="773">
        <f t="shared" si="5"/>
        <v>50.563499999999998</v>
      </c>
      <c r="I30" s="773">
        <f t="shared" si="5"/>
        <v>3430.937887</v>
      </c>
      <c r="J30" s="773">
        <f t="shared" si="5"/>
        <v>1698.459302</v>
      </c>
      <c r="K30" s="773">
        <f t="shared" si="5"/>
        <v>0</v>
      </c>
      <c r="L30" s="773">
        <f t="shared" si="5"/>
        <v>2773.8314099999998</v>
      </c>
      <c r="M30" s="773">
        <f t="shared" si="5"/>
        <v>0</v>
      </c>
      <c r="N30" s="982">
        <f t="shared" si="5"/>
        <v>57106.337918999998</v>
      </c>
      <c r="O30" s="1403"/>
      <c r="P30" s="926"/>
      <c r="Q30" s="842"/>
      <c r="R30" s="842"/>
      <c r="S30" s="842"/>
      <c r="T30" s="842"/>
      <c r="U30" s="842"/>
      <c r="V30" s="842"/>
      <c r="W30" s="842"/>
    </row>
    <row r="31" spans="1:23" s="842" customFormat="1" ht="21" customHeight="1">
      <c r="A31" s="851">
        <v>2025</v>
      </c>
      <c r="B31" s="852" t="s">
        <v>420</v>
      </c>
      <c r="C31" s="716">
        <v>1635</v>
      </c>
      <c r="D31" s="716">
        <v>132</v>
      </c>
      <c r="E31" s="716">
        <v>553</v>
      </c>
      <c r="F31" s="716">
        <v>134</v>
      </c>
      <c r="G31" s="520">
        <v>21804</v>
      </c>
      <c r="H31" s="520"/>
      <c r="I31" s="716">
        <v>2152</v>
      </c>
      <c r="J31" s="716">
        <v>198</v>
      </c>
      <c r="K31" s="716">
        <v>0</v>
      </c>
      <c r="L31" s="716">
        <v>2243</v>
      </c>
      <c r="M31" s="716">
        <v>0</v>
      </c>
      <c r="N31" s="716">
        <f t="shared" ref="N31" si="6">SUM(C31:M31)</f>
        <v>28851</v>
      </c>
      <c r="O31" s="926"/>
      <c r="P31" s="926"/>
    </row>
    <row r="32" spans="1:23" s="842" customFormat="1" ht="17.25" customHeight="1">
      <c r="A32" s="851"/>
      <c r="B32" s="852" t="s">
        <v>421</v>
      </c>
      <c r="C32" s="716">
        <v>2267</v>
      </c>
      <c r="D32" s="716">
        <v>144</v>
      </c>
      <c r="E32" s="716">
        <v>48</v>
      </c>
      <c r="F32" s="716">
        <v>124</v>
      </c>
      <c r="G32" s="520">
        <v>3996</v>
      </c>
      <c r="H32" s="520"/>
      <c r="I32" s="716">
        <v>1796</v>
      </c>
      <c r="J32" s="716">
        <v>78</v>
      </c>
      <c r="K32" s="716">
        <v>0</v>
      </c>
      <c r="L32" s="716">
        <v>250</v>
      </c>
      <c r="M32" s="716">
        <v>0</v>
      </c>
      <c r="N32" s="716">
        <f t="shared" ref="N32" si="7">SUM(C32:M32)</f>
        <v>8703</v>
      </c>
      <c r="O32" s="926"/>
      <c r="P32" s="926"/>
    </row>
    <row r="33" spans="1:16" s="842" customFormat="1" ht="17.25" customHeight="1">
      <c r="A33" s="851"/>
      <c r="B33" s="852" t="s">
        <v>422</v>
      </c>
      <c r="C33" s="716">
        <v>2705</v>
      </c>
      <c r="D33" s="716">
        <v>180</v>
      </c>
      <c r="E33" s="716">
        <v>1284</v>
      </c>
      <c r="F33" s="716">
        <v>691</v>
      </c>
      <c r="G33" s="520">
        <v>6886</v>
      </c>
      <c r="H33" s="520"/>
      <c r="I33" s="716">
        <v>1858</v>
      </c>
      <c r="J33" s="716">
        <v>211</v>
      </c>
      <c r="K33" s="716">
        <v>0</v>
      </c>
      <c r="L33" s="716">
        <v>731</v>
      </c>
      <c r="M33" s="716">
        <v>0</v>
      </c>
      <c r="N33" s="716">
        <f t="shared" ref="N33" si="8">SUM(C33:M33)</f>
        <v>14546</v>
      </c>
      <c r="O33" s="926"/>
      <c r="P33" s="926"/>
    </row>
    <row r="34" spans="1:16" s="842" customFormat="1" ht="17.25" customHeight="1">
      <c r="A34" s="851"/>
      <c r="B34" s="852" t="s">
        <v>411</v>
      </c>
      <c r="C34" s="716">
        <v>5135</v>
      </c>
      <c r="D34" s="716">
        <v>206</v>
      </c>
      <c r="E34" s="716">
        <v>155</v>
      </c>
      <c r="F34" s="716">
        <v>639</v>
      </c>
      <c r="G34" s="716">
        <v>27947</v>
      </c>
      <c r="H34" s="716"/>
      <c r="I34" s="716">
        <v>1817</v>
      </c>
      <c r="J34" s="716">
        <v>79</v>
      </c>
      <c r="K34" s="716">
        <v>0</v>
      </c>
      <c r="L34" s="716">
        <v>138</v>
      </c>
      <c r="M34" s="716">
        <v>0</v>
      </c>
      <c r="N34" s="716">
        <f t="shared" ref="N34" si="9">SUM(C34:M34)</f>
        <v>36116</v>
      </c>
      <c r="O34" s="926"/>
      <c r="P34" s="926"/>
    </row>
    <row r="35" spans="1:16" s="842" customFormat="1" ht="17.25" customHeight="1">
      <c r="A35" s="851"/>
      <c r="B35" s="852" t="s">
        <v>412</v>
      </c>
      <c r="C35" s="716">
        <v>4585</v>
      </c>
      <c r="D35" s="716">
        <v>306</v>
      </c>
      <c r="E35" s="716">
        <v>124</v>
      </c>
      <c r="F35" s="716">
        <v>832</v>
      </c>
      <c r="G35" s="716">
        <v>25076</v>
      </c>
      <c r="H35" s="716"/>
      <c r="I35" s="716">
        <v>1330</v>
      </c>
      <c r="J35" s="716">
        <v>135</v>
      </c>
      <c r="K35" s="716">
        <v>0</v>
      </c>
      <c r="L35" s="716">
        <v>382</v>
      </c>
      <c r="M35" s="716">
        <v>0</v>
      </c>
      <c r="N35" s="716">
        <f t="shared" ref="N35" si="10">SUM(C35:M35)</f>
        <v>32770</v>
      </c>
      <c r="O35" s="926"/>
      <c r="P35" s="926"/>
    </row>
    <row r="36" spans="1:16" s="842" customFormat="1" ht="17.25" customHeight="1">
      <c r="A36" s="851"/>
      <c r="B36" s="852" t="s">
        <v>413</v>
      </c>
      <c r="C36" s="716">
        <v>4986</v>
      </c>
      <c r="D36" s="716">
        <v>151</v>
      </c>
      <c r="E36" s="716">
        <v>1193</v>
      </c>
      <c r="F36" s="716">
        <v>378</v>
      </c>
      <c r="G36" s="716">
        <v>20945</v>
      </c>
      <c r="H36" s="716"/>
      <c r="I36" s="716">
        <v>771</v>
      </c>
      <c r="J36" s="716">
        <v>72</v>
      </c>
      <c r="K36" s="716">
        <v>0</v>
      </c>
      <c r="L36" s="716">
        <v>533</v>
      </c>
      <c r="M36" s="716">
        <v>0</v>
      </c>
      <c r="N36" s="716">
        <f t="shared" ref="N36:N37" si="11">SUM(C36:M36)</f>
        <v>29029</v>
      </c>
      <c r="O36" s="926"/>
      <c r="P36" s="926"/>
    </row>
    <row r="37" spans="1:16" s="842" customFormat="1" ht="21" customHeight="1">
      <c r="A37" s="851">
        <v>2026</v>
      </c>
      <c r="B37" s="852" t="s">
        <v>414</v>
      </c>
      <c r="C37" s="716">
        <v>12655</v>
      </c>
      <c r="D37" s="716">
        <v>181</v>
      </c>
      <c r="E37" s="716">
        <v>194</v>
      </c>
      <c r="F37" s="716">
        <v>95</v>
      </c>
      <c r="G37" s="716">
        <v>8826</v>
      </c>
      <c r="H37" s="716"/>
      <c r="I37" s="716">
        <v>1049</v>
      </c>
      <c r="J37" s="716">
        <v>128</v>
      </c>
      <c r="K37" s="716">
        <v>0</v>
      </c>
      <c r="L37" s="716">
        <v>614</v>
      </c>
      <c r="M37" s="716">
        <v>0</v>
      </c>
      <c r="N37" s="716">
        <f t="shared" si="11"/>
        <v>23742</v>
      </c>
      <c r="O37" s="926"/>
      <c r="P37" s="926"/>
    </row>
    <row r="38" spans="1:16" s="842" customFormat="1" ht="17.25" customHeight="1">
      <c r="A38" s="851"/>
      <c r="B38" s="852" t="s">
        <v>415</v>
      </c>
      <c r="C38" s="716">
        <v>7086.50684</v>
      </c>
      <c r="D38" s="716">
        <v>155.53355500000001</v>
      </c>
      <c r="E38" s="716">
        <v>653.28644300000008</v>
      </c>
      <c r="F38" s="716">
        <v>632.68751900000007</v>
      </c>
      <c r="G38" s="716">
        <v>8325.4316529999996</v>
      </c>
      <c r="H38" s="716">
        <v>75.716691999999995</v>
      </c>
      <c r="I38" s="716">
        <v>1189.3777989999999</v>
      </c>
      <c r="J38" s="716">
        <v>257.01567</v>
      </c>
      <c r="K38" s="716">
        <v>0</v>
      </c>
      <c r="L38" s="716">
        <v>81.82033100000001</v>
      </c>
      <c r="M38" s="716">
        <v>0</v>
      </c>
      <c r="N38" s="716">
        <f t="shared" ref="N38" si="12">SUM(C38:M38)</f>
        <v>18457.376502000003</v>
      </c>
      <c r="O38" s="926"/>
      <c r="P38" s="926"/>
    </row>
    <row r="39" spans="1:16" s="842" customFormat="1" ht="17.25" customHeight="1">
      <c r="A39" s="851"/>
      <c r="B39" s="852" t="s">
        <v>416</v>
      </c>
      <c r="C39" s="716">
        <v>2110</v>
      </c>
      <c r="D39" s="716">
        <v>388</v>
      </c>
      <c r="E39" s="716">
        <v>241</v>
      </c>
      <c r="F39" s="716">
        <v>22</v>
      </c>
      <c r="G39" s="716">
        <v>2719</v>
      </c>
      <c r="H39" s="716">
        <v>33</v>
      </c>
      <c r="I39" s="716">
        <v>1157</v>
      </c>
      <c r="J39" s="716">
        <v>118</v>
      </c>
      <c r="K39" s="716">
        <v>0</v>
      </c>
      <c r="L39" s="716">
        <v>140</v>
      </c>
      <c r="M39" s="716">
        <v>0</v>
      </c>
      <c r="N39" s="716">
        <f t="shared" ref="N39:N40" si="13">SUM(C39:M39)</f>
        <v>6928</v>
      </c>
      <c r="O39" s="926"/>
      <c r="P39" s="926"/>
    </row>
    <row r="40" spans="1:16" s="842" customFormat="1" ht="17.25" customHeight="1">
      <c r="A40" s="851"/>
      <c r="B40" s="852" t="s">
        <v>417</v>
      </c>
      <c r="C40" s="520">
        <v>1907</v>
      </c>
      <c r="D40" s="520">
        <v>241</v>
      </c>
      <c r="E40" s="716">
        <v>104</v>
      </c>
      <c r="F40" s="520">
        <v>197</v>
      </c>
      <c r="G40" s="1215">
        <v>11684</v>
      </c>
      <c r="H40" s="716">
        <v>27</v>
      </c>
      <c r="I40" s="520">
        <v>1245</v>
      </c>
      <c r="J40" s="520">
        <v>1384</v>
      </c>
      <c r="K40" s="520">
        <v>0</v>
      </c>
      <c r="L40" s="520">
        <v>1609</v>
      </c>
      <c r="M40" s="520">
        <v>0</v>
      </c>
      <c r="N40" s="716">
        <f t="shared" si="13"/>
        <v>18398</v>
      </c>
      <c r="O40" s="926"/>
      <c r="P40" s="926"/>
    </row>
    <row r="41" spans="1:16" s="842" customFormat="1" ht="17.25" customHeight="1">
      <c r="A41" s="851"/>
      <c r="B41" s="852" t="s">
        <v>418</v>
      </c>
      <c r="C41" s="520">
        <v>3801.4677190000002</v>
      </c>
      <c r="D41" s="520">
        <v>256.77918499999998</v>
      </c>
      <c r="E41" s="716">
        <v>126.76998800000001</v>
      </c>
      <c r="F41" s="520">
        <v>34.261299000000001</v>
      </c>
      <c r="G41" s="1215">
        <v>13437.267629000002</v>
      </c>
      <c r="H41" s="716">
        <v>6.5635000000000003</v>
      </c>
      <c r="I41" s="520">
        <v>595.93788699999993</v>
      </c>
      <c r="J41" s="520">
        <v>163.45930200000004</v>
      </c>
      <c r="K41" s="520">
        <v>0</v>
      </c>
      <c r="L41" s="520">
        <v>229.83141000000001</v>
      </c>
      <c r="M41" s="520">
        <v>0</v>
      </c>
      <c r="N41" s="716">
        <f t="shared" ref="N41" si="14">SUM(C41:M41)</f>
        <v>18652.337918999998</v>
      </c>
      <c r="O41" s="926"/>
      <c r="P41" s="926"/>
    </row>
    <row r="42" spans="1:16" s="842" customFormat="1" ht="17.25" customHeight="1">
      <c r="A42" s="851"/>
      <c r="B42" s="852" t="s">
        <v>419</v>
      </c>
      <c r="C42" s="520">
        <v>5231</v>
      </c>
      <c r="D42" s="520">
        <v>108</v>
      </c>
      <c r="E42" s="716">
        <v>316</v>
      </c>
      <c r="F42" s="520">
        <v>63</v>
      </c>
      <c r="G42" s="1215">
        <v>11645</v>
      </c>
      <c r="H42" s="716">
        <v>17</v>
      </c>
      <c r="I42" s="520">
        <v>1590</v>
      </c>
      <c r="J42" s="520">
        <v>151</v>
      </c>
      <c r="K42" s="520">
        <v>0</v>
      </c>
      <c r="L42" s="520">
        <v>935</v>
      </c>
      <c r="M42" s="520">
        <v>0</v>
      </c>
      <c r="N42" s="716">
        <f t="shared" ref="N42" si="15">SUM(C42:M42)</f>
        <v>20056</v>
      </c>
      <c r="O42" s="926"/>
      <c r="P42" s="926"/>
    </row>
    <row r="43" spans="1:16" s="842" customFormat="1" ht="17.25" customHeight="1">
      <c r="A43" s="851"/>
      <c r="B43" s="852" t="s">
        <v>420</v>
      </c>
      <c r="C43" s="520">
        <v>1244</v>
      </c>
      <c r="D43" s="520">
        <v>150</v>
      </c>
      <c r="E43" s="716">
        <v>1431</v>
      </c>
      <c r="F43" s="520">
        <v>59</v>
      </c>
      <c r="G43" s="1215">
        <v>5140</v>
      </c>
      <c r="H43" s="716">
        <v>21</v>
      </c>
      <c r="I43" s="520">
        <v>749</v>
      </c>
      <c r="J43" s="520">
        <v>75</v>
      </c>
      <c r="K43" s="520">
        <v>0</v>
      </c>
      <c r="L43" s="520">
        <v>775</v>
      </c>
      <c r="M43" s="520">
        <v>0</v>
      </c>
      <c r="N43" s="716">
        <f t="shared" ref="N43" si="16">SUM(C43:M43)</f>
        <v>9644</v>
      </c>
      <c r="O43" s="926"/>
      <c r="P43" s="926"/>
    </row>
    <row r="44" spans="1:16" ht="20.25" customHeight="1">
      <c r="A44" s="524" t="s">
        <v>1547</v>
      </c>
      <c r="B44" s="462"/>
      <c r="C44" s="462"/>
      <c r="D44" s="462"/>
      <c r="E44" s="462"/>
      <c r="F44" s="462"/>
      <c r="G44" s="462"/>
      <c r="H44" s="462"/>
      <c r="I44" s="462"/>
      <c r="J44" s="462"/>
      <c r="K44" s="462"/>
      <c r="L44" s="462"/>
      <c r="M44" s="462"/>
      <c r="N44" s="525" t="s">
        <v>1548</v>
      </c>
    </row>
    <row r="45" spans="1:16" hidden="1">
      <c r="A45" s="526" t="s">
        <v>1580</v>
      </c>
      <c r="N45" s="930" t="s">
        <v>1581</v>
      </c>
    </row>
    <row r="46" spans="1:16" hidden="1">
      <c r="A46" s="526" t="s">
        <v>1582</v>
      </c>
      <c r="N46" s="527" t="s">
        <v>1583</v>
      </c>
    </row>
    <row r="47" spans="1:16">
      <c r="A47" s="526" t="s">
        <v>1549</v>
      </c>
      <c r="N47" s="527" t="s">
        <v>1550</v>
      </c>
    </row>
    <row r="48" spans="1:16">
      <c r="A48" s="444"/>
      <c r="B48" s="444"/>
      <c r="C48" s="444"/>
      <c r="D48" s="444"/>
      <c r="E48" s="444"/>
      <c r="F48" s="444"/>
      <c r="G48" s="444"/>
      <c r="H48" s="444"/>
      <c r="I48" s="444"/>
      <c r="J48" s="444"/>
      <c r="K48" s="444"/>
      <c r="L48" s="444"/>
      <c r="M48" s="444"/>
      <c r="N48" s="444"/>
    </row>
    <row r="49" spans="1:14">
      <c r="A49" s="444" t="s">
        <v>1584</v>
      </c>
      <c r="B49" s="444"/>
      <c r="C49" s="444"/>
      <c r="D49" s="444"/>
      <c r="E49" s="444"/>
      <c r="F49" s="444"/>
      <c r="G49" s="444"/>
      <c r="H49" s="444"/>
      <c r="I49" s="444"/>
      <c r="J49" s="444"/>
      <c r="K49" s="444"/>
      <c r="L49" s="444"/>
      <c r="M49" s="444"/>
      <c r="N49" s="444"/>
    </row>
    <row r="62" spans="1:14">
      <c r="A62" s="528"/>
      <c r="B62" s="528"/>
    </row>
    <row r="63" spans="1:14">
      <c r="A63" s="528"/>
      <c r="B63" s="528"/>
    </row>
    <row r="64" spans="1:14">
      <c r="A64" s="528"/>
      <c r="B64" s="528"/>
    </row>
    <row r="65" spans="1:2">
      <c r="A65" s="528"/>
      <c r="B65" s="528"/>
    </row>
    <row r="66" spans="1:2">
      <c r="A66" s="528"/>
      <c r="B66" s="528"/>
    </row>
    <row r="67" spans="1:2">
      <c r="A67" s="528"/>
      <c r="B67" s="528"/>
    </row>
  </sheetData>
  <printOptions horizontalCentered="1" verticalCentered="1"/>
  <pageMargins left="0" right="0" top="0" bottom="0"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49"/>
  <sheetViews>
    <sheetView zoomScale="80" zoomScaleNormal="80" workbookViewId="0">
      <pane ySplit="12" topLeftCell="A35" activePane="bottomLeft" state="frozen"/>
      <selection activeCell="B2" sqref="B2"/>
      <selection pane="bottomLeft" activeCell="J38" sqref="J38"/>
    </sheetView>
  </sheetViews>
  <sheetFormatPr defaultColWidth="7.77734375" defaultRowHeight="15"/>
  <cols>
    <col min="1" max="2" width="9.21875" style="8" customWidth="1"/>
    <col min="3" max="10" width="19.77734375" style="8" customWidth="1"/>
    <col min="11" max="11" width="17.44140625" style="8" customWidth="1"/>
    <col min="12" max="16384" width="7.77734375" style="8"/>
  </cols>
  <sheetData>
    <row r="1" spans="1:14" s="873" customFormat="1" ht="17.399999999999999">
      <c r="A1" s="16" t="s">
        <v>452</v>
      </c>
      <c r="B1" s="872"/>
      <c r="C1" s="872"/>
      <c r="D1" s="872"/>
      <c r="E1" s="872"/>
      <c r="F1" s="872"/>
      <c r="G1" s="872"/>
      <c r="H1" s="872"/>
      <c r="I1" s="872"/>
      <c r="J1" s="872"/>
      <c r="K1" s="872"/>
    </row>
    <row r="2" spans="1:14" s="873" customFormat="1" ht="17.399999999999999">
      <c r="A2" s="874" t="s">
        <v>9</v>
      </c>
      <c r="B2" s="872"/>
      <c r="C2" s="872"/>
      <c r="D2" s="872"/>
      <c r="E2" s="872"/>
      <c r="F2" s="872"/>
      <c r="G2" s="872"/>
      <c r="H2" s="872"/>
      <c r="I2" s="872"/>
      <c r="J2" s="872"/>
      <c r="K2" s="872"/>
    </row>
    <row r="3" spans="1:14" s="873" customFormat="1" ht="14.25" customHeight="1">
      <c r="A3" s="16" t="s">
        <v>8</v>
      </c>
      <c r="B3" s="872"/>
      <c r="C3" s="872"/>
      <c r="D3" s="7"/>
      <c r="E3" s="7"/>
      <c r="F3" s="872"/>
      <c r="G3" s="872"/>
      <c r="H3" s="872"/>
      <c r="I3" s="872"/>
      <c r="J3" s="872"/>
      <c r="K3" s="872"/>
    </row>
    <row r="4" spans="1:14" s="873" customFormat="1" ht="0.6" customHeight="1">
      <c r="A4" s="875"/>
      <c r="D4" s="5"/>
      <c r="E4" s="5"/>
    </row>
    <row r="5" spans="1:14" s="26" customFormat="1" ht="16.5" customHeight="1">
      <c r="A5" s="18" t="s">
        <v>369</v>
      </c>
      <c r="C5" s="876"/>
      <c r="D5" s="877"/>
      <c r="E5" s="877"/>
      <c r="F5" s="33"/>
      <c r="G5" s="878"/>
      <c r="H5" s="878"/>
      <c r="I5" s="878"/>
      <c r="J5" s="21"/>
      <c r="K5" s="21" t="s">
        <v>370</v>
      </c>
    </row>
    <row r="6" spans="1:14" s="39" customFormat="1" ht="17.55" customHeight="1">
      <c r="A6" s="879"/>
      <c r="B6" s="880"/>
      <c r="C6" s="881"/>
      <c r="D6" s="882" t="s">
        <v>453</v>
      </c>
      <c r="E6" s="882"/>
      <c r="F6" s="883"/>
      <c r="G6" s="884" t="s">
        <v>454</v>
      </c>
      <c r="H6" s="94"/>
      <c r="I6" s="72"/>
      <c r="J6" s="72" t="s">
        <v>9</v>
      </c>
      <c r="K6" s="72"/>
    </row>
    <row r="7" spans="1:14" s="39" customFormat="1" ht="17.55" customHeight="1">
      <c r="A7" s="24"/>
      <c r="B7" s="74"/>
      <c r="C7" s="79" t="s">
        <v>425</v>
      </c>
      <c r="D7" s="123" t="s">
        <v>455</v>
      </c>
      <c r="E7" s="123"/>
      <c r="F7" s="885" t="s">
        <v>456</v>
      </c>
      <c r="G7" s="886"/>
      <c r="H7" s="95" t="s">
        <v>9</v>
      </c>
      <c r="I7" s="79" t="s">
        <v>9</v>
      </c>
      <c r="J7" s="79" t="s">
        <v>457</v>
      </c>
      <c r="K7" s="79" t="s">
        <v>458</v>
      </c>
    </row>
    <row r="8" spans="1:14" s="39" customFormat="1" ht="17.55" customHeight="1">
      <c r="A8" s="24" t="s">
        <v>379</v>
      </c>
      <c r="B8" s="74"/>
      <c r="C8" s="79" t="s">
        <v>432</v>
      </c>
      <c r="D8" s="1230" t="s">
        <v>459</v>
      </c>
      <c r="E8" s="1231"/>
      <c r="F8" s="78" t="s">
        <v>460</v>
      </c>
      <c r="G8" s="887" t="s">
        <v>390</v>
      </c>
      <c r="H8" s="95" t="s">
        <v>461</v>
      </c>
      <c r="I8" s="95" t="s">
        <v>457</v>
      </c>
      <c r="J8" s="917" t="s">
        <v>462</v>
      </c>
      <c r="K8" s="95" t="s">
        <v>463</v>
      </c>
    </row>
    <row r="9" spans="1:14" s="39" customFormat="1" ht="17.55" customHeight="1">
      <c r="A9" s="97" t="s">
        <v>387</v>
      </c>
      <c r="B9" s="74"/>
      <c r="C9" s="64" t="s">
        <v>6</v>
      </c>
      <c r="D9" s="1232" t="s">
        <v>464</v>
      </c>
      <c r="E9" s="1233"/>
      <c r="F9" s="64" t="s">
        <v>465</v>
      </c>
      <c r="G9" s="96" t="s">
        <v>466</v>
      </c>
      <c r="H9" s="63" t="s">
        <v>467</v>
      </c>
      <c r="I9" s="64" t="s">
        <v>468</v>
      </c>
      <c r="J9" s="64" t="s">
        <v>469</v>
      </c>
      <c r="K9" s="64" t="s">
        <v>470</v>
      </c>
    </row>
    <row r="10" spans="1:14" s="34" customFormat="1" ht="17.55" customHeight="1">
      <c r="A10" s="62"/>
      <c r="B10" s="74"/>
      <c r="C10" s="63" t="s">
        <v>471</v>
      </c>
      <c r="D10" s="64" t="s">
        <v>472</v>
      </c>
      <c r="E10" s="64" t="s">
        <v>388</v>
      </c>
      <c r="F10" s="63" t="s">
        <v>473</v>
      </c>
      <c r="G10" s="64" t="s">
        <v>474</v>
      </c>
      <c r="H10" s="888"/>
      <c r="I10" s="888"/>
      <c r="J10" s="918" t="s">
        <v>475</v>
      </c>
      <c r="K10" s="888"/>
    </row>
    <row r="11" spans="1:14" s="34" customFormat="1" ht="17.55" customHeight="1">
      <c r="A11" s="62"/>
      <c r="B11" s="74"/>
      <c r="C11" s="63"/>
      <c r="D11" s="64" t="s">
        <v>147</v>
      </c>
      <c r="E11" s="64" t="s">
        <v>476</v>
      </c>
      <c r="F11" s="63"/>
      <c r="G11" s="64"/>
      <c r="H11" s="888" t="s">
        <v>247</v>
      </c>
      <c r="I11" s="888" t="s">
        <v>250</v>
      </c>
      <c r="J11" s="918" t="s">
        <v>254</v>
      </c>
      <c r="K11" s="888" t="s">
        <v>477</v>
      </c>
    </row>
    <row r="12" spans="1:14" s="34" customFormat="1" ht="17.55" customHeight="1">
      <c r="A12" s="65"/>
      <c r="B12" s="98"/>
      <c r="C12" s="889">
        <v>1</v>
      </c>
      <c r="D12" s="889">
        <v>2</v>
      </c>
      <c r="E12" s="889">
        <v>3</v>
      </c>
      <c r="F12" s="889">
        <v>4</v>
      </c>
      <c r="G12" s="889">
        <v>5</v>
      </c>
      <c r="H12" s="890" t="s">
        <v>478</v>
      </c>
      <c r="I12" s="890" t="s">
        <v>479</v>
      </c>
      <c r="J12" s="890" t="s">
        <v>480</v>
      </c>
      <c r="K12" s="890" t="s">
        <v>481</v>
      </c>
    </row>
    <row r="13" spans="1:14" s="847" customFormat="1" ht="20.25" customHeight="1">
      <c r="A13" s="891">
        <v>2016</v>
      </c>
      <c r="B13" s="892"/>
      <c r="C13" s="677">
        <f>'2'!L13</f>
        <v>535.29926641691372</v>
      </c>
      <c r="D13" s="677">
        <f>'19'!E13</f>
        <v>2112.6628274092805</v>
      </c>
      <c r="E13" s="677">
        <f>'19'!F13</f>
        <v>597.10949538165301</v>
      </c>
      <c r="F13" s="676">
        <f>'1'!M13+'19'!G13+'19'!H13+'19'!I13+'19'!J13</f>
        <v>6688.4051206581935</v>
      </c>
      <c r="G13" s="655">
        <f>'1'!L13+'19'!C13+'19'!D13</f>
        <v>2088.3101956676201</v>
      </c>
      <c r="H13" s="655">
        <f t="shared" ref="H13:H19" si="0">ROUND(C13,1)+ROUND(D13,1)</f>
        <v>2648</v>
      </c>
      <c r="I13" s="656">
        <f t="shared" ref="I13:I19" si="1">ROUND(E13,1)+ROUND(F13,1)+ROUND(H13,1)</f>
        <v>9933.5</v>
      </c>
      <c r="J13" s="669">
        <f t="shared" ref="J13:J19" si="2">G13+I13</f>
        <v>12021.81019566762</v>
      </c>
      <c r="K13" s="669">
        <f>'1'!J13+'1'!K13</f>
        <v>1757.4</v>
      </c>
      <c r="L13" s="967"/>
      <c r="M13" s="967"/>
      <c r="N13" s="967"/>
    </row>
    <row r="14" spans="1:14" s="898" customFormat="1" ht="14.25" customHeight="1">
      <c r="A14" s="893">
        <v>2017</v>
      </c>
      <c r="B14" s="894"/>
      <c r="C14" s="895">
        <f>'2'!L14</f>
        <v>526.82989131050897</v>
      </c>
      <c r="D14" s="895">
        <f>'19'!E14</f>
        <v>2109.1848787094</v>
      </c>
      <c r="E14" s="895">
        <f>'19'!F14</f>
        <v>651.58369440714034</v>
      </c>
      <c r="F14" s="896">
        <f>'1'!M14+'19'!G14+'19'!H14+'19'!I14+'19'!J14</f>
        <v>6961.0257617133302</v>
      </c>
      <c r="G14" s="897">
        <f>'1'!L14+'19'!C14+'19'!D14</f>
        <v>2272.7141215131801</v>
      </c>
      <c r="H14" s="897">
        <f t="shared" si="0"/>
        <v>2636</v>
      </c>
      <c r="I14" s="804">
        <f t="shared" si="1"/>
        <v>10248.6</v>
      </c>
      <c r="J14" s="804">
        <f t="shared" si="2"/>
        <v>12521.31412151318</v>
      </c>
      <c r="K14" s="804">
        <f>'1'!J14+'1'!K14</f>
        <v>1881.5</v>
      </c>
      <c r="L14" s="967"/>
      <c r="M14" s="967"/>
      <c r="N14" s="967"/>
    </row>
    <row r="15" spans="1:14" s="321" customFormat="1" ht="14.25" customHeight="1">
      <c r="A15" s="747">
        <v>2018</v>
      </c>
      <c r="B15" s="899"/>
      <c r="C15" s="900">
        <f>'2'!L15</f>
        <v>528.08598133328803</v>
      </c>
      <c r="D15" s="900">
        <f>'19'!E15</f>
        <v>2084.554275351491</v>
      </c>
      <c r="E15" s="900">
        <f>'19'!F15</f>
        <v>692.10404184690083</v>
      </c>
      <c r="F15" s="901">
        <f>'1'!M15+'19'!G15+'19'!H15+'19'!I15+'19'!J15</f>
        <v>7167.7693854919471</v>
      </c>
      <c r="G15" s="902">
        <f>'1'!L15+'19'!C15+'19'!D15</f>
        <v>2149.52207316268</v>
      </c>
      <c r="H15" s="902">
        <f t="shared" si="0"/>
        <v>2612.6999999999998</v>
      </c>
      <c r="I15" s="903">
        <f t="shared" si="1"/>
        <v>10472.6</v>
      </c>
      <c r="J15" s="904">
        <f t="shared" si="2"/>
        <v>12622.12207316268</v>
      </c>
      <c r="K15" s="669">
        <f>'1'!J15+'1'!K15</f>
        <v>1710.4</v>
      </c>
      <c r="L15" s="967"/>
      <c r="M15" s="967"/>
      <c r="N15" s="967"/>
    </row>
    <row r="16" spans="1:14" s="321" customFormat="1" ht="14.25" customHeight="1">
      <c r="A16" s="747">
        <v>2019</v>
      </c>
      <c r="B16" s="899"/>
      <c r="C16" s="900">
        <f>'2'!L16</f>
        <v>535.08184891560677</v>
      </c>
      <c r="D16" s="900">
        <f>'19'!E16</f>
        <v>2002.2312100160302</v>
      </c>
      <c r="E16" s="900">
        <f>'19'!F16</f>
        <v>769.75721012214944</v>
      </c>
      <c r="F16" s="901">
        <f>'1'!M16+'19'!G16+'19'!H16+'19'!I16+'19'!J16</f>
        <v>8283.2153498164516</v>
      </c>
      <c r="G16" s="902">
        <f>'1'!L16+'19'!C16+'19'!D16</f>
        <v>2081.5787659695316</v>
      </c>
      <c r="H16" s="902">
        <f t="shared" si="0"/>
        <v>2537.3000000000002</v>
      </c>
      <c r="I16" s="903">
        <f t="shared" si="1"/>
        <v>11590.3</v>
      </c>
      <c r="J16" s="904">
        <f t="shared" si="2"/>
        <v>13671.87876596953</v>
      </c>
      <c r="K16" s="669">
        <f>'1'!J16+'1'!K16</f>
        <v>2290.1999999999998</v>
      </c>
      <c r="L16" s="967"/>
      <c r="M16" s="967"/>
      <c r="N16" s="967"/>
    </row>
    <row r="17" spans="1:26" s="321" customFormat="1" ht="14.25" customHeight="1">
      <c r="A17" s="747">
        <v>2020</v>
      </c>
      <c r="B17" s="899"/>
      <c r="C17" s="900">
        <f>'2'!L17</f>
        <v>592.95959356039339</v>
      </c>
      <c r="D17" s="900">
        <f>'19'!E17</f>
        <v>2221.5303436846725</v>
      </c>
      <c r="E17" s="900">
        <f>'19'!F17</f>
        <v>864.30687706458662</v>
      </c>
      <c r="F17" s="901">
        <f>'1'!M17+'19'!G17+'19'!H17+'19'!I17+'19'!J17</f>
        <v>8746.1174392461453</v>
      </c>
      <c r="G17" s="902">
        <f>'1'!L17+'19'!C17+'19'!D17</f>
        <v>1726.3825547340555</v>
      </c>
      <c r="H17" s="902">
        <f t="shared" si="0"/>
        <v>2814.5</v>
      </c>
      <c r="I17" s="903">
        <f t="shared" si="1"/>
        <v>12424.9</v>
      </c>
      <c r="J17" s="904">
        <f t="shared" si="2"/>
        <v>14151.282554734054</v>
      </c>
      <c r="K17" s="669">
        <f>'1'!J17+'1'!K17</f>
        <v>2153.6</v>
      </c>
      <c r="L17" s="967"/>
      <c r="M17" s="967"/>
      <c r="N17" s="967"/>
    </row>
    <row r="18" spans="1:26" s="321" customFormat="1" ht="14.25" customHeight="1">
      <c r="A18" s="747">
        <v>2021</v>
      </c>
      <c r="B18" s="899"/>
      <c r="C18" s="900">
        <f>'2'!L18</f>
        <v>558.04158298132779</v>
      </c>
      <c r="D18" s="900">
        <f>'19'!E18</f>
        <v>2593.4309212471908</v>
      </c>
      <c r="E18" s="900">
        <f>'19'!F18</f>
        <v>1117.2719011458805</v>
      </c>
      <c r="F18" s="901">
        <f>'1'!M18+'19'!G18+'19'!H18+'19'!I18+'19'!J18-0.03</f>
        <v>8765.9237458968782</v>
      </c>
      <c r="G18" s="902">
        <f>'1'!L18+'19'!C18+'19'!D18+0.05</f>
        <v>1849.5742102943557</v>
      </c>
      <c r="H18" s="902">
        <f t="shared" si="0"/>
        <v>3151.4</v>
      </c>
      <c r="I18" s="903">
        <f t="shared" si="1"/>
        <v>13034.599999999999</v>
      </c>
      <c r="J18" s="904">
        <f t="shared" si="2"/>
        <v>14884.174210294354</v>
      </c>
      <c r="K18" s="669">
        <f>'1'!J18+'1'!K18</f>
        <v>3039.1</v>
      </c>
      <c r="L18" s="967"/>
      <c r="M18" s="967"/>
      <c r="N18" s="967"/>
    </row>
    <row r="19" spans="1:26" s="321" customFormat="1" ht="14.25" customHeight="1">
      <c r="A19" s="747">
        <v>2022</v>
      </c>
      <c r="B19" s="899"/>
      <c r="C19" s="900">
        <f>'2'!L19</f>
        <v>506.54644282845959</v>
      </c>
      <c r="D19" s="900">
        <f>'19'!E19</f>
        <v>2409.9319426433749</v>
      </c>
      <c r="E19" s="900">
        <f>'19'!F19</f>
        <v>684.24289660123202</v>
      </c>
      <c r="F19" s="901">
        <f>'1'!M19+'19'!G19+'19'!H19+'19'!I19+'19'!J19+0.03</f>
        <v>9727.2544086063117</v>
      </c>
      <c r="G19" s="902">
        <f>'1'!L19+'19'!C19+'19'!D19</f>
        <v>1807.4827559605842</v>
      </c>
      <c r="H19" s="902">
        <f t="shared" si="0"/>
        <v>2916.4</v>
      </c>
      <c r="I19" s="903">
        <f t="shared" si="1"/>
        <v>13327.9</v>
      </c>
      <c r="J19" s="904">
        <f t="shared" si="2"/>
        <v>15135.382755960583</v>
      </c>
      <c r="K19" s="669">
        <f>'1'!J19+'1'!K19</f>
        <v>3908.8</v>
      </c>
      <c r="L19" s="967"/>
      <c r="M19" s="967"/>
      <c r="N19" s="967"/>
    </row>
    <row r="20" spans="1:26" s="321" customFormat="1" ht="14.25" customHeight="1">
      <c r="A20" s="747">
        <v>2023</v>
      </c>
      <c r="B20" s="899"/>
      <c r="C20" s="900">
        <v>531.89309880297992</v>
      </c>
      <c r="D20" s="900">
        <v>2235.9304739516965</v>
      </c>
      <c r="E20" s="900">
        <v>645.21403364002094</v>
      </c>
      <c r="F20" s="901">
        <v>10550.961666092322</v>
      </c>
      <c r="G20" s="902">
        <v>2306.2220881020494</v>
      </c>
      <c r="H20" s="902">
        <v>2767.8</v>
      </c>
      <c r="I20" s="903">
        <v>13964</v>
      </c>
      <c r="J20" s="904">
        <v>16270.222088102049</v>
      </c>
      <c r="K20" s="669">
        <v>5136.3</v>
      </c>
      <c r="L20" s="967"/>
      <c r="M20" s="967"/>
      <c r="N20" s="967"/>
    </row>
    <row r="21" spans="1:26" s="321" customFormat="1" ht="14.25" customHeight="1">
      <c r="A21" s="747">
        <v>2024</v>
      </c>
      <c r="B21" s="899"/>
      <c r="C21" s="900">
        <v>533.99727991581972</v>
      </c>
      <c r="D21" s="900">
        <v>2273.8414924234926</v>
      </c>
      <c r="E21" s="900">
        <v>574.51409144035335</v>
      </c>
      <c r="F21" s="901">
        <v>10523.457097844701</v>
      </c>
      <c r="G21" s="902">
        <v>2314.6419381543014</v>
      </c>
      <c r="H21" s="902">
        <v>2807.8</v>
      </c>
      <c r="I21" s="903">
        <v>13905.8</v>
      </c>
      <c r="J21" s="904">
        <v>16220.441938154301</v>
      </c>
      <c r="K21" s="669">
        <v>5445.7</v>
      </c>
      <c r="L21" s="967"/>
      <c r="M21" s="967"/>
      <c r="N21" s="967"/>
    </row>
    <row r="22" spans="1:26" s="321" customFormat="1" ht="14.25" customHeight="1">
      <c r="A22" s="906">
        <v>2025</v>
      </c>
      <c r="B22" s="907"/>
      <c r="C22" s="908">
        <f>C28</f>
        <v>503.41819719991929</v>
      </c>
      <c r="D22" s="908">
        <f>D28</f>
        <v>2351.9652022122091</v>
      </c>
      <c r="E22" s="908">
        <f>E28</f>
        <v>607.20731165527411</v>
      </c>
      <c r="F22" s="909">
        <f>F28</f>
        <v>10974.6</v>
      </c>
      <c r="G22" s="910">
        <f>G28</f>
        <v>2111.3000000000002</v>
      </c>
      <c r="H22" s="910">
        <f t="shared" ref="H22" si="3">ROUND(C22,1)+ROUND(D22,1)</f>
        <v>2855.4</v>
      </c>
      <c r="I22" s="911">
        <f t="shared" ref="I22" si="4">ROUND(E22,1)+ROUND(F22,1)+ROUND(H22,1)</f>
        <v>14437.2</v>
      </c>
      <c r="J22" s="912">
        <f>J28</f>
        <v>16548.5</v>
      </c>
      <c r="K22" s="805">
        <f>K28</f>
        <v>5072.2999999999993</v>
      </c>
      <c r="L22" s="967"/>
      <c r="M22" s="967"/>
      <c r="N22" s="967"/>
    </row>
    <row r="23" spans="1:26" s="321" customFormat="1" ht="21" customHeight="1">
      <c r="A23" s="747">
        <v>2024</v>
      </c>
      <c r="B23" s="899" t="s">
        <v>237</v>
      </c>
      <c r="C23" s="900">
        <v>544.35395613812079</v>
      </c>
      <c r="D23" s="900">
        <v>2226.6150613454824</v>
      </c>
      <c r="E23" s="900">
        <v>699.93760696272386</v>
      </c>
      <c r="F23" s="901">
        <v>10769.650860387454</v>
      </c>
      <c r="G23" s="902">
        <v>2385.6400137872311</v>
      </c>
      <c r="H23" s="902">
        <v>2771</v>
      </c>
      <c r="I23" s="903">
        <v>14240.6</v>
      </c>
      <c r="J23" s="904">
        <v>16626.240013787232</v>
      </c>
      <c r="K23" s="669">
        <v>6113.8</v>
      </c>
      <c r="L23" s="967"/>
      <c r="M23" s="967"/>
      <c r="N23" s="967"/>
    </row>
    <row r="24" spans="1:26" s="321" customFormat="1" ht="15" customHeight="1">
      <c r="A24" s="747"/>
      <c r="B24" s="899" t="s">
        <v>238</v>
      </c>
      <c r="C24" s="900">
        <v>533.99727991581972</v>
      </c>
      <c r="D24" s="900">
        <v>2273.8414924234926</v>
      </c>
      <c r="E24" s="900">
        <v>574.51409144035335</v>
      </c>
      <c r="F24" s="901">
        <v>10523.457097844701</v>
      </c>
      <c r="G24" s="902">
        <v>2314.6419381543014</v>
      </c>
      <c r="H24" s="902">
        <v>2807.8</v>
      </c>
      <c r="I24" s="903">
        <v>13905.8</v>
      </c>
      <c r="J24" s="904">
        <v>16220.441938154301</v>
      </c>
      <c r="K24" s="669">
        <v>5445.7</v>
      </c>
      <c r="L24" s="967"/>
      <c r="M24" s="967"/>
      <c r="N24" s="967"/>
    </row>
    <row r="25" spans="1:26" s="321" customFormat="1" ht="21" customHeight="1">
      <c r="A25" s="747">
        <v>2025</v>
      </c>
      <c r="B25" s="899" t="s">
        <v>239</v>
      </c>
      <c r="C25" s="900">
        <v>591.8456279565213</v>
      </c>
      <c r="D25" s="900">
        <v>2357.7699401109357</v>
      </c>
      <c r="E25" s="900">
        <v>643.12044753968735</v>
      </c>
      <c r="F25" s="901">
        <v>10467.421274251357</v>
      </c>
      <c r="G25" s="902">
        <v>2459.3850299773385</v>
      </c>
      <c r="H25" s="902">
        <v>2949.6000000000004</v>
      </c>
      <c r="I25" s="903">
        <v>14060.1</v>
      </c>
      <c r="J25" s="904">
        <v>16519.485029977339</v>
      </c>
      <c r="K25" s="669">
        <v>6056.8</v>
      </c>
      <c r="L25" s="967"/>
      <c r="M25" s="967"/>
      <c r="N25" s="967"/>
    </row>
    <row r="26" spans="1:26" s="321" customFormat="1" ht="15" customHeight="1">
      <c r="A26" s="747"/>
      <c r="B26" s="899" t="s">
        <v>240</v>
      </c>
      <c r="C26" s="900">
        <v>578.68701810757284</v>
      </c>
      <c r="D26" s="900">
        <v>2338.3777050926492</v>
      </c>
      <c r="E26" s="900">
        <v>536.82612549011856</v>
      </c>
      <c r="F26" s="901">
        <v>10629.1</v>
      </c>
      <c r="G26" s="902">
        <v>2383.6000000000004</v>
      </c>
      <c r="H26" s="902">
        <v>2917.1000000000004</v>
      </c>
      <c r="I26" s="903">
        <v>14083</v>
      </c>
      <c r="J26" s="904">
        <v>16466.599999999999</v>
      </c>
      <c r="K26" s="669">
        <v>5724</v>
      </c>
      <c r="L26" s="967"/>
      <c r="M26" s="967"/>
      <c r="N26" s="967"/>
    </row>
    <row r="27" spans="1:26" s="321" customFormat="1" ht="15" customHeight="1">
      <c r="A27" s="747"/>
      <c r="B27" s="899" t="s">
        <v>237</v>
      </c>
      <c r="C27" s="900">
        <v>458.6983063702101</v>
      </c>
      <c r="D27" s="900">
        <v>2339.3025918100006</v>
      </c>
      <c r="E27" s="900">
        <v>530.71449316675614</v>
      </c>
      <c r="F27" s="901">
        <v>10708.400000000001</v>
      </c>
      <c r="G27" s="902">
        <v>2200</v>
      </c>
      <c r="H27" s="902">
        <v>2798</v>
      </c>
      <c r="I27" s="903">
        <v>14037.1</v>
      </c>
      <c r="J27" s="904">
        <v>16237.1</v>
      </c>
      <c r="K27" s="669">
        <v>5124.7</v>
      </c>
      <c r="L27" s="967"/>
      <c r="M27" s="967"/>
      <c r="N27" s="967"/>
    </row>
    <row r="28" spans="1:26" s="321" customFormat="1" ht="15" customHeight="1">
      <c r="A28" s="747"/>
      <c r="B28" s="899" t="s">
        <v>238</v>
      </c>
      <c r="C28" s="900">
        <f>C36</f>
        <v>503.41819719991929</v>
      </c>
      <c r="D28" s="900">
        <f>D36</f>
        <v>2351.9652022122091</v>
      </c>
      <c r="E28" s="900">
        <f>E36</f>
        <v>607.20731165527411</v>
      </c>
      <c r="F28" s="901">
        <f>F36</f>
        <v>10974.6</v>
      </c>
      <c r="G28" s="902">
        <f>G36</f>
        <v>2111.3000000000002</v>
      </c>
      <c r="H28" s="902">
        <f t="shared" ref="H28" si="5">ROUND(C28,1)+ROUND(D28,1)</f>
        <v>2855.4</v>
      </c>
      <c r="I28" s="903">
        <f t="shared" ref="I28" si="6">ROUND(E28,1)+ROUND(F28,1)+ROUND(H28,1)</f>
        <v>14437.2</v>
      </c>
      <c r="J28" s="904">
        <f>J36</f>
        <v>16548.5</v>
      </c>
      <c r="K28" s="669">
        <f>K36</f>
        <v>5072.2999999999993</v>
      </c>
      <c r="L28" s="967"/>
      <c r="M28" s="967"/>
      <c r="N28" s="967"/>
    </row>
    <row r="29" spans="1:26" s="321" customFormat="1" ht="21" customHeight="1">
      <c r="A29" s="747">
        <v>2026</v>
      </c>
      <c r="B29" s="899" t="s">
        <v>239</v>
      </c>
      <c r="C29" s="900">
        <f>C39</f>
        <v>561.30520133773325</v>
      </c>
      <c r="D29" s="900">
        <f>D39</f>
        <v>2541.5109079535623</v>
      </c>
      <c r="E29" s="900">
        <f>E39</f>
        <v>744.04622900062918</v>
      </c>
      <c r="F29" s="901">
        <f>F39</f>
        <v>10773.199999999999</v>
      </c>
      <c r="G29" s="902">
        <f>G39</f>
        <v>2718.9</v>
      </c>
      <c r="H29" s="902">
        <f t="shared" ref="H29" si="7">ROUND(C29,1)+ROUND(D29,1)</f>
        <v>3102.8</v>
      </c>
      <c r="I29" s="903">
        <f t="shared" ref="I29" si="8">ROUND(E29,1)+ROUND(F29,1)+ROUND(H29,1)</f>
        <v>14620</v>
      </c>
      <c r="J29" s="904">
        <f>J39</f>
        <v>17338.900000000001</v>
      </c>
      <c r="K29" s="669">
        <f>K39</f>
        <v>6162.1</v>
      </c>
      <c r="L29" s="1207"/>
      <c r="M29" s="967"/>
      <c r="N29" s="967"/>
    </row>
    <row r="30" spans="1:26" s="321" customFormat="1" ht="15" customHeight="1">
      <c r="A30" s="906"/>
      <c r="B30" s="907" t="s">
        <v>240</v>
      </c>
      <c r="C30" s="908">
        <f>C42</f>
        <v>524.443504120738</v>
      </c>
      <c r="D30" s="908">
        <f>D42</f>
        <v>2620.2354616600169</v>
      </c>
      <c r="E30" s="908">
        <f>E42</f>
        <v>756.73634149492398</v>
      </c>
      <c r="F30" s="909">
        <f>F42</f>
        <v>11482</v>
      </c>
      <c r="G30" s="910">
        <f>G42</f>
        <v>2729.7</v>
      </c>
      <c r="H30" s="910">
        <f t="shared" ref="H30" si="9">ROUND(C30,1)+ROUND(D30,1)</f>
        <v>3144.6</v>
      </c>
      <c r="I30" s="911">
        <f t="shared" ref="I30" si="10">ROUND(E30,1)+ROUND(F30,1)+ROUND(H30,1)</f>
        <v>15383.300000000001</v>
      </c>
      <c r="J30" s="912">
        <f>J42</f>
        <v>18113</v>
      </c>
      <c r="K30" s="805">
        <f>K42</f>
        <v>5412.7</v>
      </c>
      <c r="L30" s="1207"/>
      <c r="M30" s="967"/>
      <c r="N30" s="967"/>
    </row>
    <row r="31" spans="1:26" s="847" customFormat="1" ht="21" customHeight="1">
      <c r="A31" s="891">
        <v>2025</v>
      </c>
      <c r="B31" s="406" t="s">
        <v>420</v>
      </c>
      <c r="C31" s="677">
        <f>'2'!L31</f>
        <v>507.89861663293169</v>
      </c>
      <c r="D31" s="677">
        <f>'19'!E31</f>
        <v>2330.2716722721725</v>
      </c>
      <c r="E31" s="677">
        <f>'19'!F31</f>
        <v>540.44030158395435</v>
      </c>
      <c r="F31" s="676">
        <f>'1'!M31+ROUND('19'!G31,1)+ROUND('19'!H31,1)+ROUND('19'!I31,1)+ROUND('19'!J31,1)</f>
        <v>10509.199999999999</v>
      </c>
      <c r="G31" s="655">
        <f>'1'!L31+ROUND('19'!C31,1)+ROUND('19'!D31,1)</f>
        <v>2304</v>
      </c>
      <c r="H31" s="655">
        <f t="shared" ref="H31" si="11">ROUND(C31,1)+ROUND(D31,1)</f>
        <v>2838.2000000000003</v>
      </c>
      <c r="I31" s="656">
        <f t="shared" ref="I31" si="12">ROUND(E31,1)+ROUND(F31,1)+ROUND(H31,1)</f>
        <v>13887.8</v>
      </c>
      <c r="J31" s="669">
        <f t="shared" ref="J31" si="13">G31+I31</f>
        <v>16191.8</v>
      </c>
      <c r="K31" s="669">
        <f>'1'!J31+'1'!K31</f>
        <v>5481.9</v>
      </c>
      <c r="L31" s="967"/>
      <c r="M31" s="967"/>
      <c r="N31" s="967"/>
      <c r="O31" s="306"/>
      <c r="P31" s="306"/>
      <c r="Q31" s="306"/>
      <c r="R31" s="306"/>
      <c r="S31" s="306"/>
      <c r="T31" s="306"/>
      <c r="U31" s="306"/>
      <c r="V31" s="306"/>
      <c r="W31" s="306"/>
      <c r="X31" s="306"/>
      <c r="Y31" s="306"/>
      <c r="Z31" s="306"/>
    </row>
    <row r="32" spans="1:26" s="847" customFormat="1" ht="15" customHeight="1">
      <c r="A32" s="891"/>
      <c r="B32" s="406" t="s">
        <v>421</v>
      </c>
      <c r="C32" s="677">
        <f>'2'!L32</f>
        <v>508.12869123378641</v>
      </c>
      <c r="D32" s="677">
        <f>'19'!E32</f>
        <v>2395.35266829489</v>
      </c>
      <c r="E32" s="677">
        <f>'19'!F32</f>
        <v>552.94673867724248</v>
      </c>
      <c r="F32" s="676">
        <f>'1'!M32+ROUND('19'!G32,1)+ROUND('19'!H32,1)+ROUND('19'!I32,1)+ROUND('19'!J32,1)</f>
        <v>10571.699999999999</v>
      </c>
      <c r="G32" s="655">
        <f>'1'!L32+ROUND('19'!C32,1)+ROUND('19'!D32,1)</f>
        <v>2311.9</v>
      </c>
      <c r="H32" s="655">
        <f t="shared" ref="H32" si="14">ROUND(C32,1)+ROUND(D32,1)</f>
        <v>2903.5</v>
      </c>
      <c r="I32" s="656">
        <f t="shared" ref="I32" si="15">ROUND(E32,1)+ROUND(F32,1)+ROUND(H32,1)</f>
        <v>14028.1</v>
      </c>
      <c r="J32" s="669">
        <f t="shared" ref="J32" si="16">G32+I32</f>
        <v>16340</v>
      </c>
      <c r="K32" s="669">
        <f>'1'!J32+'1'!K32</f>
        <v>5229.2</v>
      </c>
      <c r="L32" s="967"/>
      <c r="M32" s="967"/>
      <c r="N32" s="967"/>
      <c r="O32" s="306"/>
      <c r="P32" s="306"/>
      <c r="Q32" s="306"/>
      <c r="R32" s="306"/>
      <c r="S32" s="306"/>
      <c r="T32" s="306"/>
      <c r="U32" s="306"/>
      <c r="V32" s="306"/>
      <c r="W32" s="306"/>
      <c r="X32" s="306"/>
      <c r="Y32" s="306"/>
      <c r="Z32" s="306"/>
    </row>
    <row r="33" spans="1:26" s="847" customFormat="1" ht="15" customHeight="1">
      <c r="A33" s="891"/>
      <c r="B33" s="406" t="s">
        <v>422</v>
      </c>
      <c r="C33" s="677">
        <f>'2'!L33</f>
        <v>458.6983063702101</v>
      </c>
      <c r="D33" s="677">
        <f>'19'!E33</f>
        <v>2339.3025918100006</v>
      </c>
      <c r="E33" s="677">
        <f>'19'!F33</f>
        <v>530.71449316675614</v>
      </c>
      <c r="F33" s="676">
        <f>'1'!M33+ROUND('19'!G33,1)+ROUND('19'!H33,1)+ROUND('19'!I33,1)+ROUND('19'!J33,1)</f>
        <v>10708.400000000001</v>
      </c>
      <c r="G33" s="655">
        <f>'1'!L33+ROUND('19'!C33,1)+ROUND('19'!D33,1)</f>
        <v>2200</v>
      </c>
      <c r="H33" s="655">
        <f t="shared" ref="H33" si="17">ROUND(C33,1)+ROUND(D33,1)</f>
        <v>2798</v>
      </c>
      <c r="I33" s="656">
        <f t="shared" ref="I33" si="18">ROUND(E33,1)+ROUND(F33,1)+ROUND(H33,1)</f>
        <v>14037.1</v>
      </c>
      <c r="J33" s="669">
        <f t="shared" ref="J33" si="19">G33+I33</f>
        <v>16237.1</v>
      </c>
      <c r="K33" s="669">
        <f>'1'!J33+'1'!K33</f>
        <v>5124.7</v>
      </c>
      <c r="L33" s="967"/>
      <c r="M33" s="967"/>
      <c r="N33" s="967"/>
      <c r="O33" s="306"/>
      <c r="P33" s="306"/>
      <c r="Q33" s="306"/>
      <c r="R33" s="306"/>
      <c r="S33" s="306"/>
      <c r="T33" s="306"/>
      <c r="U33" s="306"/>
      <c r="V33" s="306"/>
      <c r="W33" s="306"/>
      <c r="X33" s="306"/>
      <c r="Y33" s="306"/>
      <c r="Z33" s="306"/>
    </row>
    <row r="34" spans="1:26" s="847" customFormat="1" ht="15" customHeight="1">
      <c r="A34" s="891"/>
      <c r="B34" s="406" t="s">
        <v>411</v>
      </c>
      <c r="C34" s="677">
        <f>'2'!L34</f>
        <v>496.83679083206908</v>
      </c>
      <c r="D34" s="677">
        <f>'19'!E34</f>
        <v>2346.7624123737573</v>
      </c>
      <c r="E34" s="677">
        <f>'19'!F34</f>
        <v>566.4925224225185</v>
      </c>
      <c r="F34" s="676">
        <f>'1'!M34+ROUND('19'!G34,1)+ROUND('19'!H34,1)+ROUND('19'!I34,1)+ROUND('19'!J34,1)</f>
        <v>10697.8</v>
      </c>
      <c r="G34" s="655">
        <f>'1'!L34+ROUND('19'!C34,1)+ROUND('19'!D34,1)</f>
        <v>1909.3</v>
      </c>
      <c r="H34" s="655">
        <f t="shared" ref="H34" si="20">ROUND(C34,1)+ROUND(D34,1)</f>
        <v>2843.6000000000004</v>
      </c>
      <c r="I34" s="656">
        <f t="shared" ref="I34" si="21">ROUND(E34,1)+ROUND(F34,1)+ROUND(H34,1)</f>
        <v>14107.9</v>
      </c>
      <c r="J34" s="669">
        <f t="shared" ref="J34" si="22">G34+I34</f>
        <v>16017.199999999999</v>
      </c>
      <c r="K34" s="669">
        <f>'1'!J34+'1'!K34</f>
        <v>5046.2</v>
      </c>
      <c r="L34" s="967"/>
      <c r="M34" s="967"/>
      <c r="N34" s="967"/>
      <c r="O34" s="306"/>
      <c r="P34" s="306"/>
      <c r="Q34" s="306"/>
      <c r="R34" s="306"/>
      <c r="S34" s="306"/>
      <c r="T34" s="306"/>
      <c r="U34" s="306"/>
      <c r="V34" s="306"/>
      <c r="W34" s="306"/>
      <c r="X34" s="306"/>
      <c r="Y34" s="306"/>
      <c r="Z34" s="306"/>
    </row>
    <row r="35" spans="1:26" s="847" customFormat="1" ht="15" customHeight="1">
      <c r="A35" s="891"/>
      <c r="B35" s="406" t="s">
        <v>412</v>
      </c>
      <c r="C35" s="677">
        <f>'2'!L35</f>
        <v>504.70260576426114</v>
      </c>
      <c r="D35" s="677">
        <f>'19'!E35</f>
        <v>2393.1064473717875</v>
      </c>
      <c r="E35" s="677">
        <f>'19'!F35</f>
        <v>597.06161123792799</v>
      </c>
      <c r="F35" s="676">
        <f>'1'!M35+ROUND('19'!G35,1)+ROUND('19'!H35,1)+ROUND('19'!I35,1)+ROUND('19'!J35,1)</f>
        <v>10782.099999999999</v>
      </c>
      <c r="G35" s="655">
        <f>'1'!L35+ROUND('19'!C35,1)+ROUND('19'!D35,1)</f>
        <v>1942.3</v>
      </c>
      <c r="H35" s="655">
        <f t="shared" ref="H35" si="23">ROUND(C35,1)+ROUND(D35,1)</f>
        <v>2897.7999999999997</v>
      </c>
      <c r="I35" s="656">
        <f t="shared" ref="I35" si="24">ROUND(E35,1)+ROUND(F35,1)+ROUND(H35,1)</f>
        <v>14277</v>
      </c>
      <c r="J35" s="669">
        <f t="shared" ref="J35" si="25">G35+I35</f>
        <v>16219.3</v>
      </c>
      <c r="K35" s="669">
        <f>'1'!J35+'1'!K35</f>
        <v>5122.2</v>
      </c>
      <c r="L35" s="967"/>
      <c r="M35" s="967"/>
      <c r="N35" s="967"/>
      <c r="O35" s="306"/>
      <c r="P35" s="306"/>
      <c r="Q35" s="306"/>
      <c r="R35" s="306"/>
      <c r="S35" s="306"/>
      <c r="T35" s="306"/>
      <c r="U35" s="306"/>
      <c r="V35" s="306"/>
      <c r="W35" s="306"/>
      <c r="X35" s="306"/>
      <c r="Y35" s="306"/>
      <c r="Z35" s="306"/>
    </row>
    <row r="36" spans="1:26" s="847" customFormat="1" ht="15" customHeight="1">
      <c r="A36" s="891"/>
      <c r="B36" s="406" t="s">
        <v>413</v>
      </c>
      <c r="C36" s="677">
        <f>'2'!L36</f>
        <v>503.41819719991929</v>
      </c>
      <c r="D36" s="677">
        <f>'19'!E36</f>
        <v>2351.9652022122091</v>
      </c>
      <c r="E36" s="677">
        <f>'19'!F36</f>
        <v>607.20731165527411</v>
      </c>
      <c r="F36" s="676">
        <f>'1'!M36+ROUND('19'!G36,1)+ROUND('19'!H36,1)+ROUND('19'!I36,1)+ROUND('19'!J36,1)</f>
        <v>10974.6</v>
      </c>
      <c r="G36" s="655">
        <f>'1'!L36+ROUND('19'!C36,1)+ROUND('19'!D36,1)</f>
        <v>2111.3000000000002</v>
      </c>
      <c r="H36" s="655">
        <f t="shared" ref="H36" si="26">ROUND(C36,1)+ROUND(D36,1)</f>
        <v>2855.4</v>
      </c>
      <c r="I36" s="656">
        <f t="shared" ref="I36" si="27">ROUND(E36,1)+ROUND(F36,1)+ROUND(H36,1)</f>
        <v>14437.2</v>
      </c>
      <c r="J36" s="669">
        <f t="shared" ref="J36" si="28">G36+I36</f>
        <v>16548.5</v>
      </c>
      <c r="K36" s="669">
        <f>'1'!J36+'1'!K36</f>
        <v>5072.2999999999993</v>
      </c>
      <c r="L36" s="967"/>
      <c r="M36" s="967"/>
      <c r="N36" s="967"/>
      <c r="O36" s="306"/>
      <c r="P36" s="306"/>
      <c r="Q36" s="306"/>
      <c r="R36" s="306"/>
      <c r="S36" s="306"/>
      <c r="T36" s="306"/>
      <c r="U36" s="306"/>
      <c r="V36" s="306"/>
      <c r="W36" s="306"/>
      <c r="X36" s="306"/>
      <c r="Y36" s="306"/>
      <c r="Z36" s="306"/>
    </row>
    <row r="37" spans="1:26" s="847" customFormat="1" ht="21" customHeight="1">
      <c r="A37" s="891">
        <v>2026</v>
      </c>
      <c r="B37" s="406" t="s">
        <v>414</v>
      </c>
      <c r="C37" s="677">
        <f>'2'!L37</f>
        <v>531.3828529287531</v>
      </c>
      <c r="D37" s="677">
        <f>'19'!E37</f>
        <v>2415.8341489240006</v>
      </c>
      <c r="E37" s="677">
        <f>'19'!F37</f>
        <v>715.22190609843688</v>
      </c>
      <c r="F37" s="676">
        <f>'1'!M37+ROUND('19'!G37,1)+ROUND('19'!H37,1)+ROUND('19'!I37,1)+ROUND('19'!J37,1)</f>
        <v>10935.3</v>
      </c>
      <c r="G37" s="655">
        <f>'1'!L37+ROUND('19'!C37,1)+ROUND('19'!D37,1)</f>
        <v>2081.9</v>
      </c>
      <c r="H37" s="655">
        <f t="shared" ref="H37" si="29">ROUND(C37,1)+ROUND(D37,1)</f>
        <v>2947.2000000000003</v>
      </c>
      <c r="I37" s="656">
        <f t="shared" ref="I37" si="30">ROUND(E37,1)+ROUND(F37,1)+ROUND(H37,1)</f>
        <v>14597.7</v>
      </c>
      <c r="J37" s="669">
        <f t="shared" ref="J37" si="31">G37+I37</f>
        <v>16679.600000000002</v>
      </c>
      <c r="K37" s="669">
        <f>'1'!J37+'1'!K37</f>
        <v>5274.8</v>
      </c>
      <c r="L37" s="967"/>
      <c r="M37" s="967"/>
      <c r="N37" s="967"/>
      <c r="O37" s="306"/>
      <c r="P37" s="306"/>
      <c r="Q37" s="306"/>
      <c r="R37" s="306"/>
      <c r="S37" s="306"/>
      <c r="T37" s="306"/>
      <c r="U37" s="306"/>
      <c r="V37" s="306"/>
      <c r="W37" s="306"/>
      <c r="X37" s="306"/>
      <c r="Y37" s="306"/>
      <c r="Z37" s="306"/>
    </row>
    <row r="38" spans="1:26" s="847" customFormat="1" ht="15" customHeight="1">
      <c r="A38" s="891"/>
      <c r="B38" s="406" t="s">
        <v>415</v>
      </c>
      <c r="C38" s="677">
        <f>'2'!L38</f>
        <v>528.68935141502652</v>
      </c>
      <c r="D38" s="677">
        <f>'19'!E38</f>
        <v>2427.9819756402885</v>
      </c>
      <c r="E38" s="677">
        <f>'19'!F38</f>
        <v>683.95808582422171</v>
      </c>
      <c r="F38" s="676">
        <f>'1'!M38+ROUND('19'!G38,1)+ROUND('19'!H38,1)+ROUND('19'!I38,1)+ROUND('19'!J38,1)</f>
        <v>11126.1</v>
      </c>
      <c r="G38" s="655">
        <f>'1'!L38+ROUND('19'!C38,1)+ROUND('19'!D38,1)</f>
        <v>2243.5</v>
      </c>
      <c r="H38" s="655">
        <f t="shared" ref="H38" si="32">ROUND(C38,1)+ROUND(D38,1)</f>
        <v>2956.7</v>
      </c>
      <c r="I38" s="656">
        <f t="shared" ref="I38" si="33">ROUND(E38,1)+ROUND(F38,1)+ROUND(H38,1)</f>
        <v>14766.8</v>
      </c>
      <c r="J38" s="669">
        <f t="shared" ref="J38" si="34">G38+I38</f>
        <v>17010.3</v>
      </c>
      <c r="K38" s="669">
        <f>'1'!J38+'1'!K38</f>
        <v>5282.9</v>
      </c>
      <c r="L38" s="967"/>
      <c r="M38" s="967"/>
      <c r="N38" s="967"/>
      <c r="O38" s="306"/>
      <c r="P38" s="306"/>
      <c r="Q38" s="306"/>
      <c r="R38" s="306"/>
      <c r="S38" s="306"/>
      <c r="T38" s="306"/>
      <c r="U38" s="306"/>
      <c r="V38" s="306"/>
      <c r="W38" s="306"/>
      <c r="X38" s="306"/>
      <c r="Y38" s="306"/>
      <c r="Z38" s="306"/>
    </row>
    <row r="39" spans="1:26" s="847" customFormat="1" ht="15" customHeight="1">
      <c r="A39" s="891"/>
      <c r="B39" s="406" t="s">
        <v>416</v>
      </c>
      <c r="C39" s="677">
        <f>'2'!L39</f>
        <v>561.30520133773325</v>
      </c>
      <c r="D39" s="677">
        <f>'19'!E39</f>
        <v>2541.5109079535623</v>
      </c>
      <c r="E39" s="677">
        <f>'19'!F39</f>
        <v>744.04622900062918</v>
      </c>
      <c r="F39" s="676">
        <f>'1'!M39+ROUND('19'!G39,1)+ROUND('19'!H39,1)+ROUND('19'!I39,1)+ROUND('19'!J39,1)</f>
        <v>10773.199999999999</v>
      </c>
      <c r="G39" s="655">
        <f>'1'!L39+ROUND('19'!C39,1)+ROUND('19'!D39,1)</f>
        <v>2718.9</v>
      </c>
      <c r="H39" s="655">
        <f t="shared" ref="H39" si="35">ROUND(C39,1)+ROUND(D39,1)</f>
        <v>3102.8</v>
      </c>
      <c r="I39" s="656">
        <f t="shared" ref="I39" si="36">ROUND(E39,1)+ROUND(F39,1)+ROUND(H39,1)</f>
        <v>14620</v>
      </c>
      <c r="J39" s="669">
        <f t="shared" ref="J39" si="37">G39+I39</f>
        <v>17338.900000000001</v>
      </c>
      <c r="K39" s="669">
        <f>'1'!J39+'1'!K39</f>
        <v>6162.1</v>
      </c>
      <c r="L39" s="967"/>
      <c r="M39" s="967"/>
      <c r="N39" s="967"/>
      <c r="O39" s="306"/>
      <c r="P39" s="306"/>
      <c r="Q39" s="306"/>
      <c r="R39" s="306"/>
      <c r="S39" s="306"/>
      <c r="T39" s="306"/>
      <c r="U39" s="306"/>
      <c r="V39" s="306"/>
      <c r="W39" s="306"/>
      <c r="X39" s="306"/>
      <c r="Y39" s="306"/>
      <c r="Z39" s="306"/>
    </row>
    <row r="40" spans="1:26" s="847" customFormat="1" ht="15" customHeight="1">
      <c r="A40" s="891"/>
      <c r="B40" s="406" t="s">
        <v>417</v>
      </c>
      <c r="C40" s="677">
        <f>'2'!L40</f>
        <v>556.72732256600113</v>
      </c>
      <c r="D40" s="677">
        <f>'19'!E40</f>
        <v>2851.128164927773</v>
      </c>
      <c r="E40" s="677">
        <f>'19'!F40</f>
        <v>816.39303342653875</v>
      </c>
      <c r="F40" s="676">
        <f>'1'!M40+ROUND('19'!G40,1)+ROUND('19'!H40,1)+ROUND('19'!I40,1)+ROUND('19'!J40,1)</f>
        <v>11072.8</v>
      </c>
      <c r="G40" s="655">
        <f>'1'!L40+ROUND('19'!C40,1)+ROUND('19'!D40,1)</f>
        <v>2777.5</v>
      </c>
      <c r="H40" s="655">
        <f t="shared" ref="H40" si="38">ROUND(C40,1)+ROUND(D40,1)</f>
        <v>3407.8</v>
      </c>
      <c r="I40" s="656">
        <f t="shared" ref="I40" si="39">ROUND(E40,1)+ROUND(F40,1)+ROUND(H40,1)</f>
        <v>15297</v>
      </c>
      <c r="J40" s="669">
        <f t="shared" ref="J40" si="40">G40+I40</f>
        <v>18074.5</v>
      </c>
      <c r="K40" s="669">
        <f>'1'!J40+'1'!K40</f>
        <v>5786.6</v>
      </c>
      <c r="L40" s="967"/>
      <c r="M40" s="967"/>
      <c r="N40" s="967"/>
      <c r="O40" s="306"/>
      <c r="P40" s="306"/>
      <c r="Q40" s="306"/>
      <c r="R40" s="306"/>
      <c r="S40" s="306"/>
      <c r="T40" s="306"/>
      <c r="U40" s="306"/>
      <c r="V40" s="306"/>
      <c r="W40" s="306"/>
      <c r="X40" s="306"/>
      <c r="Y40" s="306"/>
      <c r="Z40" s="306"/>
    </row>
    <row r="41" spans="1:26" s="847" customFormat="1" ht="15" customHeight="1">
      <c r="A41" s="891"/>
      <c r="B41" s="406" t="s">
        <v>418</v>
      </c>
      <c r="C41" s="677">
        <f>'2'!L41</f>
        <v>444.74461560249762</v>
      </c>
      <c r="D41" s="677">
        <f>'19'!E41</f>
        <v>2841.9731544397018</v>
      </c>
      <c r="E41" s="677">
        <f>'19'!F41</f>
        <v>800.29996891405972</v>
      </c>
      <c r="F41" s="676">
        <f>'1'!M41+ROUND('19'!G41,1)+ROUND('19'!H41,1)+ROUND('19'!I41,1)+ROUND('19'!J41,1)</f>
        <v>11047.4</v>
      </c>
      <c r="G41" s="655">
        <f>'1'!L41+ROUND('19'!C41,1)+ROUND('19'!D41,1)</f>
        <v>2831.8</v>
      </c>
      <c r="H41" s="655">
        <f t="shared" ref="H41" si="41">ROUND(C41,1)+ROUND(D41,1)</f>
        <v>3286.7</v>
      </c>
      <c r="I41" s="656">
        <f t="shared" ref="I41" si="42">ROUND(E41,1)+ROUND(F41,1)+ROUND(H41,1)</f>
        <v>15134.399999999998</v>
      </c>
      <c r="J41" s="669">
        <f t="shared" ref="J41" si="43">G41+I41</f>
        <v>17966.199999999997</v>
      </c>
      <c r="K41" s="669">
        <f>'1'!J41+'1'!K41</f>
        <v>5609</v>
      </c>
      <c r="L41" s="967"/>
      <c r="M41" s="967"/>
      <c r="N41" s="967"/>
      <c r="O41" s="306"/>
      <c r="P41" s="306"/>
      <c r="Q41" s="306"/>
      <c r="R41" s="306"/>
      <c r="S41" s="306"/>
      <c r="T41" s="306"/>
      <c r="U41" s="306"/>
      <c r="V41" s="306"/>
      <c r="W41" s="306"/>
      <c r="X41" s="306"/>
      <c r="Y41" s="306"/>
      <c r="Z41" s="306"/>
    </row>
    <row r="42" spans="1:26" s="847" customFormat="1" ht="15" customHeight="1">
      <c r="A42" s="891"/>
      <c r="B42" s="406" t="s">
        <v>419</v>
      </c>
      <c r="C42" s="677">
        <f>'2'!L42</f>
        <v>524.443504120738</v>
      </c>
      <c r="D42" s="677">
        <f>'19'!E42</f>
        <v>2620.2354616600169</v>
      </c>
      <c r="E42" s="677">
        <f>'19'!F42</f>
        <v>756.73634149492398</v>
      </c>
      <c r="F42" s="676">
        <f>'1'!M42+ROUND('19'!G42,1)+ROUND('19'!H42,1)+ROUND('19'!I42,1)+ROUND('19'!J42,1)</f>
        <v>11482</v>
      </c>
      <c r="G42" s="655">
        <f>'1'!L42+ROUND('19'!C42,1)+ROUND('19'!D42,1)</f>
        <v>2729.7</v>
      </c>
      <c r="H42" s="655">
        <f t="shared" ref="H42" si="44">ROUND(C42,1)+ROUND(D42,1)</f>
        <v>3144.6</v>
      </c>
      <c r="I42" s="656">
        <f t="shared" ref="I42" si="45">ROUND(E42,1)+ROUND(F42,1)+ROUND(H42,1)</f>
        <v>15383.300000000001</v>
      </c>
      <c r="J42" s="669">
        <f t="shared" ref="J42" si="46">G42+I42</f>
        <v>18113</v>
      </c>
      <c r="K42" s="669">
        <f>'1'!J42+'1'!K42</f>
        <v>5412.7</v>
      </c>
      <c r="L42" s="967"/>
      <c r="M42" s="967"/>
      <c r="N42" s="967"/>
      <c r="O42" s="306"/>
      <c r="P42" s="306"/>
      <c r="Q42" s="306"/>
      <c r="R42" s="306"/>
      <c r="S42" s="306"/>
      <c r="T42" s="306"/>
      <c r="U42" s="306"/>
      <c r="V42" s="306"/>
      <c r="W42" s="306"/>
      <c r="X42" s="306"/>
      <c r="Y42" s="306"/>
      <c r="Z42" s="306"/>
    </row>
    <row r="43" spans="1:26" s="847" customFormat="1" ht="15" customHeight="1">
      <c r="A43" s="891"/>
      <c r="B43" s="406" t="s">
        <v>420</v>
      </c>
      <c r="C43" s="677">
        <f>'2'!L43</f>
        <v>548.5236803603168</v>
      </c>
      <c r="D43" s="677">
        <f>'19'!E43</f>
        <v>2535.3356070950986</v>
      </c>
      <c r="E43" s="677">
        <f>'19'!F43</f>
        <v>748.43026295896846</v>
      </c>
      <c r="F43" s="676">
        <f>'1'!M43+ROUND('19'!G43,1)+ROUND('19'!H43,1)+ROUND('19'!I43,1)+ROUND('19'!J43,1)</f>
        <v>11471.900000000001</v>
      </c>
      <c r="G43" s="655">
        <f>'1'!L43+ROUND('19'!C43,1)+ROUND('19'!D43,1)</f>
        <v>2603.7000000000003</v>
      </c>
      <c r="H43" s="655">
        <f t="shared" ref="H43" si="47">ROUND(C43,1)+ROUND(D43,1)</f>
        <v>3083.8</v>
      </c>
      <c r="I43" s="656">
        <f t="shared" ref="I43" si="48">ROUND(E43,1)+ROUND(F43,1)+ROUND(H43,1)</f>
        <v>15304.099999999999</v>
      </c>
      <c r="J43" s="669">
        <f t="shared" ref="J43" si="49">G43+I43</f>
        <v>17907.8</v>
      </c>
      <c r="K43" s="669">
        <f>'1'!J43+'1'!K43</f>
        <v>5244</v>
      </c>
      <c r="L43" s="967"/>
      <c r="M43" s="967"/>
      <c r="N43" s="967"/>
      <c r="O43" s="306"/>
      <c r="P43" s="306"/>
      <c r="Q43" s="306"/>
      <c r="R43" s="306"/>
      <c r="S43" s="306"/>
      <c r="T43" s="306"/>
      <c r="U43" s="306"/>
      <c r="V43" s="306"/>
      <c r="W43" s="306"/>
      <c r="X43" s="306"/>
      <c r="Y43" s="306"/>
      <c r="Z43" s="306"/>
    </row>
    <row r="44" spans="1:26" s="915" customFormat="1" ht="19.5" customHeight="1">
      <c r="A44" s="221" t="s">
        <v>482</v>
      </c>
      <c r="B44" s="221"/>
      <c r="C44" s="221"/>
      <c r="D44" s="221"/>
      <c r="E44" s="221"/>
      <c r="F44" s="221"/>
      <c r="G44" s="220"/>
      <c r="H44" s="913"/>
      <c r="I44" s="221"/>
      <c r="J44" s="914"/>
      <c r="K44" s="914" t="s">
        <v>483</v>
      </c>
    </row>
    <row r="45" spans="1:26" s="915" customFormat="1" ht="13.8" customHeight="1">
      <c r="A45" s="915" t="s">
        <v>484</v>
      </c>
      <c r="G45" s="25"/>
      <c r="J45" s="916"/>
      <c r="K45" s="916" t="s">
        <v>485</v>
      </c>
    </row>
    <row r="46" spans="1:26" s="915" customFormat="1" ht="13.8" customHeight="1">
      <c r="A46" s="915" t="s">
        <v>486</v>
      </c>
      <c r="G46" s="25"/>
      <c r="J46" s="916"/>
      <c r="K46" s="916" t="s">
        <v>487</v>
      </c>
    </row>
    <row r="47" spans="1:26">
      <c r="C47" s="581"/>
      <c r="D47" s="581"/>
      <c r="E47" s="581"/>
      <c r="F47" s="581"/>
      <c r="G47" s="581"/>
      <c r="H47" s="581"/>
      <c r="I47" s="581"/>
      <c r="J47" s="581"/>
      <c r="K47" s="581"/>
    </row>
    <row r="48" spans="1:26">
      <c r="A48" s="317" t="s">
        <v>488</v>
      </c>
      <c r="B48" s="10"/>
      <c r="C48" s="10"/>
      <c r="D48" s="10"/>
      <c r="E48" s="10"/>
      <c r="F48" s="10"/>
      <c r="G48" s="10"/>
      <c r="H48" s="10"/>
      <c r="I48" s="10"/>
      <c r="J48" s="10"/>
      <c r="K48" s="10"/>
    </row>
    <row r="49" spans="10:10">
      <c r="J49" s="581"/>
    </row>
  </sheetData>
  <mergeCells count="2">
    <mergeCell ref="D8:E8"/>
    <mergeCell ref="D9:E9"/>
  </mergeCells>
  <phoneticPr fontId="0" type="noConversion"/>
  <printOptions horizontalCentered="1" verticalCentered="1"/>
  <pageMargins left="0" right="0" top="0" bottom="0" header="0.511811023622047" footer="0.511811023622047"/>
  <pageSetup paperSize="9" scale="7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pageSetUpPr fitToPage="1"/>
  </sheetPr>
  <dimension ref="A1:O46"/>
  <sheetViews>
    <sheetView zoomScale="80" zoomScaleNormal="80" workbookViewId="0">
      <pane ySplit="12" topLeftCell="A35" activePane="bottomLeft" state="frozen"/>
      <selection activeCell="B2" sqref="B2"/>
      <selection pane="bottomLeft" activeCell="J40" sqref="J40"/>
    </sheetView>
  </sheetViews>
  <sheetFormatPr defaultColWidth="9.21875" defaultRowHeight="13.2"/>
  <cols>
    <col min="1" max="2" width="10" style="445" customWidth="1"/>
    <col min="3" max="3" width="20.77734375" style="1402" customWidth="1"/>
    <col min="4" max="10" width="20.77734375" style="445" customWidth="1"/>
    <col min="11" max="16384" width="9.21875" style="445"/>
  </cols>
  <sheetData>
    <row r="1" spans="1:15" ht="19.5" customHeight="1">
      <c r="A1" s="1399" t="s">
        <v>1732</v>
      </c>
      <c r="B1" s="807"/>
      <c r="C1" s="382"/>
      <c r="D1" s="444"/>
      <c r="E1" s="444"/>
      <c r="F1" s="444"/>
      <c r="G1" s="444"/>
      <c r="H1" s="444"/>
      <c r="I1" s="444"/>
      <c r="J1" s="444"/>
    </row>
    <row r="2" spans="1:15" ht="17.399999999999999">
      <c r="A2" s="1399" t="s">
        <v>1585</v>
      </c>
      <c r="B2" s="807"/>
      <c r="C2" s="382"/>
      <c r="D2" s="444"/>
      <c r="E2" s="444"/>
      <c r="F2" s="444"/>
      <c r="G2" s="444"/>
      <c r="H2" s="444"/>
      <c r="I2" s="444"/>
      <c r="J2" s="444"/>
    </row>
    <row r="3" spans="1:15" ht="16.8">
      <c r="A3" s="1400" t="s">
        <v>1586</v>
      </c>
      <c r="B3" s="464"/>
      <c r="C3" s="382"/>
      <c r="D3" s="444"/>
      <c r="E3" s="444"/>
      <c r="F3" s="444"/>
      <c r="G3" s="444"/>
      <c r="H3" s="444"/>
      <c r="I3" s="444"/>
      <c r="J3" s="444"/>
    </row>
    <row r="4" spans="1:15" ht="16.8" hidden="1">
      <c r="A4" s="1400"/>
      <c r="B4" s="464"/>
      <c r="C4" s="382"/>
      <c r="D4" s="444"/>
      <c r="E4" s="444"/>
      <c r="F4" s="444"/>
      <c r="G4" s="444"/>
      <c r="H4" s="444"/>
      <c r="I4" s="444"/>
      <c r="J4" s="444"/>
    </row>
    <row r="5" spans="1:15" ht="16.8" hidden="1">
      <c r="A5" s="1400"/>
      <c r="B5" s="464"/>
      <c r="C5" s="382"/>
      <c r="D5" s="444"/>
      <c r="E5" s="444"/>
      <c r="F5" s="444"/>
      <c r="G5" s="444"/>
      <c r="H5" s="444"/>
      <c r="I5" s="444"/>
      <c r="J5" s="444"/>
    </row>
    <row r="6" spans="1:15" ht="16.8" hidden="1">
      <c r="A6" s="1400"/>
      <c r="B6" s="464"/>
      <c r="C6" s="1401"/>
      <c r="D6" s="444"/>
      <c r="E6" s="444"/>
      <c r="F6" s="444"/>
      <c r="G6" s="444"/>
      <c r="H6" s="444"/>
      <c r="I6" s="444"/>
      <c r="J6" s="444"/>
    </row>
    <row r="7" spans="1:15" ht="16.8">
      <c r="A7" s="1400" t="s">
        <v>1587</v>
      </c>
      <c r="B7" s="464"/>
      <c r="C7" s="382"/>
      <c r="D7" s="444"/>
      <c r="E7" s="444"/>
      <c r="F7" s="444"/>
      <c r="G7" s="444"/>
      <c r="H7" s="444"/>
      <c r="I7" s="444"/>
      <c r="J7" s="444"/>
    </row>
    <row r="8" spans="1:15" s="448" customFormat="1" ht="14.85" customHeight="1">
      <c r="A8" s="502" t="s">
        <v>1588</v>
      </c>
      <c r="B8" s="446"/>
      <c r="J8" s="529" t="s">
        <v>1589</v>
      </c>
    </row>
    <row r="9" spans="1:15" ht="13.8">
      <c r="A9" s="504"/>
      <c r="B9" s="505"/>
      <c r="C9" s="467" t="s">
        <v>1590</v>
      </c>
      <c r="D9" s="506"/>
      <c r="E9" s="506"/>
      <c r="F9" s="467" t="s">
        <v>1556</v>
      </c>
      <c r="G9" s="467" t="s">
        <v>1556</v>
      </c>
      <c r="H9" s="931"/>
      <c r="I9" s="932"/>
      <c r="J9" s="506"/>
    </row>
    <row r="10" spans="1:15" ht="13.8">
      <c r="A10" s="509" t="s">
        <v>379</v>
      </c>
      <c r="B10" s="510"/>
      <c r="C10" s="855" t="s">
        <v>1591</v>
      </c>
      <c r="D10" s="511" t="s">
        <v>1558</v>
      </c>
      <c r="E10" s="511" t="s">
        <v>1559</v>
      </c>
      <c r="F10" s="511" t="s">
        <v>1560</v>
      </c>
      <c r="G10" s="511" t="s">
        <v>1561</v>
      </c>
      <c r="H10" s="511" t="s">
        <v>1562</v>
      </c>
      <c r="I10" s="511" t="s">
        <v>1284</v>
      </c>
      <c r="J10" s="511" t="s">
        <v>1563</v>
      </c>
    </row>
    <row r="11" spans="1:15" ht="13.8">
      <c r="A11" s="471" t="s">
        <v>387</v>
      </c>
      <c r="B11" s="510"/>
      <c r="C11" s="474" t="s">
        <v>1592</v>
      </c>
      <c r="D11" s="474" t="s">
        <v>1567</v>
      </c>
      <c r="E11" s="474" t="s">
        <v>1568</v>
      </c>
      <c r="F11" s="474" t="s">
        <v>1569</v>
      </c>
      <c r="G11" s="474" t="s">
        <v>1569</v>
      </c>
      <c r="H11" s="474" t="s">
        <v>1570</v>
      </c>
      <c r="I11" s="474" t="s">
        <v>1571</v>
      </c>
      <c r="J11" s="474" t="s">
        <v>1572</v>
      </c>
    </row>
    <row r="12" spans="1:15" ht="13.8">
      <c r="A12" s="530"/>
      <c r="B12" s="531"/>
      <c r="C12" s="515" t="s">
        <v>1530</v>
      </c>
      <c r="D12" s="514"/>
      <c r="E12" s="514"/>
      <c r="F12" s="514" t="s">
        <v>1576</v>
      </c>
      <c r="G12" s="514" t="s">
        <v>1577</v>
      </c>
      <c r="H12" s="514"/>
      <c r="I12" s="514" t="s">
        <v>1578</v>
      </c>
      <c r="J12" s="514" t="s">
        <v>1579</v>
      </c>
    </row>
    <row r="13" spans="1:15" ht="21.3" hidden="1" customHeight="1">
      <c r="A13" s="405">
        <v>2016</v>
      </c>
      <c r="B13" s="628"/>
      <c r="C13" s="488"/>
      <c r="D13" s="488"/>
      <c r="E13" s="488"/>
      <c r="F13" s="488"/>
      <c r="G13" s="488"/>
      <c r="H13" s="488"/>
      <c r="I13" s="488"/>
      <c r="J13" s="488"/>
    </row>
    <row r="14" spans="1:15" ht="16.5" hidden="1" customHeight="1">
      <c r="A14" s="405">
        <v>2017</v>
      </c>
      <c r="B14" s="628"/>
      <c r="C14" s="488"/>
      <c r="D14" s="488"/>
      <c r="E14" s="488"/>
      <c r="F14" s="488"/>
      <c r="G14" s="488"/>
      <c r="H14" s="488"/>
      <c r="I14" s="488"/>
      <c r="J14" s="488"/>
      <c r="K14" s="734"/>
    </row>
    <row r="15" spans="1:15" ht="16.5" hidden="1" customHeight="1">
      <c r="A15" s="405">
        <v>2018</v>
      </c>
      <c r="B15" s="629"/>
      <c r="C15" s="488"/>
      <c r="D15" s="488"/>
      <c r="E15" s="488"/>
      <c r="F15" s="488"/>
      <c r="G15" s="488"/>
      <c r="H15" s="488"/>
      <c r="I15" s="488"/>
      <c r="J15" s="488"/>
      <c r="K15" s="980"/>
      <c r="L15" s="842"/>
      <c r="M15" s="842"/>
      <c r="N15" s="842"/>
      <c r="O15" s="842"/>
    </row>
    <row r="16" spans="1:15" ht="16.5" hidden="1" customHeight="1">
      <c r="A16" s="405">
        <v>2019</v>
      </c>
      <c r="B16" s="629"/>
      <c r="C16" s="488"/>
      <c r="D16" s="488"/>
      <c r="E16" s="488"/>
      <c r="F16" s="488"/>
      <c r="G16" s="488"/>
      <c r="H16" s="488"/>
      <c r="I16" s="488"/>
      <c r="J16" s="488"/>
      <c r="K16" s="980"/>
      <c r="L16" s="842"/>
      <c r="M16" s="842"/>
      <c r="N16" s="842"/>
      <c r="O16" s="842"/>
    </row>
    <row r="17" spans="1:15" ht="16.5" hidden="1" customHeight="1">
      <c r="A17" s="405">
        <v>2020</v>
      </c>
      <c r="B17" s="629"/>
      <c r="C17" s="488">
        <v>0</v>
      </c>
      <c r="D17" s="488">
        <v>0</v>
      </c>
      <c r="E17" s="488">
        <v>0</v>
      </c>
      <c r="F17" s="488">
        <v>0</v>
      </c>
      <c r="G17" s="488">
        <v>0</v>
      </c>
      <c r="H17" s="488"/>
      <c r="I17" s="488">
        <v>0</v>
      </c>
      <c r="J17" s="488">
        <v>0</v>
      </c>
      <c r="K17" s="980"/>
      <c r="L17" s="842"/>
      <c r="M17" s="842"/>
      <c r="N17" s="842"/>
      <c r="O17" s="842"/>
    </row>
    <row r="18" spans="1:15" ht="20.25" customHeight="1">
      <c r="A18" s="405">
        <v>2021</v>
      </c>
      <c r="B18" s="629"/>
      <c r="C18" s="488">
        <v>1797.252</v>
      </c>
      <c r="D18" s="488">
        <v>3675.3449999999998</v>
      </c>
      <c r="E18" s="488">
        <v>3042.22</v>
      </c>
      <c r="F18" s="488">
        <v>3035.8139999999999</v>
      </c>
      <c r="G18" s="488">
        <v>3010.6410000000001</v>
      </c>
      <c r="H18" s="488">
        <v>6402.47</v>
      </c>
      <c r="I18" s="488">
        <v>2957.8629999999998</v>
      </c>
      <c r="J18" s="488">
        <v>3190.1970000000001</v>
      </c>
      <c r="K18" s="980"/>
      <c r="L18" s="842"/>
      <c r="M18" s="842"/>
      <c r="N18" s="842"/>
      <c r="O18" s="842"/>
    </row>
    <row r="19" spans="1:15" ht="15" customHeight="1">
      <c r="A19" s="405">
        <v>2022</v>
      </c>
      <c r="B19" s="629"/>
      <c r="C19" s="488">
        <v>1895.2670000000001</v>
      </c>
      <c r="D19" s="488">
        <v>5007.6570000000002</v>
      </c>
      <c r="E19" s="488">
        <v>2871.2240000000002</v>
      </c>
      <c r="F19" s="488">
        <v>3332.9789999999998</v>
      </c>
      <c r="G19" s="488">
        <v>3003.8890000000001</v>
      </c>
      <c r="H19" s="488">
        <v>6691.2030000000004</v>
      </c>
      <c r="I19" s="488">
        <v>2437.0790000000002</v>
      </c>
      <c r="J19" s="488">
        <v>3008.2849999999999</v>
      </c>
      <c r="K19" s="980"/>
      <c r="L19" s="842"/>
      <c r="M19" s="842"/>
      <c r="N19" s="842"/>
      <c r="O19" s="842"/>
    </row>
    <row r="20" spans="1:15" ht="15" customHeight="1">
      <c r="A20" s="405">
        <v>2023</v>
      </c>
      <c r="B20" s="629"/>
      <c r="C20" s="488">
        <v>1971.492</v>
      </c>
      <c r="D20" s="488">
        <v>5260.3370000000004</v>
      </c>
      <c r="E20" s="488">
        <v>2998.5340000000001</v>
      </c>
      <c r="F20" s="488">
        <v>3503.6179999999999</v>
      </c>
      <c r="G20" s="488">
        <v>2547.556</v>
      </c>
      <c r="H20" s="488">
        <v>6976.1080000000002</v>
      </c>
      <c r="I20" s="488">
        <v>2480.5329999999999</v>
      </c>
      <c r="J20" s="488">
        <v>2696.643</v>
      </c>
      <c r="K20" s="980"/>
      <c r="L20" s="842"/>
      <c r="M20" s="842"/>
      <c r="N20" s="842"/>
      <c r="O20" s="842"/>
    </row>
    <row r="21" spans="1:15" ht="15" customHeight="1">
      <c r="A21" s="405">
        <v>2024</v>
      </c>
      <c r="B21" s="629"/>
      <c r="C21" s="488">
        <v>1985.913</v>
      </c>
      <c r="D21" s="488">
        <v>5972.4350000000004</v>
      </c>
      <c r="E21" s="488">
        <v>3015.518</v>
      </c>
      <c r="F21" s="488">
        <v>2835.8519999999999</v>
      </c>
      <c r="G21" s="488">
        <v>2175.6129999999998</v>
      </c>
      <c r="H21" s="488">
        <v>6855.3639999999996</v>
      </c>
      <c r="I21" s="488">
        <v>2451.9299999999998</v>
      </c>
      <c r="J21" s="488">
        <v>2216.6849999999999</v>
      </c>
      <c r="K21" s="980"/>
      <c r="L21" s="842"/>
      <c r="M21" s="842"/>
      <c r="N21" s="842"/>
      <c r="O21" s="842"/>
    </row>
    <row r="22" spans="1:15" ht="15" customHeight="1">
      <c r="A22" s="713">
        <v>2025</v>
      </c>
      <c r="B22" s="758"/>
      <c r="C22" s="755">
        <f t="shared" ref="C22:J22" si="0">C28</f>
        <v>2066.54</v>
      </c>
      <c r="D22" s="755">
        <f t="shared" si="0"/>
        <v>5076.57</v>
      </c>
      <c r="E22" s="755">
        <f t="shared" si="0"/>
        <v>2867.0320000000002</v>
      </c>
      <c r="F22" s="755">
        <f t="shared" si="0"/>
        <v>3142.5770000000002</v>
      </c>
      <c r="G22" s="755">
        <f t="shared" si="0"/>
        <v>2349.951</v>
      </c>
      <c r="H22" s="755">
        <f t="shared" si="0"/>
        <v>7755.7330000000002</v>
      </c>
      <c r="I22" s="755">
        <f t="shared" si="0"/>
        <v>2397.7399999999998</v>
      </c>
      <c r="J22" s="755">
        <f t="shared" si="0"/>
        <v>2391.549</v>
      </c>
      <c r="K22" s="980"/>
      <c r="L22" s="842"/>
      <c r="M22" s="842"/>
      <c r="N22" s="842"/>
      <c r="O22" s="842"/>
    </row>
    <row r="23" spans="1:15" ht="21" customHeight="1">
      <c r="A23" s="405">
        <v>2024</v>
      </c>
      <c r="B23" s="629" t="s">
        <v>237</v>
      </c>
      <c r="C23" s="488">
        <v>2012.771</v>
      </c>
      <c r="D23" s="488">
        <v>5779.4790000000003</v>
      </c>
      <c r="E23" s="488">
        <v>3141.8020000000001</v>
      </c>
      <c r="F23" s="488">
        <v>3194.5970000000002</v>
      </c>
      <c r="G23" s="488">
        <v>2309.4160000000002</v>
      </c>
      <c r="H23" s="488">
        <v>7011.683</v>
      </c>
      <c r="I23" s="488">
        <v>2526.703</v>
      </c>
      <c r="J23" s="488">
        <v>2260.7159999999999</v>
      </c>
      <c r="K23" s="980"/>
      <c r="L23" s="842"/>
      <c r="M23" s="842"/>
      <c r="N23" s="842"/>
      <c r="O23" s="842"/>
    </row>
    <row r="24" spans="1:15" ht="15" customHeight="1">
      <c r="A24" s="405"/>
      <c r="B24" s="629" t="s">
        <v>238</v>
      </c>
      <c r="C24" s="488">
        <v>1985.913</v>
      </c>
      <c r="D24" s="488">
        <v>5972.4350000000004</v>
      </c>
      <c r="E24" s="488">
        <v>3015.518</v>
      </c>
      <c r="F24" s="488">
        <v>2835.8519999999999</v>
      </c>
      <c r="G24" s="488">
        <v>2175.6129999999998</v>
      </c>
      <c r="H24" s="488">
        <v>6855.3639999999996</v>
      </c>
      <c r="I24" s="488">
        <v>2451.9299999999998</v>
      </c>
      <c r="J24" s="488">
        <v>2216.6849999999999</v>
      </c>
      <c r="K24" s="980"/>
      <c r="L24" s="842"/>
      <c r="M24" s="842"/>
      <c r="N24" s="842"/>
      <c r="O24" s="842"/>
    </row>
    <row r="25" spans="1:15" ht="21" customHeight="1">
      <c r="A25" s="405">
        <v>2025</v>
      </c>
      <c r="B25" s="629" t="s">
        <v>239</v>
      </c>
      <c r="C25" s="488">
        <v>1951.365</v>
      </c>
      <c r="D25" s="488">
        <v>5145.482</v>
      </c>
      <c r="E25" s="488">
        <v>3021.1729999999998</v>
      </c>
      <c r="F25" s="488">
        <v>2821.971</v>
      </c>
      <c r="G25" s="488">
        <v>2150.759</v>
      </c>
      <c r="H25" s="488">
        <v>7029.665</v>
      </c>
      <c r="I25" s="488">
        <v>2453.7660000000001</v>
      </c>
      <c r="J25" s="488">
        <v>2477.0300000000002</v>
      </c>
      <c r="K25" s="980"/>
      <c r="L25" s="842"/>
      <c r="M25" s="842"/>
      <c r="N25" s="842"/>
      <c r="O25" s="842"/>
    </row>
    <row r="26" spans="1:15" ht="15" customHeight="1">
      <c r="A26" s="405"/>
      <c r="B26" s="629" t="s">
        <v>240</v>
      </c>
      <c r="C26" s="488">
        <v>1943.81</v>
      </c>
      <c r="D26" s="488">
        <v>4525.268</v>
      </c>
      <c r="E26" s="488">
        <v>2748.5010000000002</v>
      </c>
      <c r="F26" s="488">
        <v>3325.0050000000001</v>
      </c>
      <c r="G26" s="488">
        <v>1965.4059999999999</v>
      </c>
      <c r="H26" s="488">
        <v>7269.8980000000001</v>
      </c>
      <c r="I26" s="488">
        <v>2457.0169999999998</v>
      </c>
      <c r="J26" s="488">
        <v>2436.6590000000001</v>
      </c>
      <c r="K26" s="980"/>
      <c r="L26" s="842"/>
      <c r="M26" s="842"/>
      <c r="N26" s="842"/>
      <c r="O26" s="842"/>
    </row>
    <row r="27" spans="1:15" ht="15" customHeight="1">
      <c r="A27" s="405"/>
      <c r="B27" s="629" t="s">
        <v>237</v>
      </c>
      <c r="C27" s="488">
        <v>1948.173</v>
      </c>
      <c r="D27" s="488">
        <v>4153.1390000000001</v>
      </c>
      <c r="E27" s="488">
        <v>2790.8090000000002</v>
      </c>
      <c r="F27" s="488">
        <v>2989.1379999999999</v>
      </c>
      <c r="G27" s="488">
        <v>1888.461</v>
      </c>
      <c r="H27" s="488">
        <v>7529.0749999999998</v>
      </c>
      <c r="I27" s="488">
        <v>2424.538</v>
      </c>
      <c r="J27" s="488">
        <v>2383.63</v>
      </c>
      <c r="K27" s="980"/>
      <c r="L27" s="842"/>
      <c r="M27" s="842"/>
      <c r="N27" s="842"/>
      <c r="O27" s="842"/>
    </row>
    <row r="28" spans="1:15" ht="15" customHeight="1">
      <c r="A28" s="405"/>
      <c r="B28" s="629" t="s">
        <v>238</v>
      </c>
      <c r="C28" s="488">
        <f t="shared" ref="C28:J28" si="1">C36</f>
        <v>2066.54</v>
      </c>
      <c r="D28" s="488">
        <f t="shared" si="1"/>
        <v>5076.57</v>
      </c>
      <c r="E28" s="488">
        <f t="shared" si="1"/>
        <v>2867.0320000000002</v>
      </c>
      <c r="F28" s="488">
        <f t="shared" si="1"/>
        <v>3142.5770000000002</v>
      </c>
      <c r="G28" s="488">
        <f t="shared" si="1"/>
        <v>2349.951</v>
      </c>
      <c r="H28" s="488">
        <f t="shared" si="1"/>
        <v>7755.7330000000002</v>
      </c>
      <c r="I28" s="488">
        <f t="shared" si="1"/>
        <v>2397.7399999999998</v>
      </c>
      <c r="J28" s="488">
        <f t="shared" si="1"/>
        <v>2391.549</v>
      </c>
      <c r="K28" s="980"/>
      <c r="L28" s="842"/>
      <c r="M28" s="842"/>
      <c r="N28" s="842"/>
      <c r="O28" s="842"/>
    </row>
    <row r="29" spans="1:15" ht="21" customHeight="1">
      <c r="A29" s="405">
        <v>2026</v>
      </c>
      <c r="B29" s="629" t="s">
        <v>239</v>
      </c>
      <c r="C29" s="488">
        <f t="shared" ref="C29:J29" si="2">C39</f>
        <v>1899.079</v>
      </c>
      <c r="D29" s="488">
        <f t="shared" si="2"/>
        <v>4038.2849999999999</v>
      </c>
      <c r="E29" s="488">
        <f t="shared" si="2"/>
        <v>2812.085</v>
      </c>
      <c r="F29" s="488">
        <f t="shared" si="2"/>
        <v>2969.107</v>
      </c>
      <c r="G29" s="488">
        <f t="shared" si="2"/>
        <v>2489.364</v>
      </c>
      <c r="H29" s="488">
        <f t="shared" si="2"/>
        <v>7297.1570000000002</v>
      </c>
      <c r="I29" s="488">
        <f t="shared" si="2"/>
        <v>2346.8029999999999</v>
      </c>
      <c r="J29" s="488">
        <f t="shared" si="2"/>
        <v>2265.3359999999998</v>
      </c>
      <c r="K29" s="980"/>
      <c r="L29" s="842"/>
      <c r="M29" s="842"/>
      <c r="N29" s="842"/>
      <c r="O29" s="842"/>
    </row>
    <row r="30" spans="1:15" ht="15" customHeight="1">
      <c r="A30" s="713"/>
      <c r="B30" s="758" t="s">
        <v>240</v>
      </c>
      <c r="C30" s="755">
        <f t="shared" ref="C30:J30" si="3">C42</f>
        <v>2042.5609999999999</v>
      </c>
      <c r="D30" s="755">
        <f t="shared" si="3"/>
        <v>4502.2969999999996</v>
      </c>
      <c r="E30" s="755">
        <f t="shared" si="3"/>
        <v>2491.3150000000001</v>
      </c>
      <c r="F30" s="755">
        <f t="shared" si="3"/>
        <v>2905.3130000000001</v>
      </c>
      <c r="G30" s="755">
        <f t="shared" si="3"/>
        <v>2375.6</v>
      </c>
      <c r="H30" s="755">
        <f t="shared" si="3"/>
        <v>7961.2420000000002</v>
      </c>
      <c r="I30" s="755">
        <f t="shared" si="3"/>
        <v>2328.5439999999999</v>
      </c>
      <c r="J30" s="755">
        <f t="shared" si="3"/>
        <v>2547.9960000000001</v>
      </c>
      <c r="K30" s="980"/>
      <c r="L30" s="842"/>
      <c r="M30" s="842"/>
      <c r="N30" s="842"/>
      <c r="O30" s="842"/>
    </row>
    <row r="31" spans="1:15" s="842" customFormat="1" ht="21" customHeight="1">
      <c r="A31" s="405">
        <v>2025</v>
      </c>
      <c r="B31" s="629" t="s">
        <v>420</v>
      </c>
      <c r="C31" s="488">
        <v>1955.6320000000001</v>
      </c>
      <c r="D31" s="488">
        <v>4355.2830000000004</v>
      </c>
      <c r="E31" s="488">
        <v>2772.375</v>
      </c>
      <c r="F31" s="488">
        <v>3177.0160000000001</v>
      </c>
      <c r="G31" s="488">
        <v>1956.432</v>
      </c>
      <c r="H31" s="488">
        <v>7413.2740000000003</v>
      </c>
      <c r="I31" s="488">
        <v>2496.0619999999999</v>
      </c>
      <c r="J31" s="488">
        <v>2431.92</v>
      </c>
      <c r="K31" s="1187"/>
    </row>
    <row r="32" spans="1:15" s="842" customFormat="1" ht="17.25" customHeight="1">
      <c r="A32" s="405"/>
      <c r="B32" s="629" t="s">
        <v>421</v>
      </c>
      <c r="C32" s="488">
        <v>1929.183</v>
      </c>
      <c r="D32" s="488">
        <v>4088.8209999999999</v>
      </c>
      <c r="E32" s="488">
        <v>2828.92</v>
      </c>
      <c r="F32" s="488">
        <v>3134.5459999999998</v>
      </c>
      <c r="G32" s="488">
        <v>1964.7170000000001</v>
      </c>
      <c r="H32" s="488">
        <v>7422.067</v>
      </c>
      <c r="I32" s="488">
        <v>2428.7040000000002</v>
      </c>
      <c r="J32" s="488">
        <v>2365.634</v>
      </c>
      <c r="K32" s="1187"/>
    </row>
    <row r="33" spans="1:11" s="842" customFormat="1" ht="17.25" customHeight="1">
      <c r="A33" s="405"/>
      <c r="B33" s="629" t="s">
        <v>422</v>
      </c>
      <c r="C33" s="488">
        <v>1948.173</v>
      </c>
      <c r="D33" s="488">
        <v>4153.1390000000001</v>
      </c>
      <c r="E33" s="488">
        <v>2790.8090000000002</v>
      </c>
      <c r="F33" s="488">
        <v>2989.1379999999999</v>
      </c>
      <c r="G33" s="488">
        <v>1888.461</v>
      </c>
      <c r="H33" s="488">
        <v>7529.0749999999998</v>
      </c>
      <c r="I33" s="488">
        <v>2424.538</v>
      </c>
      <c r="J33" s="488">
        <v>2383.63</v>
      </c>
      <c r="K33" s="1187"/>
    </row>
    <row r="34" spans="1:11" s="842" customFormat="1" ht="17.25" customHeight="1">
      <c r="A34" s="405"/>
      <c r="B34" s="629" t="s">
        <v>411</v>
      </c>
      <c r="C34" s="488">
        <v>2062.8989999999999</v>
      </c>
      <c r="D34" s="488">
        <v>5076.57</v>
      </c>
      <c r="E34" s="488">
        <v>2771.9609999999998</v>
      </c>
      <c r="F34" s="488">
        <v>3110.7449999999999</v>
      </c>
      <c r="G34" s="488">
        <v>1979.12</v>
      </c>
      <c r="H34" s="488">
        <v>7747.7640000000001</v>
      </c>
      <c r="I34" s="488">
        <v>2434.8110000000001</v>
      </c>
      <c r="J34" s="488">
        <v>2460.4740000000002</v>
      </c>
      <c r="K34" s="1187"/>
    </row>
    <row r="35" spans="1:11" s="842" customFormat="1" ht="17.25" customHeight="1">
      <c r="A35" s="405"/>
      <c r="B35" s="629" t="s">
        <v>412</v>
      </c>
      <c r="C35" s="488">
        <v>2040.316</v>
      </c>
      <c r="D35" s="488">
        <v>4961.7150000000001</v>
      </c>
      <c r="E35" s="488">
        <v>2796.5010000000002</v>
      </c>
      <c r="F35" s="488">
        <v>3093.1889999999999</v>
      </c>
      <c r="G35" s="488">
        <v>2136.2449999999999</v>
      </c>
      <c r="H35" s="488">
        <v>7680.4560000000001</v>
      </c>
      <c r="I35" s="488">
        <v>2398.8359999999998</v>
      </c>
      <c r="J35" s="488">
        <v>2371.393</v>
      </c>
      <c r="K35" s="1187"/>
    </row>
    <row r="36" spans="1:11" s="842" customFormat="1" ht="17.25" customHeight="1">
      <c r="A36" s="405"/>
      <c r="B36" s="629" t="s">
        <v>413</v>
      </c>
      <c r="C36" s="488">
        <v>2066.54</v>
      </c>
      <c r="D36" s="488">
        <v>5076.57</v>
      </c>
      <c r="E36" s="488">
        <v>2867.0320000000002</v>
      </c>
      <c r="F36" s="488">
        <v>3142.5770000000002</v>
      </c>
      <c r="G36" s="488">
        <v>2349.951</v>
      </c>
      <c r="H36" s="488">
        <v>7755.7330000000002</v>
      </c>
      <c r="I36" s="488">
        <v>2397.7399999999998</v>
      </c>
      <c r="J36" s="488">
        <v>2391.549</v>
      </c>
      <c r="K36" s="1187"/>
    </row>
    <row r="37" spans="1:11" s="842" customFormat="1" ht="21" customHeight="1">
      <c r="A37" s="405">
        <v>2026</v>
      </c>
      <c r="B37" s="629" t="s">
        <v>414</v>
      </c>
      <c r="C37" s="488">
        <v>2044.09</v>
      </c>
      <c r="D37" s="488">
        <v>4984.6859999999997</v>
      </c>
      <c r="E37" s="488">
        <v>2874.5709999999999</v>
      </c>
      <c r="F37" s="488">
        <v>3120.1529999999998</v>
      </c>
      <c r="G37" s="488">
        <v>2448.4589999999998</v>
      </c>
      <c r="H37" s="488">
        <v>7638.0860000000002</v>
      </c>
      <c r="I37" s="488">
        <v>2436.8580000000002</v>
      </c>
      <c r="J37" s="488">
        <v>2397.9070000000002</v>
      </c>
      <c r="K37" s="1187"/>
    </row>
    <row r="38" spans="1:11" s="842" customFormat="1" ht="17.25" customHeight="1">
      <c r="A38" s="405"/>
      <c r="B38" s="629" t="s">
        <v>415</v>
      </c>
      <c r="C38" s="488">
        <v>2060.7159999999999</v>
      </c>
      <c r="D38" s="488">
        <v>5044.41</v>
      </c>
      <c r="E38" s="488">
        <v>2874.1010000000001</v>
      </c>
      <c r="F38" s="488">
        <v>3164.8620000000001</v>
      </c>
      <c r="G38" s="488">
        <v>2534.4760000000001</v>
      </c>
      <c r="H38" s="488">
        <v>7711.085</v>
      </c>
      <c r="I38" s="488">
        <v>2407.5749999999998</v>
      </c>
      <c r="J38" s="488">
        <v>2450.9360000000001</v>
      </c>
      <c r="K38" s="1187"/>
    </row>
    <row r="39" spans="1:11" s="842" customFormat="1" ht="17.25" customHeight="1">
      <c r="A39" s="405"/>
      <c r="B39" s="629" t="s">
        <v>416</v>
      </c>
      <c r="C39" s="488">
        <v>1899.079</v>
      </c>
      <c r="D39" s="488">
        <v>4038.2849999999999</v>
      </c>
      <c r="E39" s="488">
        <v>2812.085</v>
      </c>
      <c r="F39" s="488">
        <v>2969.107</v>
      </c>
      <c r="G39" s="488">
        <v>2489.364</v>
      </c>
      <c r="H39" s="488">
        <v>7297.1570000000002</v>
      </c>
      <c r="I39" s="488">
        <v>2346.8029999999999</v>
      </c>
      <c r="J39" s="488">
        <v>2265.3359999999998</v>
      </c>
      <c r="K39" s="1187"/>
    </row>
    <row r="40" spans="1:11" s="842" customFormat="1" ht="17.25" customHeight="1">
      <c r="A40" s="405"/>
      <c r="B40" s="629" t="s">
        <v>417</v>
      </c>
      <c r="C40" s="488">
        <v>1972.0509999999999</v>
      </c>
      <c r="D40" s="488">
        <v>4042.8789999999999</v>
      </c>
      <c r="E40" s="488">
        <v>2523.3919999999998</v>
      </c>
      <c r="F40" s="488">
        <v>2914.9279999999999</v>
      </c>
      <c r="G40" s="488">
        <v>2404.5419999999999</v>
      </c>
      <c r="H40" s="488">
        <v>7755.0559999999996</v>
      </c>
      <c r="I40" s="488">
        <v>2304.3969999999999</v>
      </c>
      <c r="J40" s="488">
        <v>2779.7260000000001</v>
      </c>
      <c r="K40" s="1187"/>
    </row>
    <row r="41" spans="1:11" s="842" customFormat="1" ht="17.25" customHeight="1">
      <c r="A41" s="405"/>
      <c r="B41" s="629" t="s">
        <v>418</v>
      </c>
      <c r="C41" s="488">
        <v>1979.0509999999999</v>
      </c>
      <c r="D41" s="488">
        <v>4088.8209999999999</v>
      </c>
      <c r="E41" s="488">
        <v>2444.2689999999998</v>
      </c>
      <c r="F41" s="488">
        <v>2928.0160000000001</v>
      </c>
      <c r="G41" s="488">
        <v>2347.4009999999998</v>
      </c>
      <c r="H41" s="488">
        <v>7799.4030000000002</v>
      </c>
      <c r="I41" s="488">
        <v>2288.9349999999999</v>
      </c>
      <c r="J41" s="488">
        <v>2633.8969999999999</v>
      </c>
      <c r="K41" s="1187"/>
    </row>
    <row r="42" spans="1:11" s="842" customFormat="1" ht="17.25" customHeight="1">
      <c r="A42" s="405"/>
      <c r="B42" s="629" t="s">
        <v>419</v>
      </c>
      <c r="C42" s="488">
        <v>2042.5609999999999</v>
      </c>
      <c r="D42" s="488">
        <v>4502.2969999999996</v>
      </c>
      <c r="E42" s="488">
        <v>2491.3150000000001</v>
      </c>
      <c r="F42" s="488">
        <v>2905.3130000000001</v>
      </c>
      <c r="G42" s="488">
        <v>2375.6</v>
      </c>
      <c r="H42" s="488">
        <v>7961.2420000000002</v>
      </c>
      <c r="I42" s="488">
        <v>2328.5439999999999</v>
      </c>
      <c r="J42" s="488">
        <v>2547.9960000000001</v>
      </c>
      <c r="K42" s="1187"/>
    </row>
    <row r="43" spans="1:11" s="842" customFormat="1" ht="17.25" customHeight="1">
      <c r="A43" s="405"/>
      <c r="B43" s="629" t="s">
        <v>420</v>
      </c>
      <c r="C43" s="488">
        <v>1956.3320000000001</v>
      </c>
      <c r="D43" s="488">
        <v>4203.6750000000002</v>
      </c>
      <c r="E43" s="488">
        <v>2433.1489999999999</v>
      </c>
      <c r="F43" s="488">
        <v>2862.4090000000001</v>
      </c>
      <c r="G43" s="488">
        <v>2375.6</v>
      </c>
      <c r="H43" s="488">
        <v>7634.9120000000003</v>
      </c>
      <c r="I43" s="488">
        <v>2267.9299999999998</v>
      </c>
      <c r="J43" s="488">
        <v>2481.71</v>
      </c>
      <c r="K43" s="1187"/>
    </row>
    <row r="44" spans="1:11" ht="21" customHeight="1">
      <c r="A44" s="524" t="s">
        <v>1549</v>
      </c>
      <c r="B44" s="462"/>
      <c r="C44" s="462"/>
      <c r="D44" s="462"/>
      <c r="E44" s="462"/>
      <c r="F44" s="462"/>
      <c r="G44" s="462"/>
      <c r="H44" s="462"/>
      <c r="I44" s="462"/>
      <c r="J44" s="525" t="s">
        <v>1550</v>
      </c>
    </row>
    <row r="46" spans="1:11" ht="13.8">
      <c r="A46" s="501" t="s">
        <v>1593</v>
      </c>
      <c r="B46" s="444"/>
      <c r="C46" s="1401"/>
      <c r="D46" s="444"/>
      <c r="E46" s="444"/>
      <c r="F46" s="444"/>
      <c r="G46" s="444"/>
      <c r="H46" s="444"/>
      <c r="I46" s="444"/>
      <c r="J46" s="444"/>
    </row>
  </sheetData>
  <printOptions horizontalCentered="1" verticalCentered="1"/>
  <pageMargins left="0" right="0" top="0.39" bottom="0" header="0.3" footer="0.3"/>
  <pageSetup scale="7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2"/>
  <dimension ref="A1:J40"/>
  <sheetViews>
    <sheetView zoomScale="80" zoomScaleNormal="80" workbookViewId="0">
      <pane ySplit="9" topLeftCell="A29" activePane="bottomLeft" state="frozen"/>
      <selection activeCell="B2" sqref="B2"/>
      <selection pane="bottomLeft" activeCell="B2" sqref="B2"/>
    </sheetView>
  </sheetViews>
  <sheetFormatPr defaultColWidth="9.21875" defaultRowHeight="13.2"/>
  <cols>
    <col min="1" max="1" width="12.44140625" style="445" customWidth="1"/>
    <col min="2" max="2" width="12" style="445" customWidth="1"/>
    <col min="3" max="6" width="20.77734375" style="445" customWidth="1"/>
    <col min="7" max="9" width="17.77734375" style="445" hidden="1" customWidth="1"/>
    <col min="10" max="10" width="18.77734375" style="445" hidden="1" customWidth="1"/>
    <col min="11" max="16384" width="9.21875" style="445"/>
  </cols>
  <sheetData>
    <row r="1" spans="1:10" ht="19.5" customHeight="1">
      <c r="A1" s="807" t="s">
        <v>1730</v>
      </c>
      <c r="B1" s="807"/>
      <c r="C1" s="807"/>
      <c r="D1" s="807"/>
      <c r="E1" s="807"/>
      <c r="F1" s="807"/>
      <c r="G1" s="807"/>
      <c r="H1" s="807"/>
      <c r="I1" s="807"/>
      <c r="J1" s="807"/>
    </row>
    <row r="2" spans="1:10" ht="19.5" customHeight="1">
      <c r="A2" s="807" t="s">
        <v>1594</v>
      </c>
      <c r="B2" s="807"/>
      <c r="C2" s="807"/>
      <c r="D2" s="807"/>
      <c r="E2" s="807"/>
      <c r="F2" s="807"/>
      <c r="G2" s="807"/>
      <c r="H2" s="807"/>
      <c r="I2" s="807"/>
      <c r="J2" s="382"/>
    </row>
    <row r="3" spans="1:10" ht="36" customHeight="1">
      <c r="A3" s="1384" t="s">
        <v>1595</v>
      </c>
      <c r="B3" s="1385"/>
      <c r="C3" s="1385"/>
      <c r="D3" s="1385"/>
      <c r="E3" s="1385"/>
      <c r="F3" s="1385"/>
      <c r="G3" s="1385"/>
      <c r="H3" s="1385"/>
      <c r="I3" s="1385"/>
      <c r="J3" s="1385"/>
    </row>
    <row r="4" spans="1:10" s="1387" customFormat="1" ht="14.85" customHeight="1">
      <c r="A4" s="808"/>
      <c r="B4" s="808"/>
      <c r="C4" s="1386"/>
      <c r="D4" s="1386"/>
      <c r="E4" s="1386"/>
      <c r="F4" s="1386"/>
      <c r="G4" s="1386"/>
      <c r="H4" s="1386"/>
      <c r="I4" s="1386"/>
      <c r="J4" s="1386"/>
    </row>
    <row r="5" spans="1:10" s="532" customFormat="1" ht="20.25" customHeight="1">
      <c r="A5" s="1388"/>
      <c r="B5" s="1389"/>
      <c r="C5" s="1390" t="s">
        <v>1596</v>
      </c>
      <c r="D5" s="1391"/>
      <c r="E5" s="1391"/>
      <c r="F5" s="1392"/>
      <c r="G5" s="1393" t="s">
        <v>1597</v>
      </c>
      <c r="H5" s="1391"/>
      <c r="I5" s="1392"/>
      <c r="J5" s="450" t="s">
        <v>1598</v>
      </c>
    </row>
    <row r="6" spans="1:10" s="532" customFormat="1" ht="20.25" customHeight="1">
      <c r="A6" s="533" t="s">
        <v>1516</v>
      </c>
      <c r="B6" s="534"/>
      <c r="C6" s="535" t="s">
        <v>1599</v>
      </c>
      <c r="D6" s="536"/>
      <c r="E6" s="536"/>
      <c r="F6" s="537"/>
      <c r="G6" s="535" t="s">
        <v>1600</v>
      </c>
      <c r="H6" s="536"/>
      <c r="I6" s="536"/>
      <c r="J6" s="1394" t="s">
        <v>1601</v>
      </c>
    </row>
    <row r="7" spans="1:10" s="532" customFormat="1" ht="20.25" customHeight="1">
      <c r="A7" s="533" t="s">
        <v>1524</v>
      </c>
      <c r="B7" s="534"/>
      <c r="C7" s="1395" t="s">
        <v>917</v>
      </c>
      <c r="D7" s="1395" t="s">
        <v>1602</v>
      </c>
      <c r="E7" s="1395" t="s">
        <v>1603</v>
      </c>
      <c r="F7" s="1395" t="s">
        <v>382</v>
      </c>
      <c r="G7" s="1395" t="s">
        <v>917</v>
      </c>
      <c r="H7" s="1395" t="s">
        <v>1602</v>
      </c>
      <c r="I7" s="1396" t="s">
        <v>1603</v>
      </c>
      <c r="J7" s="1394" t="s">
        <v>1731</v>
      </c>
    </row>
    <row r="8" spans="1:10" s="532" customFormat="1" ht="20.25" customHeight="1">
      <c r="A8" s="538"/>
      <c r="B8" s="539"/>
      <c r="C8" s="1305" t="s">
        <v>949</v>
      </c>
      <c r="D8" s="1305" t="s">
        <v>923</v>
      </c>
      <c r="E8" s="1305" t="s">
        <v>995</v>
      </c>
      <c r="F8" s="1305" t="s">
        <v>392</v>
      </c>
      <c r="G8" s="1305" t="s">
        <v>949</v>
      </c>
      <c r="H8" s="1305" t="s">
        <v>923</v>
      </c>
      <c r="I8" s="1305" t="s">
        <v>995</v>
      </c>
      <c r="J8" s="1395" t="s">
        <v>1604</v>
      </c>
    </row>
    <row r="9" spans="1:10" s="532" customFormat="1" ht="20.25" customHeight="1">
      <c r="A9" s="933"/>
      <c r="B9" s="540"/>
      <c r="C9" s="1306"/>
      <c r="D9" s="1306"/>
      <c r="E9" s="1306"/>
      <c r="F9" s="1306"/>
      <c r="G9" s="1306"/>
      <c r="H9" s="1306"/>
      <c r="I9" s="1306"/>
      <c r="J9" s="1397" t="s">
        <v>736</v>
      </c>
    </row>
    <row r="10" spans="1:10" s="468" customFormat="1" ht="24" customHeight="1">
      <c r="A10" s="405">
        <v>2016</v>
      </c>
      <c r="B10" s="495"/>
      <c r="C10" s="493">
        <v>173464.86199999999</v>
      </c>
      <c r="D10" s="493">
        <v>45516.493999999999</v>
      </c>
      <c r="E10" s="493">
        <v>29926.627</v>
      </c>
      <c r="F10" s="493">
        <v>248907.98300000001</v>
      </c>
      <c r="G10" s="494" t="s">
        <v>592</v>
      </c>
      <c r="H10" s="494" t="s">
        <v>1605</v>
      </c>
      <c r="I10" s="494" t="s">
        <v>592</v>
      </c>
      <c r="J10" s="487" t="s">
        <v>592</v>
      </c>
    </row>
    <row r="11" spans="1:10" s="468" customFormat="1" ht="16.5" customHeight="1">
      <c r="A11" s="405">
        <v>2017</v>
      </c>
      <c r="B11" s="495"/>
      <c r="C11" s="493">
        <v>288357</v>
      </c>
      <c r="D11" s="493">
        <v>94549</v>
      </c>
      <c r="E11" s="493">
        <v>39771</v>
      </c>
      <c r="F11" s="493">
        <f>SUM(C11:E11)</f>
        <v>422677</v>
      </c>
      <c r="G11" s="494" t="s">
        <v>592</v>
      </c>
      <c r="H11" s="494" t="s">
        <v>1605</v>
      </c>
      <c r="I11" s="494" t="s">
        <v>592</v>
      </c>
      <c r="J11" s="487" t="s">
        <v>592</v>
      </c>
    </row>
    <row r="12" spans="1:10" s="468" customFormat="1" ht="16.5" customHeight="1">
      <c r="A12" s="405">
        <v>2018</v>
      </c>
      <c r="B12" s="495"/>
      <c r="C12" s="493">
        <v>357427.24830000004</v>
      </c>
      <c r="D12" s="493">
        <v>185370.85699999999</v>
      </c>
      <c r="E12" s="493">
        <v>104867.47100000001</v>
      </c>
      <c r="F12" s="493">
        <v>647665.57630000007</v>
      </c>
      <c r="G12" s="494" t="s">
        <v>592</v>
      </c>
      <c r="H12" s="494" t="s">
        <v>592</v>
      </c>
      <c r="I12" s="494" t="s">
        <v>592</v>
      </c>
      <c r="J12" s="487" t="s">
        <v>592</v>
      </c>
    </row>
    <row r="13" spans="1:10" s="468" customFormat="1" ht="16.5" customHeight="1">
      <c r="A13" s="405">
        <v>2019</v>
      </c>
      <c r="B13" s="495"/>
      <c r="C13" s="493">
        <v>345309</v>
      </c>
      <c r="D13" s="493">
        <v>151875</v>
      </c>
      <c r="E13" s="493">
        <v>75628</v>
      </c>
      <c r="F13" s="493">
        <v>572812</v>
      </c>
      <c r="G13" s="494" t="s">
        <v>592</v>
      </c>
      <c r="H13" s="494" t="s">
        <v>592</v>
      </c>
      <c r="I13" s="494" t="s">
        <v>592</v>
      </c>
      <c r="J13" s="487" t="s">
        <v>592</v>
      </c>
    </row>
    <row r="14" spans="1:10" s="468" customFormat="1" ht="16.5" customHeight="1">
      <c r="A14" s="405">
        <v>2020</v>
      </c>
      <c r="B14" s="495"/>
      <c r="C14" s="493">
        <v>318289.51189999998</v>
      </c>
      <c r="D14" s="493">
        <v>80420.298999999999</v>
      </c>
      <c r="E14" s="493">
        <v>26889.485000000001</v>
      </c>
      <c r="F14" s="493">
        <v>425599.29589999997</v>
      </c>
      <c r="G14" s="494" t="s">
        <v>592</v>
      </c>
      <c r="H14" s="494" t="s">
        <v>592</v>
      </c>
      <c r="I14" s="494" t="s">
        <v>592</v>
      </c>
      <c r="J14" s="487" t="s">
        <v>592</v>
      </c>
    </row>
    <row r="15" spans="1:10" s="468" customFormat="1" ht="16.5" customHeight="1">
      <c r="A15" s="405">
        <v>2021</v>
      </c>
      <c r="B15" s="495"/>
      <c r="C15" s="493">
        <v>293389.19</v>
      </c>
      <c r="D15" s="493">
        <v>72011.910999999993</v>
      </c>
      <c r="E15" s="493">
        <v>26014.940999999999</v>
      </c>
      <c r="F15" s="493">
        <v>391416.04200000002</v>
      </c>
      <c r="G15" s="494" t="s">
        <v>592</v>
      </c>
      <c r="H15" s="494" t="s">
        <v>592</v>
      </c>
      <c r="I15" s="494" t="s">
        <v>592</v>
      </c>
      <c r="J15" s="487" t="s">
        <v>592</v>
      </c>
    </row>
    <row r="16" spans="1:10" s="468" customFormat="1" ht="16.5" customHeight="1">
      <c r="A16" s="405">
        <v>2022</v>
      </c>
      <c r="B16" s="495"/>
      <c r="C16" s="493">
        <v>228118</v>
      </c>
      <c r="D16" s="493">
        <v>65640</v>
      </c>
      <c r="E16" s="493">
        <v>45820</v>
      </c>
      <c r="F16" s="493">
        <v>339578</v>
      </c>
      <c r="G16" s="494" t="s">
        <v>592</v>
      </c>
      <c r="H16" s="494" t="s">
        <v>592</v>
      </c>
      <c r="I16" s="494" t="s">
        <v>592</v>
      </c>
      <c r="J16" s="487" t="s">
        <v>592</v>
      </c>
    </row>
    <row r="17" spans="1:10" s="468" customFormat="1" ht="16.5" customHeight="1">
      <c r="A17" s="405">
        <v>2023</v>
      </c>
      <c r="B17" s="495"/>
      <c r="C17" s="493">
        <v>256854</v>
      </c>
      <c r="D17" s="493">
        <v>95908</v>
      </c>
      <c r="E17" s="493">
        <v>67715</v>
      </c>
      <c r="F17" s="493">
        <v>420477</v>
      </c>
      <c r="G17" s="494" t="s">
        <v>592</v>
      </c>
      <c r="H17" s="494" t="s">
        <v>592</v>
      </c>
      <c r="I17" s="494" t="s">
        <v>592</v>
      </c>
      <c r="J17" s="487" t="s">
        <v>592</v>
      </c>
    </row>
    <row r="18" spans="1:10" s="468" customFormat="1" ht="16.5" customHeight="1">
      <c r="A18" s="405">
        <v>2024</v>
      </c>
      <c r="B18" s="495"/>
      <c r="C18" s="493">
        <f>SUM(C26:C29)</f>
        <v>393888</v>
      </c>
      <c r="D18" s="493">
        <f t="shared" ref="D18:E18" si="0">SUM(D26:D29)</f>
        <v>186678</v>
      </c>
      <c r="E18" s="493">
        <f t="shared" si="0"/>
        <v>59032</v>
      </c>
      <c r="F18" s="493">
        <f>SUM(C18:E18)</f>
        <v>639598</v>
      </c>
      <c r="G18" s="715" t="s">
        <v>592</v>
      </c>
      <c r="H18" s="715" t="s">
        <v>592</v>
      </c>
      <c r="I18" s="715" t="s">
        <v>592</v>
      </c>
      <c r="J18" s="752" t="s">
        <v>592</v>
      </c>
    </row>
    <row r="19" spans="1:10" s="468" customFormat="1" ht="16.5" customHeight="1">
      <c r="A19" s="713">
        <v>2025</v>
      </c>
      <c r="B19" s="714"/>
      <c r="C19" s="753">
        <f>SUM(C30:C33)</f>
        <v>331752.44799999997</v>
      </c>
      <c r="D19" s="753">
        <f t="shared" ref="D19:E19" si="1">SUM(D30:D33)</f>
        <v>878112.54700000002</v>
      </c>
      <c r="E19" s="753">
        <f t="shared" si="1"/>
        <v>28283.59</v>
      </c>
      <c r="F19" s="753">
        <f>SUM(C19:E19)</f>
        <v>1238148.5850000002</v>
      </c>
      <c r="G19" s="715" t="s">
        <v>592</v>
      </c>
      <c r="H19" s="715" t="s">
        <v>592</v>
      </c>
      <c r="I19" s="715" t="s">
        <v>592</v>
      </c>
      <c r="J19" s="752" t="s">
        <v>592</v>
      </c>
    </row>
    <row r="20" spans="1:10" s="468" customFormat="1" ht="20.25" customHeight="1">
      <c r="A20" s="405">
        <v>2022</v>
      </c>
      <c r="B20" s="497" t="s">
        <v>237</v>
      </c>
      <c r="C20" s="493">
        <v>46513</v>
      </c>
      <c r="D20" s="493">
        <v>12582</v>
      </c>
      <c r="E20" s="493">
        <v>13782</v>
      </c>
      <c r="F20" s="493">
        <f t="shared" ref="F20:F21" si="2">SUM(C20:E20)</f>
        <v>72877</v>
      </c>
      <c r="G20" s="494" t="s">
        <v>592</v>
      </c>
      <c r="H20" s="494" t="s">
        <v>592</v>
      </c>
      <c r="I20" s="494" t="s">
        <v>592</v>
      </c>
      <c r="J20" s="487" t="s">
        <v>592</v>
      </c>
    </row>
    <row r="21" spans="1:10" s="468" customFormat="1" ht="15.75" customHeight="1">
      <c r="A21" s="405"/>
      <c r="B21" s="497" t="s">
        <v>238</v>
      </c>
      <c r="C21" s="493">
        <v>42048</v>
      </c>
      <c r="D21" s="493">
        <v>13688</v>
      </c>
      <c r="E21" s="493">
        <v>5658</v>
      </c>
      <c r="F21" s="493">
        <f t="shared" si="2"/>
        <v>61394</v>
      </c>
      <c r="G21" s="494" t="s">
        <v>592</v>
      </c>
      <c r="H21" s="494" t="s">
        <v>592</v>
      </c>
      <c r="I21" s="494" t="s">
        <v>592</v>
      </c>
      <c r="J21" s="487" t="s">
        <v>592</v>
      </c>
    </row>
    <row r="22" spans="1:10" s="468" customFormat="1" ht="20.25" customHeight="1">
      <c r="A22" s="405">
        <v>2023</v>
      </c>
      <c r="B22" s="497" t="s">
        <v>239</v>
      </c>
      <c r="C22" s="493">
        <v>65714</v>
      </c>
      <c r="D22" s="493">
        <v>32527</v>
      </c>
      <c r="E22" s="493">
        <v>31837</v>
      </c>
      <c r="F22" s="493">
        <f t="shared" ref="F22:F23" si="3">SUM(C22:E22)</f>
        <v>130078</v>
      </c>
      <c r="G22" s="494" t="s">
        <v>592</v>
      </c>
      <c r="H22" s="494" t="s">
        <v>592</v>
      </c>
      <c r="I22" s="494" t="s">
        <v>592</v>
      </c>
      <c r="J22" s="487" t="s">
        <v>592</v>
      </c>
    </row>
    <row r="23" spans="1:10" s="468" customFormat="1" ht="15.75" customHeight="1">
      <c r="A23" s="405"/>
      <c r="B23" s="497" t="s">
        <v>240</v>
      </c>
      <c r="C23" s="493">
        <v>68791</v>
      </c>
      <c r="D23" s="493">
        <v>27153</v>
      </c>
      <c r="E23" s="493">
        <v>12589</v>
      </c>
      <c r="F23" s="493">
        <f t="shared" si="3"/>
        <v>108533</v>
      </c>
      <c r="G23" s="494" t="s">
        <v>592</v>
      </c>
      <c r="H23" s="494" t="s">
        <v>592</v>
      </c>
      <c r="I23" s="494" t="s">
        <v>592</v>
      </c>
      <c r="J23" s="487" t="s">
        <v>592</v>
      </c>
    </row>
    <row r="24" spans="1:10" s="468" customFormat="1" ht="15.75" customHeight="1">
      <c r="A24" s="405"/>
      <c r="B24" s="497" t="s">
        <v>237</v>
      </c>
      <c r="C24" s="493">
        <v>60989</v>
      </c>
      <c r="D24" s="493">
        <v>10001</v>
      </c>
      <c r="E24" s="493">
        <v>10450</v>
      </c>
      <c r="F24" s="493">
        <f t="shared" ref="F24:F26" si="4">SUM(C24:E24)</f>
        <v>81440</v>
      </c>
      <c r="G24" s="494" t="s">
        <v>592</v>
      </c>
      <c r="H24" s="494" t="s">
        <v>592</v>
      </c>
      <c r="I24" s="494" t="s">
        <v>592</v>
      </c>
      <c r="J24" s="487" t="s">
        <v>592</v>
      </c>
    </row>
    <row r="25" spans="1:10" s="468" customFormat="1" ht="15.75" customHeight="1">
      <c r="A25" s="405"/>
      <c r="B25" s="497" t="s">
        <v>238</v>
      </c>
      <c r="C25" s="493">
        <v>61360</v>
      </c>
      <c r="D25" s="493">
        <v>26227</v>
      </c>
      <c r="E25" s="493">
        <v>12839</v>
      </c>
      <c r="F25" s="493">
        <f t="shared" si="4"/>
        <v>100426</v>
      </c>
      <c r="G25" s="494" t="s">
        <v>592</v>
      </c>
      <c r="H25" s="494" t="s">
        <v>592</v>
      </c>
      <c r="I25" s="494" t="s">
        <v>592</v>
      </c>
      <c r="J25" s="487" t="s">
        <v>592</v>
      </c>
    </row>
    <row r="26" spans="1:10" s="468" customFormat="1" ht="20.25" customHeight="1">
      <c r="A26" s="405">
        <v>2024</v>
      </c>
      <c r="B26" s="497" t="s">
        <v>239</v>
      </c>
      <c r="C26" s="493">
        <v>103610</v>
      </c>
      <c r="D26" s="493">
        <v>38216</v>
      </c>
      <c r="E26" s="493">
        <v>28109</v>
      </c>
      <c r="F26" s="493">
        <f t="shared" si="4"/>
        <v>169935</v>
      </c>
      <c r="G26" s="494" t="s">
        <v>592</v>
      </c>
      <c r="H26" s="494" t="s">
        <v>592</v>
      </c>
      <c r="I26" s="494" t="s">
        <v>592</v>
      </c>
      <c r="J26" s="487" t="s">
        <v>592</v>
      </c>
    </row>
    <row r="27" spans="1:10" s="468" customFormat="1" ht="15.75" customHeight="1">
      <c r="A27" s="405"/>
      <c r="B27" s="497" t="s">
        <v>240</v>
      </c>
      <c r="C27" s="493">
        <v>106307</v>
      </c>
      <c r="D27" s="493">
        <v>29925</v>
      </c>
      <c r="E27" s="493">
        <v>8474</v>
      </c>
      <c r="F27" s="493">
        <f t="shared" ref="F27" si="5">SUM(C27:E27)</f>
        <v>144706</v>
      </c>
      <c r="G27" s="494" t="s">
        <v>592</v>
      </c>
      <c r="H27" s="494" t="s">
        <v>592</v>
      </c>
      <c r="I27" s="494" t="s">
        <v>592</v>
      </c>
      <c r="J27" s="487" t="s">
        <v>592</v>
      </c>
    </row>
    <row r="28" spans="1:10" s="468" customFormat="1" ht="15.75" customHeight="1">
      <c r="A28" s="405"/>
      <c r="B28" s="497" t="s">
        <v>237</v>
      </c>
      <c r="C28" s="493">
        <v>144828</v>
      </c>
      <c r="D28" s="493">
        <v>74782</v>
      </c>
      <c r="E28" s="493">
        <v>15675</v>
      </c>
      <c r="F28" s="493">
        <f t="shared" ref="F28" si="6">SUM(C28:E28)</f>
        <v>235285</v>
      </c>
      <c r="G28" s="494" t="s">
        <v>592</v>
      </c>
      <c r="H28" s="494" t="s">
        <v>592</v>
      </c>
      <c r="I28" s="494" t="s">
        <v>592</v>
      </c>
      <c r="J28" s="487" t="s">
        <v>592</v>
      </c>
    </row>
    <row r="29" spans="1:10" s="468" customFormat="1" ht="15.75" customHeight="1">
      <c r="A29" s="405"/>
      <c r="B29" s="497" t="s">
        <v>238</v>
      </c>
      <c r="C29" s="493">
        <v>39143</v>
      </c>
      <c r="D29" s="493">
        <v>43755</v>
      </c>
      <c r="E29" s="493">
        <v>6774</v>
      </c>
      <c r="F29" s="493">
        <f t="shared" ref="F29" si="7">SUM(C29:E29)</f>
        <v>89672</v>
      </c>
      <c r="G29" s="494" t="s">
        <v>592</v>
      </c>
      <c r="H29" s="494" t="s">
        <v>592</v>
      </c>
      <c r="I29" s="494" t="s">
        <v>592</v>
      </c>
      <c r="J29" s="487" t="s">
        <v>592</v>
      </c>
    </row>
    <row r="30" spans="1:10" s="468" customFormat="1" ht="20.25" customHeight="1">
      <c r="A30" s="405">
        <v>2025</v>
      </c>
      <c r="B30" s="497" t="s">
        <v>239</v>
      </c>
      <c r="C30" s="493">
        <v>89066.448000000004</v>
      </c>
      <c r="D30" s="493">
        <v>742903.54700000002</v>
      </c>
      <c r="E30" s="493">
        <v>4567.59</v>
      </c>
      <c r="F30" s="493">
        <f t="shared" ref="F30:F32" si="8">SUM(C30:E30)</f>
        <v>836537.58499999996</v>
      </c>
      <c r="G30" s="494" t="s">
        <v>592</v>
      </c>
      <c r="H30" s="494" t="s">
        <v>592</v>
      </c>
      <c r="I30" s="494" t="s">
        <v>592</v>
      </c>
      <c r="J30" s="487" t="s">
        <v>592</v>
      </c>
    </row>
    <row r="31" spans="1:10" s="468" customFormat="1" ht="15.75" customHeight="1">
      <c r="A31" s="405"/>
      <c r="B31" s="497" t="s">
        <v>240</v>
      </c>
      <c r="C31" s="493">
        <v>78700</v>
      </c>
      <c r="D31" s="493">
        <v>10772</v>
      </c>
      <c r="E31" s="493">
        <v>12108</v>
      </c>
      <c r="F31" s="493">
        <f t="shared" si="8"/>
        <v>101580</v>
      </c>
      <c r="G31" s="494" t="s">
        <v>592</v>
      </c>
      <c r="H31" s="494" t="s">
        <v>592</v>
      </c>
      <c r="I31" s="494" t="s">
        <v>592</v>
      </c>
      <c r="J31" s="487" t="s">
        <v>592</v>
      </c>
    </row>
    <row r="32" spans="1:10" s="468" customFormat="1" ht="15.75" customHeight="1">
      <c r="A32" s="405"/>
      <c r="B32" s="497" t="s">
        <v>237</v>
      </c>
      <c r="C32" s="493">
        <v>70922</v>
      </c>
      <c r="D32" s="493">
        <v>29234</v>
      </c>
      <c r="E32" s="493">
        <v>4044</v>
      </c>
      <c r="F32" s="493">
        <f t="shared" si="8"/>
        <v>104200</v>
      </c>
      <c r="G32" s="494"/>
      <c r="H32" s="494"/>
      <c r="I32" s="494"/>
      <c r="J32" s="487"/>
    </row>
    <row r="33" spans="1:10" s="468" customFormat="1" ht="15.75" customHeight="1">
      <c r="A33" s="405"/>
      <c r="B33" s="497" t="s">
        <v>238</v>
      </c>
      <c r="C33" s="493">
        <v>93064</v>
      </c>
      <c r="D33" s="493">
        <v>95203</v>
      </c>
      <c r="E33" s="493">
        <v>7564</v>
      </c>
      <c r="F33" s="493">
        <f t="shared" ref="F33:F35" si="9">SUM(C33:E33)</f>
        <v>195831</v>
      </c>
      <c r="G33" s="494"/>
      <c r="H33" s="494"/>
      <c r="I33" s="494"/>
      <c r="J33" s="487"/>
    </row>
    <row r="34" spans="1:10" s="468" customFormat="1" ht="20.25" customHeight="1">
      <c r="A34" s="405">
        <v>2026</v>
      </c>
      <c r="B34" s="497" t="s">
        <v>239</v>
      </c>
      <c r="C34" s="493">
        <v>56348.561999999998</v>
      </c>
      <c r="D34" s="493">
        <v>19163.246999999999</v>
      </c>
      <c r="E34" s="493">
        <v>22743.373</v>
      </c>
      <c r="F34" s="493">
        <f t="shared" si="9"/>
        <v>98255.182000000001</v>
      </c>
      <c r="G34" s="494"/>
      <c r="H34" s="494"/>
      <c r="I34" s="494"/>
      <c r="J34" s="487"/>
    </row>
    <row r="35" spans="1:10" s="468" customFormat="1" ht="15.45" customHeight="1">
      <c r="A35" s="405"/>
      <c r="B35" s="497" t="s">
        <v>240</v>
      </c>
      <c r="C35" s="493">
        <v>70231.758000000002</v>
      </c>
      <c r="D35" s="493">
        <v>37580.870999999999</v>
      </c>
      <c r="E35" s="493">
        <v>6399.33</v>
      </c>
      <c r="F35" s="493">
        <f t="shared" si="9"/>
        <v>114211.959</v>
      </c>
      <c r="G35" s="494"/>
      <c r="H35" s="494"/>
      <c r="I35" s="494"/>
      <c r="J35" s="487"/>
    </row>
    <row r="36" spans="1:10" ht="21.3" customHeight="1">
      <c r="A36" s="462" t="s">
        <v>1606</v>
      </c>
      <c r="B36" s="462"/>
      <c r="C36" s="462"/>
      <c r="D36" s="462"/>
      <c r="E36" s="462"/>
      <c r="F36" s="556" t="s">
        <v>1607</v>
      </c>
      <c r="G36" s="462"/>
      <c r="H36" s="462"/>
      <c r="I36" s="462"/>
      <c r="J36" s="556" t="s">
        <v>1607</v>
      </c>
    </row>
    <row r="37" spans="1:10" ht="27.75" customHeight="1">
      <c r="A37" s="1303" t="s">
        <v>1608</v>
      </c>
      <c r="B37" s="1303"/>
      <c r="C37" s="1303"/>
      <c r="D37" s="1304" t="s">
        <v>1609</v>
      </c>
      <c r="E37" s="1304"/>
      <c r="F37" s="1304"/>
      <c r="J37" s="527" t="s">
        <v>1610</v>
      </c>
    </row>
    <row r="38" spans="1:10" ht="13.8" customHeight="1">
      <c r="A38" s="463" t="s">
        <v>1549</v>
      </c>
      <c r="F38" s="527" t="s">
        <v>1550</v>
      </c>
      <c r="J38" s="527" t="s">
        <v>1550</v>
      </c>
    </row>
    <row r="39" spans="1:10" ht="13.8" customHeight="1">
      <c r="A39" s="541"/>
      <c r="J39" s="1398"/>
    </row>
    <row r="40" spans="1:10" ht="13.8">
      <c r="A40" s="501" t="s">
        <v>1611</v>
      </c>
      <c r="B40" s="444"/>
      <c r="C40" s="444"/>
      <c r="D40" s="444"/>
      <c r="E40" s="444"/>
      <c r="F40" s="444"/>
      <c r="G40" s="444"/>
      <c r="H40" s="444"/>
      <c r="I40" s="444"/>
      <c r="J40" s="444"/>
    </row>
  </sheetData>
  <mergeCells count="9">
    <mergeCell ref="A37:C37"/>
    <mergeCell ref="D37:F37"/>
    <mergeCell ref="I8:I9"/>
    <mergeCell ref="C8:C9"/>
    <mergeCell ref="D8:D9"/>
    <mergeCell ref="E8:E9"/>
    <mergeCell ref="F8:F9"/>
    <mergeCell ref="G8:G9"/>
    <mergeCell ref="H8:H9"/>
  </mergeCells>
  <printOptions horizontalCentered="1" verticalCentered="1"/>
  <pageMargins left="0" right="0" top="0" bottom="0" header="0.3" footer="0.3"/>
  <pageSetup paperSize="9" scale="7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3"/>
  <dimension ref="A1:F43"/>
  <sheetViews>
    <sheetView zoomScale="80" zoomScaleNormal="80" workbookViewId="0">
      <pane ySplit="7" topLeftCell="A29" activePane="bottomLeft" state="frozen"/>
      <selection activeCell="B2" sqref="B2"/>
      <selection pane="bottomLeft" activeCell="B2" sqref="B2"/>
    </sheetView>
  </sheetViews>
  <sheetFormatPr defaultColWidth="9.21875" defaultRowHeight="13.2"/>
  <cols>
    <col min="1" max="1" width="19.21875" style="149" customWidth="1"/>
    <col min="2" max="2" width="25.77734375" style="149" customWidth="1"/>
    <col min="3" max="4" width="17.77734375" style="149" customWidth="1"/>
    <col min="5" max="5" width="18.21875" style="149" customWidth="1"/>
    <col min="6" max="6" width="9.77734375" style="149" customWidth="1"/>
    <col min="7" max="7" width="9.77734375" style="149" bestFit="1" customWidth="1"/>
    <col min="8" max="16384" width="9.21875" style="149"/>
  </cols>
  <sheetData>
    <row r="1" spans="1:6" ht="18" customHeight="1">
      <c r="A1" s="1369" t="s">
        <v>1612</v>
      </c>
      <c r="B1" s="277"/>
      <c r="C1" s="277"/>
      <c r="D1" s="277"/>
      <c r="E1" s="277"/>
      <c r="F1" s="1309" t="s">
        <v>1613</v>
      </c>
    </row>
    <row r="2" spans="1:6" ht="17.399999999999999">
      <c r="A2" s="1369" t="s">
        <v>1614</v>
      </c>
      <c r="B2" s="277"/>
      <c r="C2" s="277"/>
      <c r="D2" s="277"/>
      <c r="E2" s="277"/>
      <c r="F2" s="1309"/>
    </row>
    <row r="3" spans="1:6" ht="17.399999999999999">
      <c r="A3" s="1369" t="s">
        <v>1615</v>
      </c>
      <c r="B3" s="277"/>
      <c r="C3" s="277"/>
      <c r="D3" s="277"/>
      <c r="E3" s="277"/>
      <c r="F3" s="1309"/>
    </row>
    <row r="4" spans="1:6" ht="14.25" customHeight="1">
      <c r="A4" s="149" t="s">
        <v>1616</v>
      </c>
      <c r="E4" s="411" t="s">
        <v>1617</v>
      </c>
      <c r="F4" s="1309"/>
    </row>
    <row r="5" spans="1:6" ht="21.3" customHeight="1">
      <c r="A5" s="1307" t="s">
        <v>379</v>
      </c>
      <c r="B5" s="1307" t="s">
        <v>1618</v>
      </c>
      <c r="C5" s="1370" t="s">
        <v>1619</v>
      </c>
      <c r="D5" s="1371" t="s">
        <v>1620</v>
      </c>
      <c r="E5" s="1372" t="s">
        <v>1621</v>
      </c>
      <c r="F5" s="1309"/>
    </row>
    <row r="6" spans="1:6" s="544" customFormat="1" ht="28.5" customHeight="1">
      <c r="A6" s="1308"/>
      <c r="B6" s="1308"/>
      <c r="C6" s="868" t="s">
        <v>1622</v>
      </c>
      <c r="D6" s="542" t="s">
        <v>1623</v>
      </c>
      <c r="E6" s="543" t="s">
        <v>1624</v>
      </c>
      <c r="F6" s="1309"/>
    </row>
    <row r="7" spans="1:6" s="544" customFormat="1" ht="41.25" customHeight="1">
      <c r="A7" s="1373" t="s">
        <v>387</v>
      </c>
      <c r="B7" s="1373" t="s">
        <v>1625</v>
      </c>
      <c r="C7" s="1374" t="s">
        <v>1626</v>
      </c>
      <c r="D7" s="1375" t="s">
        <v>1627</v>
      </c>
      <c r="E7" s="1373" t="s">
        <v>1628</v>
      </c>
      <c r="F7" s="1309"/>
    </row>
    <row r="8" spans="1:6" ht="25.05" customHeight="1">
      <c r="A8" s="1376" t="s">
        <v>1633</v>
      </c>
      <c r="B8" s="1377" t="s">
        <v>1629</v>
      </c>
      <c r="C8" s="869">
        <v>279943</v>
      </c>
      <c r="D8" s="869">
        <v>433891</v>
      </c>
      <c r="E8" s="869">
        <f t="shared" ref="E8:E35" si="0">SUM(C8:D8)</f>
        <v>713834</v>
      </c>
      <c r="F8" s="1309"/>
    </row>
    <row r="9" spans="1:6" ht="18.600000000000001" customHeight="1">
      <c r="A9" s="1378"/>
      <c r="B9" s="1379" t="s">
        <v>1630</v>
      </c>
      <c r="C9" s="870">
        <v>840459</v>
      </c>
      <c r="D9" s="870">
        <v>1415973</v>
      </c>
      <c r="E9" s="870">
        <f t="shared" si="0"/>
        <v>2256432</v>
      </c>
      <c r="F9" s="1309"/>
    </row>
    <row r="10" spans="1:6" ht="18.600000000000001" customHeight="1">
      <c r="A10" s="1378"/>
      <c r="B10" s="1380" t="s">
        <v>1631</v>
      </c>
      <c r="C10" s="870">
        <v>6449427</v>
      </c>
      <c r="D10" s="870">
        <v>1759064</v>
      </c>
      <c r="E10" s="871">
        <f t="shared" si="0"/>
        <v>8208491</v>
      </c>
      <c r="F10" s="1309"/>
    </row>
    <row r="11" spans="1:6" ht="18.600000000000001" customHeight="1">
      <c r="A11" s="1381"/>
      <c r="B11" s="1382" t="s">
        <v>1632</v>
      </c>
      <c r="C11" s="1383">
        <f>SUM(C8:C10)</f>
        <v>7569829</v>
      </c>
      <c r="D11" s="1383">
        <f>SUM(D8:D10)</f>
        <v>3608928</v>
      </c>
      <c r="E11" s="1383">
        <f t="shared" si="0"/>
        <v>11178757</v>
      </c>
      <c r="F11" s="1309"/>
    </row>
    <row r="12" spans="1:6" ht="25.05" customHeight="1">
      <c r="A12" s="1376" t="s">
        <v>1634</v>
      </c>
      <c r="B12" s="1377" t="s">
        <v>1629</v>
      </c>
      <c r="C12" s="869">
        <v>282484</v>
      </c>
      <c r="D12" s="869">
        <v>447708</v>
      </c>
      <c r="E12" s="869">
        <f t="shared" si="0"/>
        <v>730192</v>
      </c>
      <c r="F12" s="1309"/>
    </row>
    <row r="13" spans="1:6" ht="18.600000000000001" customHeight="1">
      <c r="A13" s="1378"/>
      <c r="B13" s="1379" t="s">
        <v>1630</v>
      </c>
      <c r="C13" s="870">
        <v>845818</v>
      </c>
      <c r="D13" s="870">
        <v>1417297</v>
      </c>
      <c r="E13" s="870">
        <f t="shared" si="0"/>
        <v>2263115</v>
      </c>
      <c r="F13" s="1309"/>
    </row>
    <row r="14" spans="1:6" ht="18.600000000000001" customHeight="1">
      <c r="A14" s="1378"/>
      <c r="B14" s="1380" t="s">
        <v>1631</v>
      </c>
      <c r="C14" s="870">
        <v>6448564</v>
      </c>
      <c r="D14" s="870">
        <v>1790249</v>
      </c>
      <c r="E14" s="871">
        <f t="shared" si="0"/>
        <v>8238813</v>
      </c>
      <c r="F14" s="1309"/>
    </row>
    <row r="15" spans="1:6" ht="18.600000000000001" customHeight="1">
      <c r="A15" s="1381"/>
      <c r="B15" s="1382" t="s">
        <v>1632</v>
      </c>
      <c r="C15" s="1383">
        <f>SUM(C12:C14)</f>
        <v>7576866</v>
      </c>
      <c r="D15" s="1383">
        <f>SUM(D12:D14)</f>
        <v>3655254</v>
      </c>
      <c r="E15" s="1383">
        <f t="shared" si="0"/>
        <v>11232120</v>
      </c>
      <c r="F15" s="1309"/>
    </row>
    <row r="16" spans="1:6" ht="25.05" customHeight="1">
      <c r="A16" s="1376" t="s">
        <v>1635</v>
      </c>
      <c r="B16" s="1377" t="s">
        <v>1629</v>
      </c>
      <c r="C16" s="869">
        <v>272907</v>
      </c>
      <c r="D16" s="869">
        <v>450763</v>
      </c>
      <c r="E16" s="869">
        <f t="shared" si="0"/>
        <v>723670</v>
      </c>
      <c r="F16" s="1309"/>
    </row>
    <row r="17" spans="1:6" ht="18.600000000000001" customHeight="1">
      <c r="A17" s="1378"/>
      <c r="B17" s="1379" t="s">
        <v>1630</v>
      </c>
      <c r="C17" s="870">
        <v>834226</v>
      </c>
      <c r="D17" s="870">
        <v>1388423</v>
      </c>
      <c r="E17" s="870">
        <f t="shared" si="0"/>
        <v>2222649</v>
      </c>
      <c r="F17" s="1309"/>
    </row>
    <row r="18" spans="1:6" ht="18.600000000000001" customHeight="1">
      <c r="A18" s="1378"/>
      <c r="B18" s="1380" t="s">
        <v>1631</v>
      </c>
      <c r="C18" s="870">
        <v>6449609</v>
      </c>
      <c r="D18" s="870">
        <v>1773186</v>
      </c>
      <c r="E18" s="871">
        <f t="shared" si="0"/>
        <v>8222795</v>
      </c>
      <c r="F18" s="1309"/>
    </row>
    <row r="19" spans="1:6" ht="18.600000000000001" customHeight="1">
      <c r="A19" s="1381"/>
      <c r="B19" s="1382" t="s">
        <v>1632</v>
      </c>
      <c r="C19" s="1383">
        <f>SUM(C16:C18)</f>
        <v>7556742</v>
      </c>
      <c r="D19" s="1383">
        <f>SUM(D16:D18)</f>
        <v>3612372</v>
      </c>
      <c r="E19" s="1383">
        <f t="shared" si="0"/>
        <v>11169114</v>
      </c>
      <c r="F19" s="1309"/>
    </row>
    <row r="20" spans="1:6" ht="25.05" customHeight="1">
      <c r="A20" s="1376" t="s">
        <v>1636</v>
      </c>
      <c r="B20" s="1377" t="s">
        <v>1629</v>
      </c>
      <c r="C20" s="869">
        <v>274348</v>
      </c>
      <c r="D20" s="869">
        <v>509138</v>
      </c>
      <c r="E20" s="869">
        <f t="shared" si="0"/>
        <v>783486</v>
      </c>
      <c r="F20" s="1309"/>
    </row>
    <row r="21" spans="1:6" ht="18.600000000000001" customHeight="1">
      <c r="A21" s="1378"/>
      <c r="B21" s="1379" t="s">
        <v>1630</v>
      </c>
      <c r="C21" s="870">
        <v>822355</v>
      </c>
      <c r="D21" s="870">
        <v>1385949</v>
      </c>
      <c r="E21" s="870">
        <f t="shared" si="0"/>
        <v>2208304</v>
      </c>
      <c r="F21" s="1309"/>
    </row>
    <row r="22" spans="1:6" ht="18.600000000000001" customHeight="1">
      <c r="A22" s="1378"/>
      <c r="B22" s="1380" t="s">
        <v>1631</v>
      </c>
      <c r="C22" s="870">
        <v>6500916</v>
      </c>
      <c r="D22" s="870">
        <v>1776558</v>
      </c>
      <c r="E22" s="871">
        <f t="shared" si="0"/>
        <v>8277474</v>
      </c>
      <c r="F22" s="1309"/>
    </row>
    <row r="23" spans="1:6" ht="18.600000000000001" customHeight="1">
      <c r="A23" s="1381"/>
      <c r="B23" s="1382" t="s">
        <v>1632</v>
      </c>
      <c r="C23" s="1383">
        <f>SUM(C20:C22)</f>
        <v>7597619</v>
      </c>
      <c r="D23" s="1383">
        <f>SUM(D20:D22)</f>
        <v>3671645</v>
      </c>
      <c r="E23" s="1383">
        <f t="shared" si="0"/>
        <v>11269264</v>
      </c>
      <c r="F23" s="1309"/>
    </row>
    <row r="24" spans="1:6" ht="25.05" customHeight="1">
      <c r="A24" s="1376" t="s">
        <v>1637</v>
      </c>
      <c r="B24" s="1377" t="s">
        <v>1629</v>
      </c>
      <c r="C24" s="869">
        <v>272217</v>
      </c>
      <c r="D24" s="869">
        <v>507997</v>
      </c>
      <c r="E24" s="869">
        <f t="shared" si="0"/>
        <v>780214</v>
      </c>
      <c r="F24" s="1309"/>
    </row>
    <row r="25" spans="1:6" ht="18.600000000000001" customHeight="1">
      <c r="A25" s="1378"/>
      <c r="B25" s="1379" t="s">
        <v>1630</v>
      </c>
      <c r="C25" s="870">
        <v>836054</v>
      </c>
      <c r="D25" s="870">
        <v>1006528</v>
      </c>
      <c r="E25" s="870">
        <f t="shared" si="0"/>
        <v>1842582</v>
      </c>
      <c r="F25" s="1309"/>
    </row>
    <row r="26" spans="1:6" ht="18.600000000000001" customHeight="1">
      <c r="A26" s="1378"/>
      <c r="B26" s="1380" t="s">
        <v>1631</v>
      </c>
      <c r="C26" s="870">
        <v>6467372</v>
      </c>
      <c r="D26" s="870">
        <v>1824741</v>
      </c>
      <c r="E26" s="871">
        <f t="shared" si="0"/>
        <v>8292113</v>
      </c>
      <c r="F26" s="1309"/>
    </row>
    <row r="27" spans="1:6" ht="18.600000000000001" customHeight="1">
      <c r="A27" s="1381"/>
      <c r="B27" s="1382" t="s">
        <v>1632</v>
      </c>
      <c r="C27" s="1383">
        <f>SUM(C24:C26)</f>
        <v>7575643</v>
      </c>
      <c r="D27" s="1383">
        <f>SUM(D24:D26)</f>
        <v>3339266</v>
      </c>
      <c r="E27" s="1383">
        <f t="shared" si="0"/>
        <v>10914909</v>
      </c>
      <c r="F27" s="1309"/>
    </row>
    <row r="28" spans="1:6" ht="25.05" customHeight="1">
      <c r="A28" s="1376" t="s">
        <v>1638</v>
      </c>
      <c r="B28" s="1377" t="s">
        <v>1629</v>
      </c>
      <c r="C28" s="869">
        <v>310449</v>
      </c>
      <c r="D28" s="869">
        <v>534890</v>
      </c>
      <c r="E28" s="869">
        <f t="shared" si="0"/>
        <v>845339</v>
      </c>
      <c r="F28" s="1309"/>
    </row>
    <row r="29" spans="1:6" ht="18.600000000000001" customHeight="1">
      <c r="A29" s="1378"/>
      <c r="B29" s="1379" t="s">
        <v>1630</v>
      </c>
      <c r="C29" s="870">
        <v>915795</v>
      </c>
      <c r="D29" s="870">
        <v>1010293</v>
      </c>
      <c r="E29" s="870">
        <f t="shared" si="0"/>
        <v>1926088</v>
      </c>
      <c r="F29" s="1309"/>
    </row>
    <row r="30" spans="1:6" ht="18.600000000000001" customHeight="1">
      <c r="A30" s="1378"/>
      <c r="B30" s="1380" t="s">
        <v>1631</v>
      </c>
      <c r="C30" s="870">
        <v>6519644</v>
      </c>
      <c r="D30" s="870">
        <v>1847615</v>
      </c>
      <c r="E30" s="871">
        <f t="shared" si="0"/>
        <v>8367259</v>
      </c>
      <c r="F30" s="1309"/>
    </row>
    <row r="31" spans="1:6" ht="18.600000000000001" customHeight="1">
      <c r="A31" s="1381"/>
      <c r="B31" s="1382" t="s">
        <v>1632</v>
      </c>
      <c r="C31" s="1383">
        <f>SUM(C28:C30)</f>
        <v>7745888</v>
      </c>
      <c r="D31" s="1383">
        <f>SUM(D28:D30)</f>
        <v>3392798</v>
      </c>
      <c r="E31" s="1383">
        <f t="shared" si="0"/>
        <v>11138686</v>
      </c>
      <c r="F31" s="1309"/>
    </row>
    <row r="32" spans="1:6" ht="25.05" customHeight="1">
      <c r="A32" s="1376" t="s">
        <v>1656</v>
      </c>
      <c r="B32" s="1377" t="s">
        <v>1629</v>
      </c>
      <c r="C32" s="869">
        <v>326868.66672189784</v>
      </c>
      <c r="D32" s="869">
        <v>596109.47835502529</v>
      </c>
      <c r="E32" s="869">
        <f t="shared" si="0"/>
        <v>922978.14507692307</v>
      </c>
      <c r="F32" s="1309"/>
    </row>
    <row r="33" spans="1:6" ht="18.600000000000001" customHeight="1">
      <c r="A33" s="1378"/>
      <c r="B33" s="1379" t="s">
        <v>1630</v>
      </c>
      <c r="C33" s="870">
        <v>907552.7</v>
      </c>
      <c r="D33" s="870">
        <v>724266.79368</v>
      </c>
      <c r="E33" s="870">
        <f t="shared" si="0"/>
        <v>1631819.4936799998</v>
      </c>
      <c r="F33" s="1309"/>
    </row>
    <row r="34" spans="1:6" ht="18.600000000000001" customHeight="1">
      <c r="A34" s="1378"/>
      <c r="B34" s="1380" t="s">
        <v>1631</v>
      </c>
      <c r="C34" s="870">
        <v>6579637.2999999998</v>
      </c>
      <c r="D34" s="870">
        <v>1925499.4811223729</v>
      </c>
      <c r="E34" s="871">
        <f t="shared" si="0"/>
        <v>8505136.7811223734</v>
      </c>
      <c r="F34" s="1309"/>
    </row>
    <row r="35" spans="1:6" ht="18.600000000000001" customHeight="1">
      <c r="A35" s="1381"/>
      <c r="B35" s="1382" t="s">
        <v>1632</v>
      </c>
      <c r="C35" s="1383">
        <f>SUM(C32:C34)</f>
        <v>7814058.6667218972</v>
      </c>
      <c r="D35" s="1383">
        <f>SUM(D32:D34)</f>
        <v>3245875.7531573982</v>
      </c>
      <c r="E35" s="1383">
        <f t="shared" si="0"/>
        <v>11059934.419879295</v>
      </c>
      <c r="F35" s="1309"/>
    </row>
    <row r="36" spans="1:6" ht="25.05" customHeight="1">
      <c r="A36" s="1376" t="s">
        <v>1695</v>
      </c>
      <c r="B36" s="1377" t="s">
        <v>1629</v>
      </c>
      <c r="C36" s="869">
        <v>338024.44</v>
      </c>
      <c r="D36" s="869">
        <v>582744.74</v>
      </c>
      <c r="E36" s="869">
        <f t="shared" ref="E36:E39" si="1">SUM(C36:D36)</f>
        <v>920769.17999999993</v>
      </c>
      <c r="F36" s="1309"/>
    </row>
    <row r="37" spans="1:6" ht="18.600000000000001" customHeight="1">
      <c r="A37" s="1378"/>
      <c r="B37" s="1379" t="s">
        <v>1630</v>
      </c>
      <c r="C37" s="870">
        <v>904450.65</v>
      </c>
      <c r="D37" s="870">
        <v>662498.88</v>
      </c>
      <c r="E37" s="870">
        <f t="shared" si="1"/>
        <v>1566949.53</v>
      </c>
      <c r="F37" s="1309"/>
    </row>
    <row r="38" spans="1:6" ht="18.600000000000001" customHeight="1">
      <c r="A38" s="1378"/>
      <c r="B38" s="1380" t="s">
        <v>1631</v>
      </c>
      <c r="C38" s="870">
        <v>6513942.0300000003</v>
      </c>
      <c r="D38" s="870">
        <v>1927356.6</v>
      </c>
      <c r="E38" s="871">
        <f t="shared" si="1"/>
        <v>8441298.6300000008</v>
      </c>
      <c r="F38" s="1309"/>
    </row>
    <row r="39" spans="1:6" ht="18.600000000000001" customHeight="1">
      <c r="A39" s="1381"/>
      <c r="B39" s="1382" t="s">
        <v>1632</v>
      </c>
      <c r="C39" s="1383">
        <f>SUM(C36:C38)</f>
        <v>7756417.1200000001</v>
      </c>
      <c r="D39" s="1383">
        <f>SUM(D36:D38)</f>
        <v>3172600.22</v>
      </c>
      <c r="E39" s="1383">
        <f t="shared" si="1"/>
        <v>10929017.34</v>
      </c>
      <c r="F39" s="1309"/>
    </row>
    <row r="40" spans="1:6" ht="25.05" customHeight="1">
      <c r="A40" s="1376" t="s">
        <v>1725</v>
      </c>
      <c r="B40" s="1377" t="s">
        <v>1629</v>
      </c>
      <c r="C40" s="869">
        <v>354221</v>
      </c>
      <c r="D40" s="869">
        <v>639170</v>
      </c>
      <c r="E40" s="869">
        <f t="shared" ref="E40:E43" si="2">SUM(C40:D40)</f>
        <v>993391</v>
      </c>
      <c r="F40" s="1309"/>
    </row>
    <row r="41" spans="1:6" ht="18.600000000000001" customHeight="1">
      <c r="A41" s="1378"/>
      <c r="B41" s="1379" t="s">
        <v>1630</v>
      </c>
      <c r="C41" s="870">
        <v>1229639.93</v>
      </c>
      <c r="D41" s="870">
        <v>597132.29</v>
      </c>
      <c r="E41" s="870">
        <f t="shared" si="2"/>
        <v>1826772.22</v>
      </c>
      <c r="F41" s="1309"/>
    </row>
    <row r="42" spans="1:6" ht="18.600000000000001" customHeight="1">
      <c r="A42" s="1378"/>
      <c r="B42" s="1380" t="s">
        <v>1631</v>
      </c>
      <c r="C42" s="870">
        <v>6645425.1399999997</v>
      </c>
      <c r="D42" s="870">
        <v>2039610.46</v>
      </c>
      <c r="E42" s="871">
        <f t="shared" si="2"/>
        <v>8685035.5999999996</v>
      </c>
      <c r="F42" s="1309"/>
    </row>
    <row r="43" spans="1:6" ht="18.600000000000001" customHeight="1">
      <c r="A43" s="1381"/>
      <c r="B43" s="1382" t="s">
        <v>1632</v>
      </c>
      <c r="C43" s="1383">
        <f>SUM(C40:C42)</f>
        <v>8229286.0699999994</v>
      </c>
      <c r="D43" s="1383">
        <f>SUM(D40:D42)</f>
        <v>3275912.75</v>
      </c>
      <c r="E43" s="1383">
        <f t="shared" si="2"/>
        <v>11505198.82</v>
      </c>
      <c r="F43" s="1309"/>
    </row>
  </sheetData>
  <mergeCells count="3">
    <mergeCell ref="A5:A6"/>
    <mergeCell ref="B5:B6"/>
    <mergeCell ref="F1:F43"/>
  </mergeCells>
  <printOptions horizontalCentered="1" verticalCentered="1"/>
  <pageMargins left="0" right="0" top="0" bottom="0"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47"/>
  <sheetViews>
    <sheetView zoomScale="85" zoomScaleNormal="85" workbookViewId="0">
      <pane ySplit="12" topLeftCell="A38" activePane="bottomLeft" state="frozen"/>
      <selection activeCell="B2" sqref="B2"/>
      <selection pane="bottomLeft" activeCell="F44" sqref="F44"/>
    </sheetView>
  </sheetViews>
  <sheetFormatPr defaultColWidth="7.77734375" defaultRowHeight="15"/>
  <cols>
    <col min="1" max="2" width="9.21875" style="1413" customWidth="1"/>
    <col min="3" max="10" width="16.77734375" style="13" customWidth="1"/>
    <col min="11" max="12" width="7.77734375" style="13"/>
    <col min="13" max="13" width="8.6640625" style="13" customWidth="1"/>
    <col min="14" max="16384" width="7.77734375" style="13"/>
  </cols>
  <sheetData>
    <row r="1" spans="1:13" s="26" customFormat="1" ht="18" customHeight="1">
      <c r="A1" s="1974" t="s">
        <v>1784</v>
      </c>
      <c r="B1" s="1716"/>
      <c r="C1" s="1716"/>
      <c r="D1" s="1716"/>
      <c r="E1" s="1716"/>
      <c r="F1" s="1716"/>
      <c r="G1" s="1716"/>
      <c r="H1" s="1716"/>
      <c r="I1" s="1716"/>
      <c r="J1" s="1716"/>
    </row>
    <row r="2" spans="1:13" s="26" customFormat="1" ht="18" customHeight="1">
      <c r="A2" s="1975" t="s">
        <v>11</v>
      </c>
      <c r="B2" s="1716"/>
      <c r="C2" s="1716"/>
      <c r="D2" s="1716"/>
      <c r="E2" s="1716"/>
      <c r="F2" s="1716"/>
      <c r="G2" s="1716"/>
      <c r="H2" s="1716"/>
      <c r="I2" s="1716"/>
      <c r="J2" s="1716"/>
    </row>
    <row r="3" spans="1:13" s="26" customFormat="1" ht="18" customHeight="1">
      <c r="A3" s="1974" t="s">
        <v>10</v>
      </c>
      <c r="B3" s="1716"/>
      <c r="C3" s="10"/>
      <c r="D3" s="1716"/>
      <c r="E3" s="1716"/>
      <c r="F3" s="1716"/>
      <c r="G3" s="1716"/>
      <c r="H3" s="1716"/>
      <c r="I3" s="1716"/>
      <c r="J3" s="1716"/>
    </row>
    <row r="4" spans="1:13" s="14" customFormat="1" ht="2.25" customHeight="1">
      <c r="A4" s="13"/>
      <c r="B4" s="13"/>
      <c r="C4" s="12"/>
      <c r="D4" s="12"/>
      <c r="E4" s="12"/>
      <c r="F4" s="12"/>
      <c r="G4" s="12"/>
      <c r="H4" s="12"/>
      <c r="I4" s="12"/>
      <c r="J4" s="1413"/>
    </row>
    <row r="5" spans="1:13" s="14" customFormat="1" ht="14.25" customHeight="1">
      <c r="A5" s="35" t="s">
        <v>369</v>
      </c>
      <c r="B5" s="13"/>
      <c r="C5" s="29"/>
      <c r="D5" s="29"/>
      <c r="E5" s="29"/>
      <c r="F5" s="29"/>
      <c r="G5" s="29"/>
      <c r="H5" s="29"/>
      <c r="I5" s="29"/>
      <c r="J5" s="36" t="s">
        <v>370</v>
      </c>
    </row>
    <row r="6" spans="1:13" s="41" customFormat="1" ht="18.600000000000001" customHeight="1">
      <c r="A6" s="27"/>
      <c r="B6" s="46"/>
      <c r="C6" s="99" t="s">
        <v>489</v>
      </c>
      <c r="D6" s="100"/>
      <c r="E6" s="81"/>
      <c r="F6" s="99" t="s">
        <v>490</v>
      </c>
      <c r="G6" s="100"/>
      <c r="H6" s="100"/>
      <c r="I6" s="81"/>
      <c r="J6" s="919" t="s">
        <v>9</v>
      </c>
    </row>
    <row r="7" spans="1:13" s="41" customFormat="1" ht="18.600000000000001" customHeight="1">
      <c r="A7" s="28"/>
      <c r="B7" s="81"/>
      <c r="C7" s="102" t="s">
        <v>491</v>
      </c>
      <c r="D7" s="102"/>
      <c r="E7" s="103"/>
      <c r="F7" s="102" t="s">
        <v>492</v>
      </c>
      <c r="G7" s="102"/>
      <c r="H7" s="102"/>
      <c r="I7" s="103"/>
      <c r="J7" s="107" t="s">
        <v>457</v>
      </c>
    </row>
    <row r="8" spans="1:13" s="39" customFormat="1" ht="18.600000000000001" customHeight="1">
      <c r="A8" s="24" t="s">
        <v>379</v>
      </c>
      <c r="B8" s="74"/>
      <c r="C8" s="78" t="s">
        <v>493</v>
      </c>
      <c r="D8" s="95" t="s">
        <v>494</v>
      </c>
      <c r="E8" s="64"/>
      <c r="F8" s="78" t="s">
        <v>495</v>
      </c>
      <c r="G8" s="95" t="s">
        <v>495</v>
      </c>
      <c r="H8" s="95" t="s">
        <v>496</v>
      </c>
      <c r="I8" s="64"/>
      <c r="J8" s="271" t="s">
        <v>462</v>
      </c>
    </row>
    <row r="9" spans="1:13" s="41" customFormat="1" ht="18.600000000000001" customHeight="1">
      <c r="A9" s="82" t="s">
        <v>387</v>
      </c>
      <c r="B9" s="81"/>
      <c r="C9" s="108" t="s">
        <v>497</v>
      </c>
      <c r="D9" s="106" t="s">
        <v>498</v>
      </c>
      <c r="E9" s="106" t="s">
        <v>382</v>
      </c>
      <c r="F9" s="105" t="s">
        <v>390</v>
      </c>
      <c r="G9" s="106" t="s">
        <v>499</v>
      </c>
      <c r="H9" s="106" t="s">
        <v>500</v>
      </c>
      <c r="I9" s="73" t="s">
        <v>382</v>
      </c>
      <c r="J9" s="73" t="s">
        <v>469</v>
      </c>
    </row>
    <row r="10" spans="1:13" s="50" customFormat="1" ht="14.25" customHeight="1">
      <c r="A10" s="82"/>
      <c r="B10" s="83"/>
      <c r="C10" s="96" t="s">
        <v>501</v>
      </c>
      <c r="D10" s="84" t="s">
        <v>502</v>
      </c>
      <c r="E10" s="84"/>
      <c r="F10" s="109" t="s">
        <v>398</v>
      </c>
      <c r="G10" s="84" t="s">
        <v>398</v>
      </c>
      <c r="H10" s="84" t="s">
        <v>399</v>
      </c>
      <c r="I10" s="110"/>
      <c r="J10" s="73" t="s">
        <v>503</v>
      </c>
    </row>
    <row r="11" spans="1:13" s="50" customFormat="1" ht="14.25" customHeight="1">
      <c r="A11" s="82"/>
      <c r="B11" s="83"/>
      <c r="C11" s="64" t="s">
        <v>504</v>
      </c>
      <c r="D11" s="110" t="s">
        <v>405</v>
      </c>
      <c r="E11" s="110" t="s">
        <v>392</v>
      </c>
      <c r="F11" s="110" t="s">
        <v>505</v>
      </c>
      <c r="G11" s="110" t="s">
        <v>506</v>
      </c>
      <c r="H11" s="110" t="s">
        <v>507</v>
      </c>
      <c r="I11" s="110" t="s">
        <v>392</v>
      </c>
      <c r="J11" s="84" t="s">
        <v>508</v>
      </c>
    </row>
    <row r="12" spans="1:13" s="50" customFormat="1" ht="14.25" customHeight="1">
      <c r="A12" s="111"/>
      <c r="B12" s="112"/>
      <c r="C12" s="89"/>
      <c r="D12" s="90"/>
      <c r="E12" s="90"/>
      <c r="F12" s="90"/>
      <c r="G12" s="90"/>
      <c r="H12" s="90"/>
      <c r="I12" s="90"/>
      <c r="J12" s="89" t="s">
        <v>254</v>
      </c>
    </row>
    <row r="13" spans="1:13" s="306" customFormat="1" ht="20.25" customHeight="1">
      <c r="A13" s="405">
        <v>2016</v>
      </c>
      <c r="B13" s="406"/>
      <c r="C13" s="1976">
        <v>818.4</v>
      </c>
      <c r="D13" s="654">
        <v>-588.26338214329007</v>
      </c>
      <c r="E13" s="657">
        <v>230.1366178567099</v>
      </c>
      <c r="F13" s="654">
        <v>5626.8132624427144</v>
      </c>
      <c r="G13" s="657">
        <v>8755.5592465315076</v>
      </c>
      <c r="H13" s="654">
        <v>-2590.6833779628132</v>
      </c>
      <c r="I13" s="657">
        <v>11791.689131011408</v>
      </c>
      <c r="J13" s="1977">
        <v>12021.82690553366</v>
      </c>
      <c r="K13" s="967"/>
      <c r="L13" s="967"/>
      <c r="M13" s="967"/>
    </row>
    <row r="14" spans="1:13" s="408" customFormat="1" ht="14.25" customHeight="1">
      <c r="A14" s="356">
        <v>2017</v>
      </c>
      <c r="B14" s="407"/>
      <c r="C14" s="1978">
        <v>883.1</v>
      </c>
      <c r="D14" s="1979">
        <v>-921.46110953044877</v>
      </c>
      <c r="E14" s="1980">
        <v>-38.361109530448743</v>
      </c>
      <c r="F14" s="1979">
        <v>6094.3643282399189</v>
      </c>
      <c r="G14" s="1980">
        <v>8970.1976701133171</v>
      </c>
      <c r="H14" s="1979">
        <v>-2504.8704568670537</v>
      </c>
      <c r="I14" s="1980">
        <v>12559.691541486183</v>
      </c>
      <c r="J14" s="1980">
        <v>12521.33834765356</v>
      </c>
      <c r="K14" s="967"/>
      <c r="L14" s="967"/>
      <c r="M14" s="967"/>
    </row>
    <row r="15" spans="1:13" s="321" customFormat="1" ht="14.25" customHeight="1">
      <c r="A15" s="747">
        <v>2018</v>
      </c>
      <c r="B15" s="899"/>
      <c r="C15" s="1161">
        <v>702.3</v>
      </c>
      <c r="D15" s="1161">
        <v>-1106.9416969982703</v>
      </c>
      <c r="E15" s="1162">
        <v>-404.64169699827039</v>
      </c>
      <c r="F15" s="1161">
        <v>6057.6131674958597</v>
      </c>
      <c r="G15" s="1162">
        <v>9860.5224357719762</v>
      </c>
      <c r="H15" s="1161">
        <v>-2891.4280632143264</v>
      </c>
      <c r="I15" s="1162">
        <v>13026.70754005351</v>
      </c>
      <c r="J15" s="1162">
        <v>12622.075757186307</v>
      </c>
      <c r="K15" s="967"/>
      <c r="L15" s="967"/>
      <c r="M15" s="967"/>
    </row>
    <row r="16" spans="1:13" s="321" customFormat="1" ht="14.25" customHeight="1">
      <c r="A16" s="747">
        <v>2019</v>
      </c>
      <c r="B16" s="899"/>
      <c r="C16" s="1161">
        <v>1278.5999999999999</v>
      </c>
      <c r="D16" s="1161">
        <v>-978.95207411742194</v>
      </c>
      <c r="E16" s="1162">
        <v>299.64792588257797</v>
      </c>
      <c r="F16" s="1161">
        <v>6622.4570046662348</v>
      </c>
      <c r="G16" s="1162">
        <v>9966.7851993423283</v>
      </c>
      <c r="H16" s="1161">
        <v>-3217.0007851050414</v>
      </c>
      <c r="I16" s="1162">
        <v>13372.261418903521</v>
      </c>
      <c r="J16" s="1162">
        <v>13671.88438483977</v>
      </c>
      <c r="K16" s="967"/>
      <c r="L16" s="967"/>
      <c r="M16" s="967"/>
    </row>
    <row r="17" spans="1:13" s="321" customFormat="1" ht="14.25" customHeight="1">
      <c r="A17" s="747">
        <v>2020</v>
      </c>
      <c r="B17" s="899"/>
      <c r="C17" s="1161">
        <v>734.5</v>
      </c>
      <c r="D17" s="1161">
        <v>-1329.1114923424102</v>
      </c>
      <c r="E17" s="1162">
        <v>-594.6114923424102</v>
      </c>
      <c r="F17" s="1161">
        <v>7789.5132998701774</v>
      </c>
      <c r="G17" s="1162">
        <v>10644.319226108561</v>
      </c>
      <c r="H17" s="1161">
        <v>-3687.9415435554715</v>
      </c>
      <c r="I17" s="1162">
        <v>14745.890982423267</v>
      </c>
      <c r="J17" s="1162">
        <v>14151.256808289852</v>
      </c>
      <c r="K17" s="967"/>
      <c r="L17" s="967"/>
      <c r="M17" s="967"/>
    </row>
    <row r="18" spans="1:13" s="321" customFormat="1" ht="14.25" customHeight="1">
      <c r="A18" s="747">
        <v>2021</v>
      </c>
      <c r="B18" s="899"/>
      <c r="C18" s="1161">
        <v>1471.1</v>
      </c>
      <c r="D18" s="1161">
        <v>-1493.9619543455665</v>
      </c>
      <c r="E18" s="1162">
        <v>-22.861954345566573</v>
      </c>
      <c r="F18" s="1161">
        <v>8077.2270960630085</v>
      </c>
      <c r="G18" s="1162">
        <v>11111.127374236223</v>
      </c>
      <c r="H18" s="1161">
        <v>-4281.2316329858113</v>
      </c>
      <c r="I18" s="1162">
        <v>14907.122837313418</v>
      </c>
      <c r="J18" s="1162">
        <v>14884.212361565633</v>
      </c>
      <c r="K18" s="967"/>
      <c r="L18" s="967"/>
      <c r="M18" s="967"/>
    </row>
    <row r="19" spans="1:13" s="321" customFormat="1" ht="14.25" customHeight="1">
      <c r="A19" s="747">
        <v>2022</v>
      </c>
      <c r="B19" s="899"/>
      <c r="C19" s="1161">
        <v>1404.1</v>
      </c>
      <c r="D19" s="1161">
        <v>-2599.5235519705866</v>
      </c>
      <c r="E19" s="1162">
        <v>-1195.4235519705867</v>
      </c>
      <c r="F19" s="1161">
        <v>9192.7125319697006</v>
      </c>
      <c r="G19" s="1162">
        <v>11505.400231115644</v>
      </c>
      <c r="H19" s="1161">
        <v>-4367.3212276701852</v>
      </c>
      <c r="I19" s="1162">
        <v>16330.791535415159</v>
      </c>
      <c r="J19" s="1162">
        <v>15135.428446639962</v>
      </c>
      <c r="K19" s="967"/>
      <c r="L19" s="967"/>
      <c r="M19" s="967"/>
    </row>
    <row r="20" spans="1:13" s="321" customFormat="1" ht="14.25" customHeight="1">
      <c r="A20" s="747">
        <v>2023</v>
      </c>
      <c r="B20" s="899"/>
      <c r="C20" s="1161">
        <v>1515.2</v>
      </c>
      <c r="D20" s="1161">
        <v>-3101.3999999999996</v>
      </c>
      <c r="E20" s="1162">
        <v>-1586.1999999999996</v>
      </c>
      <c r="F20" s="1161">
        <v>9941.3863329282958</v>
      </c>
      <c r="G20" s="1162">
        <v>11804.930969689533</v>
      </c>
      <c r="H20" s="1161">
        <v>-4193.7702889526372</v>
      </c>
      <c r="I20" s="1162">
        <v>17552.547013665189</v>
      </c>
      <c r="J20" s="1162">
        <v>15966.291360589066</v>
      </c>
      <c r="K20" s="967"/>
      <c r="L20" s="967"/>
      <c r="M20" s="967"/>
    </row>
    <row r="21" spans="1:13" s="321" customFormat="1" ht="14.25" customHeight="1">
      <c r="A21" s="747">
        <v>2024</v>
      </c>
      <c r="B21" s="899"/>
      <c r="C21" s="1161">
        <v>1427.5</v>
      </c>
      <c r="D21" s="1161">
        <v>-4223.7000000000007</v>
      </c>
      <c r="E21" s="1162">
        <v>-2796.2000000000007</v>
      </c>
      <c r="F21" s="1161">
        <v>11229.10431745114</v>
      </c>
      <c r="G21" s="1162">
        <v>11897.037488911043</v>
      </c>
      <c r="H21" s="1161">
        <v>-4109.4707128637983</v>
      </c>
      <c r="I21" s="1162">
        <v>19016.641093498387</v>
      </c>
      <c r="J21" s="1162">
        <v>16220.441938154301</v>
      </c>
      <c r="K21" s="967"/>
      <c r="L21" s="967"/>
      <c r="M21" s="967"/>
    </row>
    <row r="22" spans="1:13" s="321" customFormat="1" ht="14.25" customHeight="1">
      <c r="A22" s="906">
        <v>2025</v>
      </c>
      <c r="B22" s="907"/>
      <c r="C22" s="1084">
        <f t="shared" ref="C22:J22" si="0">C28</f>
        <v>1674.8999999999999</v>
      </c>
      <c r="D22" s="1084">
        <f t="shared" si="0"/>
        <v>-5871.5000000000018</v>
      </c>
      <c r="E22" s="1085">
        <f t="shared" si="0"/>
        <v>-4196.6000000000022</v>
      </c>
      <c r="F22" s="1084">
        <f t="shared" si="0"/>
        <v>12668.4</v>
      </c>
      <c r="G22" s="1085">
        <f t="shared" si="0"/>
        <v>12321.563574700062</v>
      </c>
      <c r="H22" s="1084">
        <f t="shared" si="0"/>
        <v>-4244.9142671346272</v>
      </c>
      <c r="I22" s="1085">
        <f t="shared" si="0"/>
        <v>20745.149307565433</v>
      </c>
      <c r="J22" s="1085">
        <f t="shared" si="0"/>
        <v>16548.5</v>
      </c>
      <c r="K22" s="967"/>
      <c r="L22" s="967"/>
      <c r="M22" s="967"/>
    </row>
    <row r="23" spans="1:13" s="321" customFormat="1" ht="21" customHeight="1">
      <c r="A23" s="747">
        <v>2024</v>
      </c>
      <c r="B23" s="899" t="s">
        <v>237</v>
      </c>
      <c r="C23" s="1161">
        <v>1912.2</v>
      </c>
      <c r="D23" s="1161">
        <v>-4089.3000000000011</v>
      </c>
      <c r="E23" s="1162">
        <v>-2177.1000000000013</v>
      </c>
      <c r="F23" s="1161">
        <v>11256.704237503141</v>
      </c>
      <c r="G23" s="1162">
        <v>12132.166024345523</v>
      </c>
      <c r="H23" s="1161">
        <v>-4585.6314018330268</v>
      </c>
      <c r="I23" s="1162">
        <v>18803.258860015638</v>
      </c>
      <c r="J23" s="1162">
        <v>16626.240013787232</v>
      </c>
      <c r="K23" s="967"/>
      <c r="L23" s="967"/>
      <c r="M23" s="967"/>
    </row>
    <row r="24" spans="1:13" s="321" customFormat="1" ht="15" customHeight="1">
      <c r="A24" s="747"/>
      <c r="B24" s="899" t="s">
        <v>238</v>
      </c>
      <c r="C24" s="1161">
        <v>1427.5</v>
      </c>
      <c r="D24" s="1161">
        <v>-4223.7000000000007</v>
      </c>
      <c r="E24" s="1162">
        <v>-2796.2000000000007</v>
      </c>
      <c r="F24" s="1161">
        <v>11229.10431745114</v>
      </c>
      <c r="G24" s="1162">
        <v>11897.037488911043</v>
      </c>
      <c r="H24" s="1161">
        <v>-4109.4707128637983</v>
      </c>
      <c r="I24" s="1162">
        <v>19016.641093498387</v>
      </c>
      <c r="J24" s="1162">
        <v>16220.441938154301</v>
      </c>
      <c r="K24" s="967"/>
      <c r="L24" s="967"/>
      <c r="M24" s="967"/>
    </row>
    <row r="25" spans="1:13" s="321" customFormat="1" ht="21" customHeight="1">
      <c r="A25" s="747">
        <v>2025</v>
      </c>
      <c r="B25" s="899" t="s">
        <v>239</v>
      </c>
      <c r="C25" s="1161">
        <v>1051.3</v>
      </c>
      <c r="D25" s="1161">
        <v>-4572.7000000000007</v>
      </c>
      <c r="E25" s="1162">
        <v>-3521.4000000000005</v>
      </c>
      <c r="F25" s="1161">
        <v>12477.314762898464</v>
      </c>
      <c r="G25" s="1162">
        <v>12209.403658198527</v>
      </c>
      <c r="H25" s="1161">
        <v>-4645.8258048215266</v>
      </c>
      <c r="I25" s="1162">
        <v>20040.892616275465</v>
      </c>
      <c r="J25" s="1162">
        <v>16519.485029977339</v>
      </c>
      <c r="K25" s="967"/>
      <c r="L25" s="967"/>
      <c r="M25" s="967"/>
    </row>
    <row r="26" spans="1:13" s="321" customFormat="1" ht="15" customHeight="1">
      <c r="A26" s="747"/>
      <c r="B26" s="899" t="s">
        <v>240</v>
      </c>
      <c r="C26" s="1161">
        <v>1435</v>
      </c>
      <c r="D26" s="1161">
        <v>-5184.1000000000004</v>
      </c>
      <c r="E26" s="1162">
        <v>-3749.1000000000004</v>
      </c>
      <c r="F26" s="1161">
        <v>12596.400000000001</v>
      </c>
      <c r="G26" s="1162">
        <v>12226.193005835752</v>
      </c>
      <c r="H26" s="1161">
        <v>-4606.8874972329613</v>
      </c>
      <c r="I26" s="1162">
        <v>20215.705508602794</v>
      </c>
      <c r="J26" s="1162">
        <v>16466.599999999999</v>
      </c>
      <c r="K26" s="967"/>
      <c r="L26" s="967"/>
      <c r="M26" s="967"/>
    </row>
    <row r="27" spans="1:13" s="321" customFormat="1" ht="15" customHeight="1">
      <c r="A27" s="747"/>
      <c r="B27" s="899" t="s">
        <v>237</v>
      </c>
      <c r="C27" s="1161">
        <v>1223.4000000000001</v>
      </c>
      <c r="D27" s="1161">
        <v>-5115.7000000000007</v>
      </c>
      <c r="E27" s="1162">
        <v>-3892.3000000000006</v>
      </c>
      <c r="F27" s="1161">
        <v>12866.8</v>
      </c>
      <c r="G27" s="1162">
        <v>12070.874790278758</v>
      </c>
      <c r="H27" s="1161">
        <v>-4808.3176309173414</v>
      </c>
      <c r="I27" s="1162">
        <v>20129.357159361418</v>
      </c>
      <c r="J27" s="1162">
        <v>16237.1</v>
      </c>
      <c r="K27" s="967"/>
      <c r="L27" s="967"/>
      <c r="M27" s="967"/>
    </row>
    <row r="28" spans="1:13" s="321" customFormat="1" ht="15" customHeight="1">
      <c r="A28" s="747"/>
      <c r="B28" s="899" t="s">
        <v>238</v>
      </c>
      <c r="C28" s="1161">
        <f t="shared" ref="C28:J28" si="1">C36</f>
        <v>1674.8999999999999</v>
      </c>
      <c r="D28" s="1161">
        <f t="shared" si="1"/>
        <v>-5871.5000000000018</v>
      </c>
      <c r="E28" s="1162">
        <f t="shared" si="1"/>
        <v>-4196.6000000000022</v>
      </c>
      <c r="F28" s="1161">
        <f t="shared" si="1"/>
        <v>12668.4</v>
      </c>
      <c r="G28" s="1162">
        <f t="shared" si="1"/>
        <v>12321.563574700062</v>
      </c>
      <c r="H28" s="1161">
        <f t="shared" si="1"/>
        <v>-4244.9142671346272</v>
      </c>
      <c r="I28" s="1162">
        <f t="shared" si="1"/>
        <v>20745.149307565433</v>
      </c>
      <c r="J28" s="1162">
        <f t="shared" si="1"/>
        <v>16548.5</v>
      </c>
      <c r="K28" s="967"/>
      <c r="L28" s="967"/>
      <c r="M28" s="967"/>
    </row>
    <row r="29" spans="1:13" s="321" customFormat="1" ht="21" customHeight="1">
      <c r="A29" s="747">
        <v>2026</v>
      </c>
      <c r="B29" s="899" t="s">
        <v>239</v>
      </c>
      <c r="C29" s="1161">
        <f t="shared" ref="C29:J29" si="2">C39</f>
        <v>2206.6</v>
      </c>
      <c r="D29" s="1161">
        <f t="shared" si="2"/>
        <v>-6504.8999999999978</v>
      </c>
      <c r="E29" s="1162">
        <f t="shared" si="2"/>
        <v>-4298.2999999999975</v>
      </c>
      <c r="F29" s="1161">
        <f t="shared" si="2"/>
        <v>13313.4</v>
      </c>
      <c r="G29" s="1162">
        <f t="shared" si="2"/>
        <v>12432.730006494046</v>
      </c>
      <c r="H29" s="1161">
        <f t="shared" si="2"/>
        <v>-4108.9109930382001</v>
      </c>
      <c r="I29" s="1162">
        <f t="shared" si="2"/>
        <v>21637.209013455846</v>
      </c>
      <c r="J29" s="1162">
        <f t="shared" si="2"/>
        <v>17338.900000000001</v>
      </c>
      <c r="K29" s="1207"/>
      <c r="L29" s="967"/>
      <c r="M29" s="967"/>
    </row>
    <row r="30" spans="1:13" s="321" customFormat="1" ht="15" customHeight="1">
      <c r="A30" s="906"/>
      <c r="B30" s="907" t="s">
        <v>240</v>
      </c>
      <c r="C30" s="1084">
        <f t="shared" ref="C30:J30" si="3">C42</f>
        <v>912.2</v>
      </c>
      <c r="D30" s="1084">
        <f t="shared" si="3"/>
        <v>-5168</v>
      </c>
      <c r="E30" s="1085">
        <f t="shared" si="3"/>
        <v>-4255.8</v>
      </c>
      <c r="F30" s="1084">
        <f t="shared" si="3"/>
        <v>13906.599999999999</v>
      </c>
      <c r="G30" s="1085">
        <f t="shared" si="3"/>
        <v>12665.094098940786</v>
      </c>
      <c r="H30" s="1084">
        <f t="shared" si="3"/>
        <v>-4202.940778073229</v>
      </c>
      <c r="I30" s="1085">
        <f t="shared" si="3"/>
        <v>22368.753320867556</v>
      </c>
      <c r="J30" s="1085">
        <f t="shared" si="3"/>
        <v>18113</v>
      </c>
      <c r="K30" s="1207"/>
      <c r="L30" s="967"/>
      <c r="M30" s="967"/>
    </row>
    <row r="31" spans="1:13" s="306" customFormat="1" ht="21" customHeight="1">
      <c r="A31" s="405">
        <v>2025</v>
      </c>
      <c r="B31" s="406" t="s">
        <v>420</v>
      </c>
      <c r="C31" s="654">
        <f>'1'!C31+'1'!D31-'1'!I31</f>
        <v>1607.7</v>
      </c>
      <c r="D31" s="654">
        <f>'16'!J31</f>
        <v>-5253.3000000000011</v>
      </c>
      <c r="E31" s="657">
        <f t="shared" ref="E31" si="4">SUM(C31:D31)</f>
        <v>-3645.6000000000013</v>
      </c>
      <c r="F31" s="654">
        <f>'1'!F31+ROUND('14'!G31,1)+ROUND('14'!H31,1)</f>
        <v>12240.8</v>
      </c>
      <c r="G31" s="657">
        <f>'14'!F31</f>
        <v>12170.574120990528</v>
      </c>
      <c r="H31" s="654">
        <v>-4573.9901914761795</v>
      </c>
      <c r="I31" s="657">
        <f t="shared" ref="I31:I32" si="5">SUM(F31:H31)</f>
        <v>19837.383929514348</v>
      </c>
      <c r="J31" s="657">
        <f>'3'!J31</f>
        <v>16191.8</v>
      </c>
      <c r="K31" s="967"/>
      <c r="L31" s="967"/>
      <c r="M31" s="967"/>
    </row>
    <row r="32" spans="1:13" s="306" customFormat="1" ht="15" customHeight="1">
      <c r="A32" s="405"/>
      <c r="B32" s="406" t="s">
        <v>421</v>
      </c>
      <c r="C32" s="654">
        <f>'1'!C32+'1'!D32-'1'!I32</f>
        <v>1337</v>
      </c>
      <c r="D32" s="654">
        <f>'16'!J32</f>
        <v>-5052.8000000000011</v>
      </c>
      <c r="E32" s="657">
        <f t="shared" ref="E32" si="6">SUM(C32:D32)</f>
        <v>-3715.8000000000011</v>
      </c>
      <c r="F32" s="654">
        <f>'1'!F32+ROUND('14'!G32,1)+ROUND('14'!H32,1)</f>
        <v>12727.5</v>
      </c>
      <c r="G32" s="657">
        <f>'14'!F32</f>
        <v>12102.288466598202</v>
      </c>
      <c r="H32" s="654">
        <v>-4773.9632201820077</v>
      </c>
      <c r="I32" s="657">
        <f t="shared" si="5"/>
        <v>20055.825246416192</v>
      </c>
      <c r="J32" s="657">
        <f>'3'!J32</f>
        <v>16340</v>
      </c>
      <c r="K32" s="967"/>
      <c r="L32" s="967"/>
      <c r="M32" s="967"/>
    </row>
    <row r="33" spans="1:13" s="306" customFormat="1" ht="15" customHeight="1">
      <c r="A33" s="405"/>
      <c r="B33" s="406" t="s">
        <v>422</v>
      </c>
      <c r="C33" s="654">
        <f>'1'!C33+'1'!D33-'1'!I33</f>
        <v>1223.4000000000001</v>
      </c>
      <c r="D33" s="654">
        <f>'16'!J33</f>
        <v>-5115.7000000000007</v>
      </c>
      <c r="E33" s="657">
        <f t="shared" ref="E33" si="7">SUM(C33:D33)</f>
        <v>-3892.3000000000006</v>
      </c>
      <c r="F33" s="654">
        <f>'1'!F33+ROUND('14'!G33,1)+ROUND('14'!H33,1)</f>
        <v>12866.8</v>
      </c>
      <c r="G33" s="657">
        <f>'14'!F33</f>
        <v>12070.874790278758</v>
      </c>
      <c r="H33" s="654">
        <v>-4808.3176309173414</v>
      </c>
      <c r="I33" s="657">
        <f t="shared" ref="I33" si="8">SUM(F33:H33)</f>
        <v>20129.357159361418</v>
      </c>
      <c r="J33" s="657">
        <f>'3'!J33</f>
        <v>16237.1</v>
      </c>
      <c r="K33" s="967"/>
      <c r="L33" s="967"/>
      <c r="M33" s="967"/>
    </row>
    <row r="34" spans="1:13" s="306" customFormat="1" ht="15" customHeight="1">
      <c r="A34" s="405"/>
      <c r="B34" s="406" t="s">
        <v>411</v>
      </c>
      <c r="C34" s="654">
        <f>'1'!C34+'1'!D34-'1'!I34</f>
        <v>1591.1</v>
      </c>
      <c r="D34" s="654">
        <f>'16'!J34</f>
        <v>-5824.7000000000007</v>
      </c>
      <c r="E34" s="657">
        <f t="shared" ref="E34" si="9">SUM(C34:D34)</f>
        <v>-4233.6000000000004</v>
      </c>
      <c r="F34" s="654">
        <f>'1'!F34+ROUND('14'!G34,1)+ROUND('14'!H34,1)</f>
        <v>12337.7</v>
      </c>
      <c r="G34" s="657">
        <f>'14'!F34</f>
        <v>12185.737582546886</v>
      </c>
      <c r="H34" s="654">
        <v>-4272.6109555745898</v>
      </c>
      <c r="I34" s="657">
        <f t="shared" ref="I34" si="10">SUM(F34:H34)</f>
        <v>20250.826626972299</v>
      </c>
      <c r="J34" s="657">
        <f>'3'!J34</f>
        <v>16017.199999999999</v>
      </c>
      <c r="K34" s="967"/>
      <c r="L34" s="967"/>
      <c r="M34" s="967"/>
    </row>
    <row r="35" spans="1:13" s="306" customFormat="1" ht="15" customHeight="1">
      <c r="A35" s="405"/>
      <c r="B35" s="406" t="s">
        <v>412</v>
      </c>
      <c r="C35" s="654">
        <f>'1'!C35+'1'!D35-'1'!I35</f>
        <v>1366.7</v>
      </c>
      <c r="D35" s="654">
        <f>'16'!J35</f>
        <v>-5720.8999999999978</v>
      </c>
      <c r="E35" s="657">
        <f t="shared" ref="E35" si="11">SUM(C35:D35)</f>
        <v>-4354.199999999998</v>
      </c>
      <c r="F35" s="654">
        <f>'1'!F35+ROUND('14'!G35,1)+ROUND('14'!H35,1)</f>
        <v>12708.8</v>
      </c>
      <c r="G35" s="657">
        <f>'14'!F35</f>
        <v>12174.902209119286</v>
      </c>
      <c r="H35" s="654">
        <v>-4310.2049699758427</v>
      </c>
      <c r="I35" s="657">
        <f t="shared" ref="I35" si="12">SUM(F35:H35)</f>
        <v>20573.497239143442</v>
      </c>
      <c r="J35" s="657">
        <f>'3'!J35</f>
        <v>16219.3</v>
      </c>
      <c r="K35" s="967"/>
      <c r="L35" s="967"/>
      <c r="M35" s="967"/>
    </row>
    <row r="36" spans="1:13" s="306" customFormat="1" ht="15" customHeight="1">
      <c r="A36" s="405"/>
      <c r="B36" s="406" t="s">
        <v>413</v>
      </c>
      <c r="C36" s="654">
        <f>'1'!C36+'1'!D36-'1'!I36</f>
        <v>1674.8999999999999</v>
      </c>
      <c r="D36" s="654">
        <f>'16'!J36</f>
        <v>-5871.5000000000018</v>
      </c>
      <c r="E36" s="657">
        <f t="shared" ref="E36" si="13">SUM(C36:D36)</f>
        <v>-4196.6000000000022</v>
      </c>
      <c r="F36" s="654">
        <f>'1'!F36+ROUND('14'!G36,1)+ROUND('14'!H36,1)</f>
        <v>12668.4</v>
      </c>
      <c r="G36" s="657">
        <f>'14'!F36</f>
        <v>12321.563574700062</v>
      </c>
      <c r="H36" s="654">
        <v>-4244.9142671346272</v>
      </c>
      <c r="I36" s="657">
        <f>SUM(F36:H36)+0.1</f>
        <v>20745.149307565433</v>
      </c>
      <c r="J36" s="657">
        <f>'3'!J36</f>
        <v>16548.5</v>
      </c>
      <c r="K36" s="967"/>
      <c r="L36" s="967"/>
      <c r="M36" s="967"/>
    </row>
    <row r="37" spans="1:13" s="306" customFormat="1" ht="21" customHeight="1">
      <c r="A37" s="405">
        <v>2026</v>
      </c>
      <c r="B37" s="406" t="s">
        <v>414</v>
      </c>
      <c r="C37" s="654">
        <f>'1'!C37+'1'!D37-'1'!I37</f>
        <v>1358.6</v>
      </c>
      <c r="D37" s="654">
        <f>'16'!J37</f>
        <v>-5691.8000000000011</v>
      </c>
      <c r="E37" s="657">
        <f t="shared" ref="E37" si="14">SUM(C37:D37)</f>
        <v>-4333.2000000000007</v>
      </c>
      <c r="F37" s="654">
        <f>'1'!F37+ROUND('14'!G37,1)+ROUND('14'!H37,1)</f>
        <v>13334.6</v>
      </c>
      <c r="G37" s="654">
        <f>'14'!F37</f>
        <v>12200.143844624019</v>
      </c>
      <c r="H37" s="654">
        <v>-4521.8835713323824</v>
      </c>
      <c r="I37" s="657">
        <f>SUM(F37:H37)-0.02</f>
        <v>21012.840273291637</v>
      </c>
      <c r="J37" s="657">
        <f>'3'!J37</f>
        <v>16679.600000000002</v>
      </c>
      <c r="K37" s="967"/>
      <c r="L37" s="967"/>
      <c r="M37" s="967"/>
    </row>
    <row r="38" spans="1:13" s="306" customFormat="1" ht="15" customHeight="1">
      <c r="A38" s="405"/>
      <c r="B38" s="406" t="s">
        <v>415</v>
      </c>
      <c r="C38" s="654">
        <f>'1'!C38+'1'!D38-'1'!I38</f>
        <v>2070.5</v>
      </c>
      <c r="D38" s="654">
        <f>'16'!J38</f>
        <v>-5586.1000000000022</v>
      </c>
      <c r="E38" s="657">
        <f t="shared" ref="E38" si="15">SUM(C38:D38)</f>
        <v>-3515.6000000000022</v>
      </c>
      <c r="F38" s="654">
        <f>'1'!F38+ROUND('14'!G38,1)+ROUND('14'!H38,1)</f>
        <v>13078.2</v>
      </c>
      <c r="G38" s="654">
        <f>'14'!F38</f>
        <v>12209.39527980212</v>
      </c>
      <c r="H38" s="654">
        <v>-4761.7106520132247</v>
      </c>
      <c r="I38" s="657">
        <f>SUM(F38:H38)</f>
        <v>20525.884627788895</v>
      </c>
      <c r="J38" s="657">
        <f>'3'!J38</f>
        <v>17010.3</v>
      </c>
      <c r="K38" s="967"/>
      <c r="L38" s="967"/>
      <c r="M38" s="967"/>
    </row>
    <row r="39" spans="1:13" s="306" customFormat="1" ht="15" customHeight="1">
      <c r="A39" s="405"/>
      <c r="B39" s="406" t="s">
        <v>416</v>
      </c>
      <c r="C39" s="654">
        <f>'1'!C39+'1'!D39-'1'!I39</f>
        <v>2206.6</v>
      </c>
      <c r="D39" s="654">
        <f>'16'!J39</f>
        <v>-6504.8999999999978</v>
      </c>
      <c r="E39" s="657">
        <f t="shared" ref="E39" si="16">SUM(C39:D39)</f>
        <v>-4298.2999999999975</v>
      </c>
      <c r="F39" s="654">
        <f>'1'!F39+ROUND('14'!G39,1)+ROUND('14'!H39,1)</f>
        <v>13313.4</v>
      </c>
      <c r="G39" s="654">
        <f>'14'!F39</f>
        <v>12432.730006494046</v>
      </c>
      <c r="H39" s="654">
        <v>-4108.9109930382001</v>
      </c>
      <c r="I39" s="657">
        <f>SUM(F39:H39)-0.01</f>
        <v>21637.209013455846</v>
      </c>
      <c r="J39" s="657">
        <f>'3'!J39</f>
        <v>17338.900000000001</v>
      </c>
      <c r="K39" s="967"/>
      <c r="L39" s="967"/>
      <c r="M39" s="967"/>
    </row>
    <row r="40" spans="1:13" s="306" customFormat="1" ht="15" customHeight="1">
      <c r="A40" s="405"/>
      <c r="B40" s="406" t="s">
        <v>417</v>
      </c>
      <c r="C40" s="654">
        <f>'1'!C40+'1'!D40-'1'!I40</f>
        <v>1567.3</v>
      </c>
      <c r="D40" s="654">
        <f>'16'!J40</f>
        <v>-5571.1999999999971</v>
      </c>
      <c r="E40" s="657">
        <f t="shared" ref="E40" si="17">SUM(C40:D40)</f>
        <v>-4003.8999999999969</v>
      </c>
      <c r="F40" s="654">
        <f>'1'!F40+ROUND('14'!G40,1)+ROUND('14'!H40,1)</f>
        <v>13568.8</v>
      </c>
      <c r="G40" s="654">
        <f>'14'!F40</f>
        <v>12641.54818946557</v>
      </c>
      <c r="H40" s="654">
        <v>-4131.8656974856349</v>
      </c>
      <c r="I40" s="657">
        <f>SUM(F40:H40)-0.04</f>
        <v>22078.442491979935</v>
      </c>
      <c r="J40" s="657">
        <f>'3'!J40</f>
        <v>18074.5</v>
      </c>
      <c r="K40" s="967"/>
      <c r="L40" s="967"/>
      <c r="M40" s="967"/>
    </row>
    <row r="41" spans="1:13" s="306" customFormat="1" ht="15" customHeight="1">
      <c r="A41" s="405"/>
      <c r="B41" s="406" t="s">
        <v>418</v>
      </c>
      <c r="C41" s="654">
        <f>'1'!C41+'1'!D41-'1'!I41</f>
        <v>825.2</v>
      </c>
      <c r="D41" s="654">
        <f>'16'!J41</f>
        <v>-5295.5</v>
      </c>
      <c r="E41" s="657">
        <f t="shared" ref="E41" si="18">SUM(C41:D41)</f>
        <v>-4470.3</v>
      </c>
      <c r="F41" s="654">
        <f>'1'!F41+ROUND('14'!G41,1)+ROUND('14'!H41,1)</f>
        <v>13977.9</v>
      </c>
      <c r="G41" s="654">
        <f>'14'!F41</f>
        <v>12623.932835515896</v>
      </c>
      <c r="H41" s="654">
        <v>-4165.3412090925431</v>
      </c>
      <c r="I41" s="657">
        <f>SUM(F41:H41)-0.04</f>
        <v>22436.451626423353</v>
      </c>
      <c r="J41" s="657">
        <f>'3'!J41</f>
        <v>17966.199999999997</v>
      </c>
      <c r="K41" s="967"/>
      <c r="L41" s="967"/>
      <c r="M41" s="967"/>
    </row>
    <row r="42" spans="1:13" s="306" customFormat="1" ht="15" customHeight="1">
      <c r="A42" s="405"/>
      <c r="B42" s="406" t="s">
        <v>419</v>
      </c>
      <c r="C42" s="654">
        <f>'1'!C42+'1'!D42-'1'!I42</f>
        <v>912.2</v>
      </c>
      <c r="D42" s="654">
        <f>'16'!J42</f>
        <v>-5168</v>
      </c>
      <c r="E42" s="657">
        <f t="shared" ref="E42" si="19">SUM(C42:D42)</f>
        <v>-4255.8</v>
      </c>
      <c r="F42" s="654">
        <f>'1'!F42+ROUND('14'!G42,1)+ROUND('14'!H42,1)</f>
        <v>13906.599999999999</v>
      </c>
      <c r="G42" s="654">
        <f>'14'!F42</f>
        <v>12665.094098940786</v>
      </c>
      <c r="H42" s="654">
        <v>-4202.940778073229</v>
      </c>
      <c r="I42" s="657">
        <f>SUM(F42:H42)</f>
        <v>22368.753320867556</v>
      </c>
      <c r="J42" s="657">
        <f>'3'!J42</f>
        <v>18113</v>
      </c>
      <c r="K42" s="967"/>
      <c r="L42" s="967"/>
      <c r="M42" s="967"/>
    </row>
    <row r="43" spans="1:13" s="306" customFormat="1" ht="15" customHeight="1">
      <c r="A43" s="405"/>
      <c r="B43" s="406" t="s">
        <v>420</v>
      </c>
      <c r="C43" s="654">
        <f>'1'!C43+'1'!D43-'1'!I43</f>
        <v>1172.7</v>
      </c>
      <c r="D43" s="654">
        <f>'16'!J43</f>
        <v>-5215.1000000000022</v>
      </c>
      <c r="E43" s="657">
        <f t="shared" ref="E43" si="20">SUM(C43:D43)</f>
        <v>-4042.4000000000024</v>
      </c>
      <c r="F43" s="654">
        <f>'1'!F43+ROUND('14'!G43,1)+ROUND('14'!H43,1)</f>
        <v>14181.7</v>
      </c>
      <c r="G43" s="654">
        <f>'14'!F43</f>
        <v>12770.015288410359</v>
      </c>
      <c r="H43" s="654">
        <v>-5001.5173606803437</v>
      </c>
      <c r="I43" s="657">
        <f>SUM(F43:H43)</f>
        <v>21950.197927730016</v>
      </c>
      <c r="J43" s="657">
        <f>'3'!J43</f>
        <v>17907.8</v>
      </c>
      <c r="K43" s="967"/>
      <c r="L43" s="967"/>
      <c r="M43" s="967"/>
    </row>
    <row r="44" spans="1:13" s="5" customFormat="1" ht="20.25" customHeight="1">
      <c r="A44" s="215"/>
      <c r="B44" s="215"/>
      <c r="C44" s="631"/>
      <c r="D44" s="631"/>
      <c r="E44" s="631"/>
      <c r="F44" s="631"/>
      <c r="G44" s="631"/>
      <c r="H44" s="632"/>
      <c r="I44" s="631"/>
      <c r="J44" s="633"/>
    </row>
    <row r="45" spans="1:13">
      <c r="A45" s="13"/>
      <c r="B45" s="13"/>
      <c r="C45" s="577"/>
      <c r="D45" s="577"/>
      <c r="E45" s="577"/>
      <c r="F45" s="577"/>
      <c r="G45" s="577"/>
      <c r="H45" s="1981"/>
      <c r="I45" s="1981"/>
      <c r="J45" s="1981"/>
    </row>
    <row r="47" spans="1:13">
      <c r="A47" s="318" t="s">
        <v>509</v>
      </c>
      <c r="B47" s="1414"/>
      <c r="C47" s="11"/>
      <c r="D47" s="11"/>
      <c r="E47" s="11"/>
      <c r="F47" s="11"/>
      <c r="G47" s="11"/>
      <c r="H47" s="11"/>
      <c r="I47" s="11"/>
      <c r="J47" s="11"/>
    </row>
  </sheetData>
  <phoneticPr fontId="0" type="noConversion"/>
  <printOptions horizontalCentered="1" verticalCentered="1"/>
  <pageMargins left="0" right="0" top="0" bottom="0" header="0.511811023622047" footer="0.511811023622047"/>
  <pageSetup paperSize="9" scale="7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1"/>
  <sheetViews>
    <sheetView zoomScale="80" zoomScaleNormal="80" workbookViewId="0">
      <pane ySplit="12" topLeftCell="A33" activePane="bottomLeft" state="frozen"/>
      <selection activeCell="B2" sqref="B2"/>
      <selection pane="bottomLeft" activeCell="G45" sqref="G45"/>
    </sheetView>
  </sheetViews>
  <sheetFormatPr defaultColWidth="7.77734375" defaultRowHeight="15"/>
  <cols>
    <col min="1" max="2" width="9.21875" style="8" customWidth="1"/>
    <col min="3" max="11" width="16.77734375" style="8" customWidth="1"/>
    <col min="12" max="16384" width="7.77734375" style="8"/>
  </cols>
  <sheetData>
    <row r="1" spans="1:13" s="26" customFormat="1" ht="17.399999999999999">
      <c r="A1" s="1974" t="s">
        <v>1783</v>
      </c>
      <c r="B1" s="1716"/>
      <c r="C1" s="1716"/>
      <c r="D1" s="1716"/>
      <c r="E1" s="1716"/>
      <c r="F1" s="1716"/>
      <c r="G1" s="1716"/>
      <c r="H1" s="1716"/>
      <c r="I1" s="1716"/>
      <c r="J1" s="1716"/>
      <c r="K1" s="1716"/>
    </row>
    <row r="2" spans="1:13" s="26" customFormat="1" ht="17.399999999999999">
      <c r="A2" s="1975" t="s">
        <v>510</v>
      </c>
      <c r="B2" s="1716"/>
      <c r="C2" s="1716"/>
      <c r="D2" s="1716"/>
      <c r="E2" s="1716"/>
      <c r="F2" s="1716"/>
      <c r="G2" s="1716"/>
      <c r="H2" s="1716"/>
      <c r="I2" s="1716"/>
      <c r="J2" s="1716"/>
      <c r="K2" s="1716"/>
    </row>
    <row r="3" spans="1:13" s="26" customFormat="1" ht="17.399999999999999">
      <c r="A3" s="1974" t="s">
        <v>12</v>
      </c>
      <c r="B3" s="1716"/>
      <c r="C3" s="1716"/>
      <c r="D3" s="1716"/>
      <c r="E3" s="1716"/>
      <c r="F3" s="1716"/>
      <c r="G3" s="1716"/>
      <c r="H3" s="1716"/>
      <c r="I3" s="1716"/>
      <c r="J3" s="1716"/>
      <c r="K3" s="1716"/>
    </row>
    <row r="4" spans="1:13" s="26" customFormat="1" ht="18" customHeight="1">
      <c r="A4" s="18" t="s">
        <v>369</v>
      </c>
      <c r="B4" s="10"/>
      <c r="C4" s="33"/>
      <c r="E4" s="33"/>
      <c r="F4" s="33"/>
      <c r="G4" s="33"/>
      <c r="H4" s="33"/>
      <c r="I4" s="33"/>
      <c r="J4" s="33"/>
      <c r="K4" s="36" t="s">
        <v>370</v>
      </c>
    </row>
    <row r="5" spans="1:13" s="34" customFormat="1" ht="15.6">
      <c r="A5" s="30"/>
      <c r="B5" s="113"/>
      <c r="C5" s="22"/>
      <c r="D5" s="113"/>
      <c r="E5" s="22" t="s">
        <v>13</v>
      </c>
      <c r="F5" s="114"/>
      <c r="G5" s="114"/>
      <c r="H5" s="114"/>
      <c r="I5" s="114"/>
      <c r="J5" s="114"/>
      <c r="K5" s="115"/>
    </row>
    <row r="6" spans="1:13" s="34" customFormat="1" ht="15.6">
      <c r="A6" s="31"/>
      <c r="B6" s="74"/>
      <c r="C6" s="22" t="s">
        <v>9</v>
      </c>
      <c r="D6" s="74"/>
      <c r="E6" s="66" t="s">
        <v>511</v>
      </c>
      <c r="F6" s="66"/>
      <c r="G6" s="66"/>
      <c r="H6" s="66"/>
      <c r="I6" s="66"/>
      <c r="J6" s="66"/>
      <c r="K6" s="98"/>
    </row>
    <row r="7" spans="1:13" s="34" customFormat="1" ht="15.6">
      <c r="A7" s="31"/>
      <c r="B7" s="74"/>
      <c r="C7" s="60" t="s">
        <v>254</v>
      </c>
      <c r="D7" s="74"/>
      <c r="E7" s="22" t="s">
        <v>512</v>
      </c>
      <c r="F7" s="60"/>
      <c r="G7" s="74"/>
      <c r="H7" s="22" t="s">
        <v>513</v>
      </c>
      <c r="I7" s="60"/>
      <c r="J7" s="60"/>
      <c r="K7" s="74"/>
    </row>
    <row r="8" spans="1:13" s="34" customFormat="1" ht="15.6">
      <c r="A8" s="24" t="s">
        <v>379</v>
      </c>
      <c r="B8" s="74"/>
      <c r="C8" s="116"/>
      <c r="D8" s="117"/>
      <c r="E8" s="66" t="s">
        <v>514</v>
      </c>
      <c r="F8" s="66"/>
      <c r="G8" s="98"/>
      <c r="H8" s="66" t="s">
        <v>515</v>
      </c>
      <c r="I8" s="66"/>
      <c r="J8" s="66"/>
      <c r="K8" s="98"/>
    </row>
    <row r="9" spans="1:13" s="34" customFormat="1" ht="15.6">
      <c r="A9" s="118" t="s">
        <v>387</v>
      </c>
      <c r="B9" s="74"/>
      <c r="C9" s="71"/>
      <c r="D9" s="71"/>
      <c r="E9" s="78" t="s">
        <v>493</v>
      </c>
      <c r="F9" s="95" t="s">
        <v>494</v>
      </c>
      <c r="G9" s="63"/>
      <c r="H9" s="105"/>
      <c r="I9" s="106"/>
      <c r="J9" s="63"/>
      <c r="K9" s="64"/>
    </row>
    <row r="10" spans="1:13" s="34" customFormat="1" ht="15.6">
      <c r="A10" s="31"/>
      <c r="B10" s="74"/>
      <c r="C10" s="79" t="s">
        <v>382</v>
      </c>
      <c r="D10" s="79" t="s">
        <v>516</v>
      </c>
      <c r="E10" s="78" t="s">
        <v>497</v>
      </c>
      <c r="F10" s="106" t="s">
        <v>498</v>
      </c>
      <c r="G10" s="95" t="s">
        <v>382</v>
      </c>
      <c r="H10" s="106" t="s">
        <v>390</v>
      </c>
      <c r="I10" s="106" t="s">
        <v>499</v>
      </c>
      <c r="J10" s="95" t="s">
        <v>517</v>
      </c>
      <c r="K10" s="79" t="s">
        <v>382</v>
      </c>
    </row>
    <row r="11" spans="1:13" s="34" customFormat="1" ht="15.6">
      <c r="A11" s="31"/>
      <c r="B11" s="74"/>
      <c r="C11" s="64" t="s">
        <v>392</v>
      </c>
      <c r="D11" s="64" t="s">
        <v>518</v>
      </c>
      <c r="E11" s="96" t="s">
        <v>501</v>
      </c>
      <c r="F11" s="84" t="s">
        <v>502</v>
      </c>
      <c r="G11" s="63" t="s">
        <v>392</v>
      </c>
      <c r="H11" s="64" t="s">
        <v>466</v>
      </c>
      <c r="I11" s="96" t="s">
        <v>506</v>
      </c>
      <c r="J11" s="63" t="s">
        <v>519</v>
      </c>
      <c r="K11" s="64" t="s">
        <v>392</v>
      </c>
    </row>
    <row r="12" spans="1:13" s="34" customFormat="1" ht="15.6">
      <c r="A12" s="32"/>
      <c r="B12" s="98"/>
      <c r="C12" s="117"/>
      <c r="D12" s="117"/>
      <c r="E12" s="93" t="s">
        <v>504</v>
      </c>
      <c r="F12" s="110" t="s">
        <v>405</v>
      </c>
      <c r="G12" s="49"/>
      <c r="H12" s="119" t="s">
        <v>505</v>
      </c>
      <c r="I12" s="49"/>
      <c r="J12" s="49"/>
      <c r="K12" s="93"/>
    </row>
    <row r="13" spans="1:13" s="321" customFormat="1" ht="20.25" customHeight="1">
      <c r="A13" s="547">
        <v>2016</v>
      </c>
      <c r="B13" s="548"/>
      <c r="C13" s="549">
        <v>12021.82690553366</v>
      </c>
      <c r="D13" s="550">
        <v>126.64528416905887</v>
      </c>
      <c r="E13" s="550">
        <v>-353.00000000000011</v>
      </c>
      <c r="F13" s="550">
        <v>-216.78653172736449</v>
      </c>
      <c r="G13" s="550">
        <v>-569.7865317273646</v>
      </c>
      <c r="H13" s="550">
        <v>1228.2125826084639</v>
      </c>
      <c r="I13" s="550">
        <v>128.15509331663247</v>
      </c>
      <c r="J13" s="550">
        <v>-659.95705889517421</v>
      </c>
      <c r="K13" s="550">
        <v>696.42061702992214</v>
      </c>
      <c r="L13" s="967"/>
      <c r="M13" s="967"/>
    </row>
    <row r="14" spans="1:13" s="408" customFormat="1" ht="14.25" customHeight="1">
      <c r="A14" s="356">
        <v>2017</v>
      </c>
      <c r="B14" s="551"/>
      <c r="C14" s="552">
        <v>12521.33834765356</v>
      </c>
      <c r="D14" s="546">
        <v>499.51144211989958</v>
      </c>
      <c r="E14" s="553">
        <v>64.700000000000045</v>
      </c>
      <c r="F14" s="553">
        <v>-333.19772738715869</v>
      </c>
      <c r="G14" s="553">
        <v>-268.49772738715865</v>
      </c>
      <c r="H14" s="553">
        <v>467.5510657972045</v>
      </c>
      <c r="I14" s="553">
        <v>214.63842358180955</v>
      </c>
      <c r="J14" s="553">
        <v>85.812921095759521</v>
      </c>
      <c r="K14" s="553">
        <v>768.00241047477539</v>
      </c>
      <c r="L14" s="967"/>
      <c r="M14" s="967"/>
    </row>
    <row r="15" spans="1:13" s="321" customFormat="1" ht="14.25" customHeight="1">
      <c r="A15" s="747">
        <v>2018</v>
      </c>
      <c r="B15" s="748"/>
      <c r="C15" s="1160">
        <v>12622.075757186307</v>
      </c>
      <c r="D15" s="546">
        <v>100.75740953274682</v>
      </c>
      <c r="E15" s="546">
        <v>-180.80000000000007</v>
      </c>
      <c r="F15" s="546">
        <v>-185.43058746782157</v>
      </c>
      <c r="G15" s="546">
        <v>-366.23058746782164</v>
      </c>
      <c r="H15" s="546">
        <v>-36.751160744059234</v>
      </c>
      <c r="I15" s="546">
        <v>890.32476565865909</v>
      </c>
      <c r="J15" s="546">
        <v>-386.53760634727269</v>
      </c>
      <c r="K15" s="546">
        <v>467.01599856732719</v>
      </c>
      <c r="L15" s="967"/>
      <c r="M15" s="967"/>
    </row>
    <row r="16" spans="1:13" s="321" customFormat="1" ht="14.25" customHeight="1">
      <c r="A16" s="747">
        <v>2019</v>
      </c>
      <c r="B16" s="748"/>
      <c r="C16" s="1160">
        <v>13671.88438483977</v>
      </c>
      <c r="D16" s="546">
        <v>1049.8086276534632</v>
      </c>
      <c r="E16" s="546">
        <v>576.29999999999995</v>
      </c>
      <c r="F16" s="546">
        <v>127.9396228808484</v>
      </c>
      <c r="G16" s="546">
        <v>704.2396228808484</v>
      </c>
      <c r="H16" s="546">
        <v>564.86383717037506</v>
      </c>
      <c r="I16" s="546">
        <v>106.26276357035204</v>
      </c>
      <c r="J16" s="546">
        <v>-325.572721890715</v>
      </c>
      <c r="K16" s="546">
        <v>345.55387885001073</v>
      </c>
      <c r="L16" s="967"/>
      <c r="M16" s="967"/>
    </row>
    <row r="17" spans="1:13" s="321" customFormat="1" ht="14.25" customHeight="1">
      <c r="A17" s="747">
        <v>2020</v>
      </c>
      <c r="B17" s="748"/>
      <c r="C17" s="1160">
        <v>14151.256808289852</v>
      </c>
      <c r="D17" s="546">
        <v>479.37242345008235</v>
      </c>
      <c r="E17" s="546">
        <v>-544.09999999999991</v>
      </c>
      <c r="F17" s="546">
        <v>-350.13941822498828</v>
      </c>
      <c r="G17" s="546">
        <v>-894.23941822498819</v>
      </c>
      <c r="H17" s="546">
        <v>1167.0362952039427</v>
      </c>
      <c r="I17" s="546">
        <v>677.53402676623227</v>
      </c>
      <c r="J17" s="546">
        <v>-470.94075845043017</v>
      </c>
      <c r="K17" s="546">
        <v>1373.6295635197457</v>
      </c>
      <c r="L17" s="967"/>
      <c r="M17" s="967"/>
    </row>
    <row r="18" spans="1:13" s="321" customFormat="1" ht="14.25" customHeight="1">
      <c r="A18" s="747">
        <v>2021</v>
      </c>
      <c r="B18" s="748"/>
      <c r="C18" s="1160">
        <v>14884.212361565633</v>
      </c>
      <c r="D18" s="546">
        <v>732.93555327578042</v>
      </c>
      <c r="E18" s="546">
        <v>736.59999999999991</v>
      </c>
      <c r="F18" s="546">
        <v>-164.85046200315628</v>
      </c>
      <c r="G18" s="546">
        <v>571.74953799684363</v>
      </c>
      <c r="H18" s="546">
        <v>287.71379619283107</v>
      </c>
      <c r="I18" s="546">
        <v>466.80814812766221</v>
      </c>
      <c r="J18" s="546">
        <v>-593.29008943033978</v>
      </c>
      <c r="K18" s="546">
        <v>161.23185489015123</v>
      </c>
      <c r="L18" s="967"/>
      <c r="M18" s="967"/>
    </row>
    <row r="19" spans="1:13" s="321" customFormat="1" ht="14.25" customHeight="1">
      <c r="A19" s="747">
        <v>2022</v>
      </c>
      <c r="B19" s="748"/>
      <c r="C19" s="1160">
        <v>15135.428446639962</v>
      </c>
      <c r="D19" s="546">
        <v>251.19999999999891</v>
      </c>
      <c r="E19" s="1100">
        <v>-67</v>
      </c>
      <c r="F19" s="546">
        <v>-1105.5</v>
      </c>
      <c r="G19" s="546">
        <v>-1172.5</v>
      </c>
      <c r="H19" s="546">
        <v>1115.5000000000009</v>
      </c>
      <c r="I19" s="546">
        <v>394.29999999999927</v>
      </c>
      <c r="J19" s="546">
        <v>-86.100000000000364</v>
      </c>
      <c r="K19" s="546">
        <v>1423.6999999999989</v>
      </c>
      <c r="L19" s="967"/>
      <c r="M19" s="967"/>
    </row>
    <row r="20" spans="1:13" s="321" customFormat="1" ht="14.25" customHeight="1">
      <c r="A20" s="747">
        <v>2023</v>
      </c>
      <c r="B20" s="748"/>
      <c r="C20" s="1160">
        <v>15966.291360589066</v>
      </c>
      <c r="D20" s="546">
        <v>830.89999999999964</v>
      </c>
      <c r="E20" s="546">
        <v>111.10000000000014</v>
      </c>
      <c r="F20" s="546">
        <v>-501.90000000000009</v>
      </c>
      <c r="G20" s="546">
        <v>-390.79999999999995</v>
      </c>
      <c r="H20" s="546">
        <v>748.69999999999891</v>
      </c>
      <c r="I20" s="546">
        <v>299.5</v>
      </c>
      <c r="J20" s="546">
        <v>173.5</v>
      </c>
      <c r="K20" s="546">
        <v>1221.7000000000007</v>
      </c>
      <c r="L20" s="967"/>
      <c r="M20" s="967"/>
    </row>
    <row r="21" spans="1:13" s="321" customFormat="1" ht="14.25" customHeight="1">
      <c r="A21" s="747">
        <v>2024</v>
      </c>
      <c r="B21" s="748"/>
      <c r="C21" s="1160">
        <v>16220.441938154301</v>
      </c>
      <c r="D21" s="546">
        <v>254.10000000000036</v>
      </c>
      <c r="E21" s="546">
        <v>-87.700000000000045</v>
      </c>
      <c r="F21" s="546">
        <v>-1122.2999999999997</v>
      </c>
      <c r="G21" s="546">
        <v>-1209.9999999999998</v>
      </c>
      <c r="H21" s="546">
        <v>1287.7000000000007</v>
      </c>
      <c r="I21" s="546">
        <v>92.100000000000364</v>
      </c>
      <c r="J21" s="546">
        <v>84.300000000000182</v>
      </c>
      <c r="K21" s="546">
        <v>1464.0999999999985</v>
      </c>
      <c r="L21" s="967"/>
      <c r="M21" s="967"/>
    </row>
    <row r="22" spans="1:13" s="321" customFormat="1" ht="14.25" customHeight="1">
      <c r="A22" s="906">
        <v>2025</v>
      </c>
      <c r="B22" s="997"/>
      <c r="C22" s="1083">
        <f>C28</f>
        <v>16548.5</v>
      </c>
      <c r="D22" s="771">
        <f t="shared" ref="D22" si="0">ROUND(C22,1)-ROUND(C21,1)</f>
        <v>328.10000000000036</v>
      </c>
      <c r="E22" s="771">
        <f>ROUND('4'!C22,1)-ROUND('4'!C21,1)</f>
        <v>247.40000000000009</v>
      </c>
      <c r="F22" s="771">
        <f>ROUND('4'!D22,1)-ROUND('4'!D21,1)</f>
        <v>-1647.8000000000002</v>
      </c>
      <c r="G22" s="771">
        <f>ROUND('4'!E22,1)-ROUND('4'!E21,1)</f>
        <v>-1400.4000000000005</v>
      </c>
      <c r="H22" s="771">
        <f>ROUND('4'!F22,1)-ROUND('4'!F21,1)</f>
        <v>1439.2999999999993</v>
      </c>
      <c r="I22" s="771">
        <f>ROUND('4'!G22,1)-ROUND('4'!G21,1)</f>
        <v>424.60000000000036</v>
      </c>
      <c r="J22" s="771">
        <f>ROUND('4'!H22,1)-ROUND('4'!H21,1)</f>
        <v>-135.39999999999964</v>
      </c>
      <c r="K22" s="771">
        <f>ROUND('4'!I22,1)-ROUND('4'!I21,1)</f>
        <v>1728.5</v>
      </c>
      <c r="L22" s="967"/>
      <c r="M22" s="967"/>
    </row>
    <row r="23" spans="1:13" s="321" customFormat="1" ht="21" customHeight="1">
      <c r="A23" s="747">
        <v>2024</v>
      </c>
      <c r="B23" s="748" t="s">
        <v>237</v>
      </c>
      <c r="C23" s="1160">
        <v>16626.187498621013</v>
      </c>
      <c r="D23" s="553">
        <v>610.10000000000036</v>
      </c>
      <c r="E23" s="782">
        <v>404.70000000000005</v>
      </c>
      <c r="F23" s="782">
        <v>117.39999999999964</v>
      </c>
      <c r="G23" s="553">
        <v>522.09999999999991</v>
      </c>
      <c r="H23" s="782">
        <v>319.80000000000109</v>
      </c>
      <c r="I23" s="782">
        <v>-110.09999999999854</v>
      </c>
      <c r="J23" s="782">
        <v>-121.70000000000073</v>
      </c>
      <c r="K23" s="553">
        <v>88</v>
      </c>
      <c r="L23" s="1207"/>
      <c r="M23" s="967"/>
    </row>
    <row r="24" spans="1:13" s="321" customFormat="1" ht="15" customHeight="1">
      <c r="A24" s="747"/>
      <c r="B24" s="748" t="s">
        <v>238</v>
      </c>
      <c r="C24" s="1160">
        <v>16220.441938154301</v>
      </c>
      <c r="D24" s="553">
        <v>-405.80000000000109</v>
      </c>
      <c r="E24" s="782">
        <v>-484.70000000000005</v>
      </c>
      <c r="F24" s="782">
        <v>-134.39999999999964</v>
      </c>
      <c r="G24" s="553">
        <v>-619.09999999999991</v>
      </c>
      <c r="H24" s="782">
        <v>-27.600000000000364</v>
      </c>
      <c r="I24" s="782">
        <v>-235.20000000000073</v>
      </c>
      <c r="J24" s="782">
        <v>476.10000000000036</v>
      </c>
      <c r="K24" s="553">
        <v>213.29999999999927</v>
      </c>
      <c r="L24" s="1207"/>
      <c r="M24" s="967"/>
    </row>
    <row r="25" spans="1:13" s="321" customFormat="1" ht="21" customHeight="1">
      <c r="A25" s="747">
        <v>2025</v>
      </c>
      <c r="B25" s="748" t="s">
        <v>239</v>
      </c>
      <c r="C25" s="1160">
        <v>16519.485029977339</v>
      </c>
      <c r="D25" s="553">
        <v>299.10000000000036</v>
      </c>
      <c r="E25" s="782">
        <v>-376.20000000000005</v>
      </c>
      <c r="F25" s="782">
        <v>-349</v>
      </c>
      <c r="G25" s="553">
        <v>-725.20000000000027</v>
      </c>
      <c r="H25" s="782">
        <v>1248.1999999999989</v>
      </c>
      <c r="I25" s="782">
        <v>312.39999999999964</v>
      </c>
      <c r="J25" s="782">
        <v>-536.30000000000018</v>
      </c>
      <c r="K25" s="553">
        <v>1024.3000000000029</v>
      </c>
      <c r="L25" s="1207"/>
      <c r="M25" s="967"/>
    </row>
    <row r="26" spans="1:13" s="321" customFormat="1" ht="15" customHeight="1">
      <c r="A26" s="747"/>
      <c r="B26" s="748" t="s">
        <v>240</v>
      </c>
      <c r="C26" s="1160">
        <v>16466.599999999999</v>
      </c>
      <c r="D26" s="553">
        <v>-52.900000000001455</v>
      </c>
      <c r="E26" s="782">
        <v>383.70000000000005</v>
      </c>
      <c r="F26" s="782">
        <v>-611.40000000000055</v>
      </c>
      <c r="G26" s="553">
        <v>-227.69999999999982</v>
      </c>
      <c r="H26" s="782">
        <v>119.10000000000036</v>
      </c>
      <c r="I26" s="782">
        <v>16.800000000001091</v>
      </c>
      <c r="J26" s="782">
        <v>38.900000000000546</v>
      </c>
      <c r="K26" s="553">
        <v>174.79999999999927</v>
      </c>
      <c r="L26" s="1207"/>
      <c r="M26" s="967"/>
    </row>
    <row r="27" spans="1:13" s="321" customFormat="1" ht="15" customHeight="1">
      <c r="A27" s="747"/>
      <c r="B27" s="748" t="s">
        <v>237</v>
      </c>
      <c r="C27" s="1160">
        <v>16237.1</v>
      </c>
      <c r="D27" s="553">
        <v>-229.49999999999818</v>
      </c>
      <c r="E27" s="782">
        <v>-211.59999999999991</v>
      </c>
      <c r="F27" s="782">
        <v>68.400000000000546</v>
      </c>
      <c r="G27" s="553">
        <v>-143.20000000000027</v>
      </c>
      <c r="H27" s="782">
        <v>270.39999999999964</v>
      </c>
      <c r="I27" s="782">
        <v>-155.30000000000109</v>
      </c>
      <c r="J27" s="782">
        <v>-201.40000000000055</v>
      </c>
      <c r="K27" s="553">
        <v>-86.299999999999272</v>
      </c>
      <c r="L27" s="1207"/>
      <c r="M27" s="967"/>
    </row>
    <row r="28" spans="1:13" s="321" customFormat="1" ht="15" customHeight="1">
      <c r="A28" s="747"/>
      <c r="B28" s="748" t="s">
        <v>238</v>
      </c>
      <c r="C28" s="1160">
        <f>C36</f>
        <v>16548.5</v>
      </c>
      <c r="D28" s="1216">
        <f>ROUND(C28,1)-ROUND(C27,1)</f>
        <v>311.39999999999964</v>
      </c>
      <c r="E28" s="782">
        <f>ROUND('4'!C28,1)-ROUND('4'!C27,1)</f>
        <v>451.5</v>
      </c>
      <c r="F28" s="782">
        <f>ROUND('4'!D28,1)-ROUND('4'!D27,1)</f>
        <v>-755.80000000000018</v>
      </c>
      <c r="G28" s="553">
        <f>ROUND('4'!E28,1)-ROUND('4'!E27,1)</f>
        <v>-304.30000000000018</v>
      </c>
      <c r="H28" s="782">
        <f>ROUND('4'!F28,1)-ROUND('4'!F27,1)</f>
        <v>-198.39999999999964</v>
      </c>
      <c r="I28" s="782">
        <f>ROUND('4'!G28,1)-ROUND('4'!G27,1)</f>
        <v>250.70000000000073</v>
      </c>
      <c r="J28" s="782">
        <f>ROUND('4'!H28,1)-ROUND('4'!H27,1)</f>
        <v>563.40000000000055</v>
      </c>
      <c r="K28" s="553">
        <f>ROUND('4'!I28,1)-ROUND('4'!I27,1)</f>
        <v>615.69999999999709</v>
      </c>
      <c r="L28" s="1207"/>
      <c r="M28" s="967"/>
    </row>
    <row r="29" spans="1:13" s="321" customFormat="1" ht="21" customHeight="1">
      <c r="A29" s="747">
        <v>2026</v>
      </c>
      <c r="B29" s="748" t="s">
        <v>239</v>
      </c>
      <c r="C29" s="1160">
        <f>C39</f>
        <v>17338.900000000001</v>
      </c>
      <c r="D29" s="1216">
        <f>ROUND(C29,1)-ROUND(C28,1)</f>
        <v>790.40000000000146</v>
      </c>
      <c r="E29" s="782">
        <f>ROUND('4'!C29,1)-ROUND('4'!C28,1)</f>
        <v>531.69999999999982</v>
      </c>
      <c r="F29" s="782">
        <f>ROUND('4'!D29,1)-ROUND('4'!D28,1)</f>
        <v>-633.39999999999964</v>
      </c>
      <c r="G29" s="553">
        <f>ROUND('4'!E29,1)-ROUND('4'!E28,1)</f>
        <v>-101.69999999999982</v>
      </c>
      <c r="H29" s="782">
        <f>ROUND('4'!F29,1)-ROUND('4'!F28,1)</f>
        <v>645</v>
      </c>
      <c r="I29" s="782">
        <f>ROUND('4'!G29,1)-ROUND('4'!G28,1)</f>
        <v>111.10000000000036</v>
      </c>
      <c r="J29" s="782">
        <f>ROUND('4'!H29,1)-ROUND('4'!H28,1)</f>
        <v>136</v>
      </c>
      <c r="K29" s="553">
        <f>ROUND('4'!I29,1)-ROUND('4'!I28,1)</f>
        <v>892.10000000000218</v>
      </c>
      <c r="L29" s="1207"/>
      <c r="M29" s="967"/>
    </row>
    <row r="30" spans="1:13" s="321" customFormat="1" ht="15" customHeight="1">
      <c r="A30" s="906"/>
      <c r="B30" s="997" t="s">
        <v>240</v>
      </c>
      <c r="C30" s="1083">
        <f>C42</f>
        <v>18113</v>
      </c>
      <c r="D30" s="1217">
        <f>ROUND(C30,1)-ROUND(C29,1)</f>
        <v>774.09999999999854</v>
      </c>
      <c r="E30" s="1218">
        <f>ROUND('4'!C30,1)-ROUND('4'!C29,1)</f>
        <v>-1294.3999999999999</v>
      </c>
      <c r="F30" s="1218">
        <f>ROUND('4'!D30,1)-ROUND('4'!D29,1)</f>
        <v>1336.8999999999996</v>
      </c>
      <c r="G30" s="1219">
        <f>ROUND('4'!E30,1)-ROUND('4'!E29,1)</f>
        <v>42.5</v>
      </c>
      <c r="H30" s="1218">
        <f>ROUND('4'!F30,1)-ROUND('4'!F29,1)</f>
        <v>593.20000000000073</v>
      </c>
      <c r="I30" s="1218">
        <f>ROUND('4'!G30,1)-ROUND('4'!G29,1)</f>
        <v>232.39999999999964</v>
      </c>
      <c r="J30" s="1218">
        <f>ROUND('4'!H30,1)-ROUND('4'!H29,1)</f>
        <v>-94</v>
      </c>
      <c r="K30" s="1219">
        <f>ROUND('4'!I30,1)-ROUND('4'!I29,1)</f>
        <v>731.59999999999854</v>
      </c>
      <c r="L30" s="1207"/>
      <c r="M30" s="967"/>
    </row>
    <row r="31" spans="1:13" s="306" customFormat="1" ht="21" customHeight="1">
      <c r="A31" s="405">
        <v>2025</v>
      </c>
      <c r="B31" s="497" t="s">
        <v>420</v>
      </c>
      <c r="C31" s="552">
        <f>'3'!J31</f>
        <v>16191.8</v>
      </c>
      <c r="D31" s="553">
        <v>-274.79999999999927</v>
      </c>
      <c r="E31" s="782">
        <v>172.70000000000005</v>
      </c>
      <c r="F31" s="782">
        <v>-69.199999999999818</v>
      </c>
      <c r="G31" s="553">
        <v>103.5</v>
      </c>
      <c r="H31" s="782">
        <v>-355.60000000000036</v>
      </c>
      <c r="I31" s="782">
        <v>-55.600000000000364</v>
      </c>
      <c r="J31" s="782">
        <v>32.899999999999636</v>
      </c>
      <c r="K31" s="553">
        <v>-378.29999999999927</v>
      </c>
      <c r="L31" s="967"/>
      <c r="M31" s="967"/>
    </row>
    <row r="32" spans="1:13" s="306" customFormat="1" ht="16.5" customHeight="1">
      <c r="A32" s="405"/>
      <c r="B32" s="497" t="s">
        <v>421</v>
      </c>
      <c r="C32" s="552">
        <f>'3'!J32</f>
        <v>16340</v>
      </c>
      <c r="D32" s="553">
        <f t="shared" ref="D32" si="1">ROUND(C32,1)-ROUND(C31,1)</f>
        <v>148.20000000000073</v>
      </c>
      <c r="E32" s="782">
        <f>ROUND('4'!C32,1)-ROUND('4'!C31,1)</f>
        <v>-270.70000000000005</v>
      </c>
      <c r="F32" s="782">
        <f>ROUND('4'!D32,1)-ROUND('4'!D31,1)</f>
        <v>200.5</v>
      </c>
      <c r="G32" s="553">
        <f>ROUND('4'!E32,1)-ROUND('4'!E31,1)</f>
        <v>-70.200000000000273</v>
      </c>
      <c r="H32" s="782">
        <f>ROUND('4'!F32,1)-ROUND('4'!F31,1)</f>
        <v>486.70000000000073</v>
      </c>
      <c r="I32" s="782">
        <f>ROUND('4'!G32,1)-ROUND('4'!G31,1)</f>
        <v>-68.300000000001091</v>
      </c>
      <c r="J32" s="782">
        <f>ROUND('4'!H32,1)-ROUND('4'!H31,1)</f>
        <v>-200</v>
      </c>
      <c r="K32" s="553">
        <f>ROUND('4'!I32,1)-ROUND('4'!I31,1)</f>
        <v>218.39999999999782</v>
      </c>
      <c r="L32" s="967"/>
      <c r="M32" s="967"/>
    </row>
    <row r="33" spans="1:13" s="306" customFormat="1" ht="16.5" customHeight="1">
      <c r="A33" s="405"/>
      <c r="B33" s="497" t="s">
        <v>422</v>
      </c>
      <c r="C33" s="552">
        <f>'3'!J33</f>
        <v>16237.1</v>
      </c>
      <c r="D33" s="553">
        <f t="shared" ref="D33" si="2">ROUND(C33,1)-ROUND(C32,1)</f>
        <v>-102.89999999999964</v>
      </c>
      <c r="E33" s="782">
        <f>ROUND('4'!C33,1)-ROUND('4'!C32,1)</f>
        <v>-113.59999999999991</v>
      </c>
      <c r="F33" s="782">
        <f>ROUND('4'!D33,1)-ROUND('4'!D32,1)</f>
        <v>-62.899999999999636</v>
      </c>
      <c r="G33" s="553">
        <f>ROUND('4'!E33,1)-ROUND('4'!E32,1)</f>
        <v>-176.5</v>
      </c>
      <c r="H33" s="782">
        <f>ROUND('4'!F33,1)-ROUND('4'!F32,1)</f>
        <v>139.29999999999927</v>
      </c>
      <c r="I33" s="782">
        <f>ROUND('4'!G33,1)-ROUND('4'!G32,1)</f>
        <v>-31.399999999999636</v>
      </c>
      <c r="J33" s="782">
        <f>ROUND('4'!H33,1)-ROUND('4'!H32,1)</f>
        <v>-34.300000000000182</v>
      </c>
      <c r="K33" s="553">
        <f>ROUND('4'!I33,1)-ROUND('4'!I32,1)</f>
        <v>73.600000000002183</v>
      </c>
      <c r="L33" s="967"/>
      <c r="M33" s="967"/>
    </row>
    <row r="34" spans="1:13" s="306" customFormat="1" ht="16.5" customHeight="1">
      <c r="A34" s="405"/>
      <c r="B34" s="497" t="s">
        <v>411</v>
      </c>
      <c r="C34" s="552">
        <f>'3'!J34</f>
        <v>16017.199999999999</v>
      </c>
      <c r="D34" s="553">
        <f t="shared" ref="D34" si="3">ROUND(C34,1)-ROUND(C33,1)</f>
        <v>-219.89999999999964</v>
      </c>
      <c r="E34" s="782">
        <f>ROUND('4'!C34,1)-ROUND('4'!C33,1)</f>
        <v>367.69999999999982</v>
      </c>
      <c r="F34" s="782">
        <f>ROUND('4'!D34,1)-ROUND('4'!D33,1)</f>
        <v>-709</v>
      </c>
      <c r="G34" s="553">
        <f>ROUND('4'!E34,1)-ROUND('4'!E33,1)</f>
        <v>-341.30000000000018</v>
      </c>
      <c r="H34" s="782">
        <f>ROUND('4'!F34,1)-ROUND('4'!F33,1)</f>
        <v>-529.09999999999854</v>
      </c>
      <c r="I34" s="782">
        <f>ROUND('4'!G34,1)-ROUND('4'!G33,1)</f>
        <v>114.80000000000109</v>
      </c>
      <c r="J34" s="782">
        <f>ROUND('4'!H34,1)-ROUND('4'!H33,1)</f>
        <v>535.69999999999982</v>
      </c>
      <c r="K34" s="553">
        <f>ROUND('4'!I34,1)-ROUND('4'!I33,1)</f>
        <v>121.39999999999782</v>
      </c>
      <c r="L34" s="967"/>
      <c r="M34" s="967"/>
    </row>
    <row r="35" spans="1:13" s="306" customFormat="1" ht="16.5" customHeight="1">
      <c r="A35" s="405"/>
      <c r="B35" s="497" t="s">
        <v>412</v>
      </c>
      <c r="C35" s="552">
        <f>'3'!J35</f>
        <v>16219.3</v>
      </c>
      <c r="D35" s="553">
        <f t="shared" ref="D35" si="4">ROUND(C35,1)-ROUND(C34,1)</f>
        <v>202.09999999999854</v>
      </c>
      <c r="E35" s="782">
        <f>ROUND('4'!C35,1)-ROUND('4'!C34,1)</f>
        <v>-224.39999999999986</v>
      </c>
      <c r="F35" s="782">
        <f>ROUND('4'!D35,1)-ROUND('4'!D34,1)</f>
        <v>103.80000000000018</v>
      </c>
      <c r="G35" s="553">
        <f>ROUND('4'!E35,1)-ROUND('4'!E34,1)</f>
        <v>-120.59999999999945</v>
      </c>
      <c r="H35" s="782">
        <f>ROUND('4'!F35,1)-ROUND('4'!F34,1)</f>
        <v>371.09999999999854</v>
      </c>
      <c r="I35" s="782">
        <f>ROUND('4'!G35,1)-ROUND('4'!G34,1)</f>
        <v>-10.800000000001091</v>
      </c>
      <c r="J35" s="782">
        <f>ROUND('4'!H35,1)-ROUND('4'!H34,1)</f>
        <v>-37.599999999999454</v>
      </c>
      <c r="K35" s="553">
        <f>ROUND('4'!I35,1)-ROUND('4'!I34,1)</f>
        <v>322.70000000000073</v>
      </c>
      <c r="L35" s="967"/>
      <c r="M35" s="967"/>
    </row>
    <row r="36" spans="1:13" s="306" customFormat="1" ht="16.5" customHeight="1">
      <c r="A36" s="405"/>
      <c r="B36" s="497" t="s">
        <v>413</v>
      </c>
      <c r="C36" s="552">
        <f>'3'!J36</f>
        <v>16548.5</v>
      </c>
      <c r="D36" s="553">
        <f t="shared" ref="D36" si="5">ROUND(C36,1)-ROUND(C35,1)</f>
        <v>329.20000000000073</v>
      </c>
      <c r="E36" s="782">
        <f>ROUND('4'!C36,1)-ROUND('4'!C35,1)</f>
        <v>308.20000000000005</v>
      </c>
      <c r="F36" s="782">
        <f>ROUND('4'!D36,1)-ROUND('4'!D35,1)</f>
        <v>-150.60000000000036</v>
      </c>
      <c r="G36" s="553">
        <f>ROUND('4'!E36,1)-ROUND('4'!E35,1)</f>
        <v>157.59999999999945</v>
      </c>
      <c r="H36" s="782">
        <f>ROUND('4'!F36,1)-ROUND('4'!F35,1)</f>
        <v>-40.399999999999636</v>
      </c>
      <c r="I36" s="782">
        <f>ROUND('4'!G36,1)-ROUND('4'!G35,1)</f>
        <v>146.70000000000073</v>
      </c>
      <c r="J36" s="782">
        <f>ROUND('4'!H36,1)-ROUND('4'!H35,1)</f>
        <v>65.300000000000182</v>
      </c>
      <c r="K36" s="553">
        <f>ROUND('4'!I36,1)-ROUND('4'!I35,1)</f>
        <v>171.59999999999854</v>
      </c>
      <c r="L36" s="967"/>
      <c r="M36" s="967"/>
    </row>
    <row r="37" spans="1:13" s="306" customFormat="1" ht="21" customHeight="1">
      <c r="A37" s="405">
        <v>2026</v>
      </c>
      <c r="B37" s="497" t="s">
        <v>414</v>
      </c>
      <c r="C37" s="552">
        <f>'3'!J37</f>
        <v>16679.600000000002</v>
      </c>
      <c r="D37" s="553">
        <f t="shared" ref="D37" si="6">ROUND(C37,1)-ROUND(C36,1)</f>
        <v>131.09999999999854</v>
      </c>
      <c r="E37" s="782">
        <f>ROUND('4'!C37,1)-ROUND('4'!C36,1)</f>
        <v>-316.30000000000018</v>
      </c>
      <c r="F37" s="782">
        <f>ROUND('4'!D37,1)-ROUND('4'!D36,1)</f>
        <v>179.69999999999982</v>
      </c>
      <c r="G37" s="553">
        <f>ROUND('4'!E37,1)-ROUND('4'!E36,1)</f>
        <v>-136.59999999999945</v>
      </c>
      <c r="H37" s="782">
        <f>ROUND('4'!F37,1)-ROUND('4'!F36,1)</f>
        <v>666.20000000000073</v>
      </c>
      <c r="I37" s="782">
        <f>ROUND('4'!G37,1)-ROUND('4'!G36,1)</f>
        <v>-121.5</v>
      </c>
      <c r="J37" s="782">
        <f>ROUND('4'!H37,1)-ROUND('4'!H36,1)</f>
        <v>-277</v>
      </c>
      <c r="K37" s="553">
        <f>ROUND('4'!I37,1)-ROUND('4'!I36,1)</f>
        <v>267.70000000000073</v>
      </c>
      <c r="L37" s="967"/>
      <c r="M37" s="967"/>
    </row>
    <row r="38" spans="1:13" s="306" customFormat="1" ht="16.5" customHeight="1">
      <c r="A38" s="405"/>
      <c r="B38" s="497" t="s">
        <v>415</v>
      </c>
      <c r="C38" s="552">
        <f>'3'!J38</f>
        <v>17010.3</v>
      </c>
      <c r="D38" s="553">
        <f t="shared" ref="D38" si="7">ROUND(C38,1)-ROUND(C37,1)</f>
        <v>330.70000000000073</v>
      </c>
      <c r="E38" s="782">
        <f>ROUND('4'!C38,1)-ROUND('4'!C37,1)</f>
        <v>711.90000000000009</v>
      </c>
      <c r="F38" s="782">
        <f>ROUND('4'!D38,1)-ROUND('4'!D37,1)</f>
        <v>105.69999999999982</v>
      </c>
      <c r="G38" s="553">
        <f>ROUND('4'!E38,1)-ROUND('4'!E37,1)</f>
        <v>817.59999999999991</v>
      </c>
      <c r="H38" s="782">
        <f>ROUND('4'!F38,1)-ROUND('4'!F37,1)</f>
        <v>-256.39999999999964</v>
      </c>
      <c r="I38" s="782">
        <f>ROUND('4'!G38,1)-ROUND('4'!G37,1)</f>
        <v>9.2999999999992724</v>
      </c>
      <c r="J38" s="782">
        <f>ROUND('4'!H38,1)-ROUND('4'!H37,1)</f>
        <v>-239.80000000000018</v>
      </c>
      <c r="K38" s="553">
        <f>ROUND('4'!I38,1)-ROUND('4'!I37,1)</f>
        <v>-486.89999999999782</v>
      </c>
      <c r="L38" s="967"/>
      <c r="M38" s="967"/>
    </row>
    <row r="39" spans="1:13" s="306" customFormat="1" ht="16.5" customHeight="1">
      <c r="A39" s="405"/>
      <c r="B39" s="497" t="s">
        <v>416</v>
      </c>
      <c r="C39" s="552">
        <f>'3'!J39</f>
        <v>17338.900000000001</v>
      </c>
      <c r="D39" s="553">
        <f t="shared" ref="D39" si="8">ROUND(C39,1)-ROUND(C38,1)</f>
        <v>328.60000000000218</v>
      </c>
      <c r="E39" s="782">
        <f>ROUND('4'!C39,1)-ROUND('4'!C38,1)</f>
        <v>136.09999999999991</v>
      </c>
      <c r="F39" s="782">
        <f>ROUND('4'!D39,1)-ROUND('4'!D38,1)</f>
        <v>-918.79999999999927</v>
      </c>
      <c r="G39" s="553">
        <f>ROUND('4'!E39,1)-ROUND('4'!E38,1)</f>
        <v>-782.70000000000027</v>
      </c>
      <c r="H39" s="782">
        <f>ROUND('4'!F39,1)-ROUND('4'!F38,1)</f>
        <v>235.19999999999891</v>
      </c>
      <c r="I39" s="782">
        <f>ROUND('4'!G39,1)-ROUND('4'!G38,1)</f>
        <v>223.30000000000109</v>
      </c>
      <c r="J39" s="782">
        <f>ROUND('4'!H39,1)-ROUND('4'!H38,1)</f>
        <v>652.80000000000018</v>
      </c>
      <c r="K39" s="553">
        <f>ROUND('4'!I39,1)-ROUND('4'!I38,1)</f>
        <v>1111.2999999999993</v>
      </c>
      <c r="L39" s="967"/>
      <c r="M39" s="967"/>
    </row>
    <row r="40" spans="1:13" s="306" customFormat="1" ht="16.5" customHeight="1">
      <c r="A40" s="405"/>
      <c r="B40" s="497" t="s">
        <v>417</v>
      </c>
      <c r="C40" s="552">
        <f>'3'!J40</f>
        <v>18074.5</v>
      </c>
      <c r="D40" s="553">
        <f t="shared" ref="D40" si="9">ROUND(C40,1)-ROUND(C39,1)</f>
        <v>735.59999999999854</v>
      </c>
      <c r="E40" s="782">
        <f>ROUND('4'!C40,1)-ROUND('4'!C39,1)</f>
        <v>-639.29999999999995</v>
      </c>
      <c r="F40" s="782">
        <f>ROUND('4'!D40,1)-ROUND('4'!D39,1)</f>
        <v>933.69999999999982</v>
      </c>
      <c r="G40" s="553">
        <f>ROUND('4'!E40,1)-ROUND('4'!E39,1)</f>
        <v>294.40000000000009</v>
      </c>
      <c r="H40" s="782">
        <f>ROUND('4'!F40,1)-ROUND('4'!F39,1)</f>
        <v>255.39999999999964</v>
      </c>
      <c r="I40" s="782">
        <f>ROUND('4'!G40,1)-ROUND('4'!G39,1)</f>
        <v>208.79999999999927</v>
      </c>
      <c r="J40" s="782">
        <f>ROUND('4'!H40,1)-ROUND('4'!H39,1)</f>
        <v>-23</v>
      </c>
      <c r="K40" s="553">
        <f>ROUND('4'!I40,1)-ROUND('4'!I39,1)</f>
        <v>441.20000000000073</v>
      </c>
      <c r="L40" s="967"/>
      <c r="M40" s="967"/>
    </row>
    <row r="41" spans="1:13" s="306" customFormat="1" ht="16.5" customHeight="1">
      <c r="A41" s="405"/>
      <c r="B41" s="497" t="s">
        <v>418</v>
      </c>
      <c r="C41" s="552">
        <f>'3'!J41</f>
        <v>17966.199999999997</v>
      </c>
      <c r="D41" s="553">
        <f t="shared" ref="D41" si="10">ROUND(C41,1)-ROUND(C40,1)</f>
        <v>-108.29999999999927</v>
      </c>
      <c r="E41" s="782">
        <f>ROUND('4'!C41,1)-ROUND('4'!C40,1)</f>
        <v>-742.09999999999991</v>
      </c>
      <c r="F41" s="782">
        <f>ROUND('4'!D41,1)-ROUND('4'!D40,1)</f>
        <v>275.69999999999982</v>
      </c>
      <c r="G41" s="553">
        <f>ROUND('4'!E41,1)-ROUND('4'!E40,1)</f>
        <v>-466.40000000000009</v>
      </c>
      <c r="H41" s="782">
        <f>ROUND('4'!F41,1)-ROUND('4'!F40,1)</f>
        <v>409.10000000000036</v>
      </c>
      <c r="I41" s="782">
        <f>ROUND('4'!G41,1)-ROUND('4'!G40,1)</f>
        <v>-17.600000000000364</v>
      </c>
      <c r="J41" s="782">
        <f>ROUND('4'!H41,1)-ROUND('4'!H40,1)</f>
        <v>-33.400000000000546</v>
      </c>
      <c r="K41" s="553">
        <f>ROUND('4'!I41,1)-ROUND('4'!I40,1)</f>
        <v>358.09999999999854</v>
      </c>
      <c r="L41" s="967"/>
      <c r="M41" s="967"/>
    </row>
    <row r="42" spans="1:13" s="306" customFormat="1" ht="16.5" customHeight="1">
      <c r="A42" s="405"/>
      <c r="B42" s="497" t="s">
        <v>419</v>
      </c>
      <c r="C42" s="552">
        <f>'3'!J42</f>
        <v>18113</v>
      </c>
      <c r="D42" s="553">
        <f t="shared" ref="D42" si="11">ROUND(C42,1)-ROUND(C41,1)</f>
        <v>146.79999999999927</v>
      </c>
      <c r="E42" s="782">
        <f>ROUND('4'!C42,1)-ROUND('4'!C41,1)</f>
        <v>87</v>
      </c>
      <c r="F42" s="782">
        <f>ROUND('4'!D42,1)-ROUND('4'!D41,1)</f>
        <v>127.5</v>
      </c>
      <c r="G42" s="553">
        <f>ROUND('4'!E42,1)-ROUND('4'!E41,1)</f>
        <v>214.5</v>
      </c>
      <c r="H42" s="782">
        <f>ROUND('4'!F42,1)-ROUND('4'!F41,1)</f>
        <v>-71.299999999999272</v>
      </c>
      <c r="I42" s="782">
        <f>ROUND('4'!G42,1)-ROUND('4'!G41,1)</f>
        <v>41.200000000000728</v>
      </c>
      <c r="J42" s="782">
        <f>ROUND('4'!H42,1)-ROUND('4'!H41,1)</f>
        <v>-37.599999999999454</v>
      </c>
      <c r="K42" s="553">
        <f>ROUND('4'!I42,1)-ROUND('4'!I41,1)</f>
        <v>-67.700000000000728</v>
      </c>
      <c r="L42" s="967"/>
      <c r="M42" s="967"/>
    </row>
    <row r="43" spans="1:13" s="306" customFormat="1" ht="16.5" customHeight="1">
      <c r="A43" s="405"/>
      <c r="B43" s="497" t="s">
        <v>420</v>
      </c>
      <c r="C43" s="552">
        <f>'3'!J43</f>
        <v>17907.8</v>
      </c>
      <c r="D43" s="553">
        <f t="shared" ref="D43" si="12">ROUND(C43,1)-ROUND(C42,1)</f>
        <v>-205.20000000000073</v>
      </c>
      <c r="E43" s="782">
        <f>ROUND('4'!C43,1)-ROUND('4'!C42,1)</f>
        <v>260.5</v>
      </c>
      <c r="F43" s="782">
        <f>ROUND('4'!D43,1)-ROUND('4'!D42,1)</f>
        <v>-47.100000000000364</v>
      </c>
      <c r="G43" s="553">
        <f>ROUND('4'!E43,1)-ROUND('4'!E42,1)</f>
        <v>213.40000000000009</v>
      </c>
      <c r="H43" s="782">
        <f>ROUND('4'!F43,1)-ROUND('4'!F42,1)</f>
        <v>275.10000000000036</v>
      </c>
      <c r="I43" s="782">
        <f>ROUND('4'!G43,1)-ROUND('4'!G42,1)</f>
        <v>104.89999999999964</v>
      </c>
      <c r="J43" s="782">
        <f>ROUND('4'!H43,1)-ROUND('4'!H42,1)</f>
        <v>-798.60000000000036</v>
      </c>
      <c r="K43" s="553">
        <f>ROUND('4'!I43,1)-ROUND('4'!I42,1)</f>
        <v>-418.59999999999854</v>
      </c>
      <c r="L43" s="967"/>
      <c r="M43" s="967"/>
    </row>
    <row r="44" spans="1:13">
      <c r="A44" s="354"/>
      <c r="B44" s="354"/>
      <c r="C44" s="354"/>
      <c r="D44" s="354"/>
      <c r="E44" s="354"/>
      <c r="F44" s="354"/>
      <c r="G44" s="354"/>
      <c r="H44" s="354"/>
      <c r="I44" s="354"/>
      <c r="J44" s="354"/>
      <c r="K44" s="354"/>
    </row>
    <row r="45" spans="1:13">
      <c r="A45" s="25"/>
      <c r="B45" s="248"/>
      <c r="C45" s="581"/>
      <c r="D45" s="581"/>
      <c r="E45" s="581"/>
      <c r="F45" s="581"/>
      <c r="G45" s="581"/>
      <c r="H45" s="581"/>
      <c r="I45" s="581"/>
      <c r="J45" s="582"/>
      <c r="K45" s="582"/>
    </row>
    <row r="46" spans="1:13" s="38" customFormat="1" ht="13.8">
      <c r="A46" s="316" t="s">
        <v>520</v>
      </c>
      <c r="B46" s="317"/>
      <c r="C46" s="317"/>
      <c r="D46" s="317"/>
      <c r="E46" s="317"/>
      <c r="F46" s="317"/>
      <c r="G46" s="317"/>
      <c r="H46" s="317"/>
      <c r="I46" s="317"/>
      <c r="J46" s="317"/>
      <c r="K46" s="317"/>
    </row>
    <row r="48" spans="1:13">
      <c r="E48" s="581"/>
      <c r="F48" s="581"/>
      <c r="G48" s="581"/>
      <c r="H48" s="581"/>
      <c r="I48" s="581"/>
      <c r="J48" s="581"/>
      <c r="K48" s="581"/>
    </row>
    <row r="49" spans="2:11">
      <c r="E49" s="581"/>
      <c r="F49" s="581"/>
      <c r="G49" s="581"/>
      <c r="H49" s="581"/>
      <c r="I49" s="581"/>
      <c r="J49" s="581"/>
      <c r="K49" s="581"/>
    </row>
    <row r="51" spans="2:11">
      <c r="B51" s="581"/>
      <c r="C51" s="581"/>
      <c r="E51" s="581"/>
      <c r="F51" s="581"/>
      <c r="G51" s="581"/>
      <c r="H51" s="581"/>
      <c r="I51" s="581"/>
      <c r="J51" s="581"/>
      <c r="K51" s="581"/>
    </row>
  </sheetData>
  <phoneticPr fontId="0" type="noConversion"/>
  <printOptions horizontalCentered="1" verticalCentered="1"/>
  <pageMargins left="0" right="0" top="0" bottom="0" header="0.51181102362204722" footer="0.51181102362204722"/>
  <pageSetup paperSize="9"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N48"/>
  <sheetViews>
    <sheetView zoomScale="90" zoomScaleNormal="90" workbookViewId="0">
      <pane ySplit="12" topLeftCell="A39" activePane="bottomLeft" state="frozen"/>
      <selection activeCell="B2" sqref="B2"/>
      <selection pane="bottomLeft" activeCell="B2" sqref="B2"/>
    </sheetView>
  </sheetViews>
  <sheetFormatPr defaultColWidth="9.21875" defaultRowHeight="15"/>
  <cols>
    <col min="1" max="2" width="9.77734375" style="148" customWidth="1"/>
    <col min="3" max="12" width="14.77734375" style="148" customWidth="1"/>
    <col min="13" max="16384" width="9.21875" style="148"/>
  </cols>
  <sheetData>
    <row r="1" spans="1:14" ht="17.399999999999999">
      <c r="A1" s="277" t="s">
        <v>1782</v>
      </c>
      <c r="B1" s="387"/>
      <c r="C1" s="387"/>
      <c r="D1" s="387"/>
      <c r="E1" s="387"/>
      <c r="F1" s="387"/>
      <c r="G1" s="387"/>
      <c r="H1" s="387"/>
      <c r="I1" s="387"/>
      <c r="J1" s="387"/>
      <c r="K1" s="387"/>
      <c r="L1" s="387"/>
    </row>
    <row r="2" spans="1:14" ht="17.399999999999999">
      <c r="A2" s="1660" t="s">
        <v>521</v>
      </c>
      <c r="B2" s="387"/>
      <c r="C2" s="387"/>
      <c r="D2" s="387"/>
      <c r="E2" s="387"/>
      <c r="F2" s="387"/>
      <c r="G2" s="387"/>
      <c r="H2" s="387"/>
      <c r="I2" s="387"/>
      <c r="J2" s="387"/>
      <c r="K2" s="387"/>
      <c r="L2" s="387"/>
    </row>
    <row r="3" spans="1:14" ht="17.399999999999999">
      <c r="A3" s="277" t="s">
        <v>342</v>
      </c>
      <c r="B3" s="387"/>
      <c r="C3" s="387"/>
      <c r="D3" s="387"/>
      <c r="E3" s="387"/>
      <c r="F3" s="387"/>
      <c r="G3" s="387"/>
      <c r="H3" s="387"/>
      <c r="I3" s="387"/>
      <c r="J3" s="387"/>
      <c r="K3" s="387"/>
      <c r="L3" s="387"/>
    </row>
    <row r="4" spans="1:14" ht="17.399999999999999" hidden="1">
      <c r="A4" s="277"/>
      <c r="B4" s="387"/>
      <c r="C4" s="387"/>
      <c r="D4" s="387"/>
      <c r="E4" s="387"/>
      <c r="F4" s="387"/>
      <c r="G4" s="387"/>
      <c r="H4" s="387"/>
      <c r="I4" s="387"/>
      <c r="J4" s="387"/>
      <c r="K4" s="387"/>
      <c r="L4" s="387"/>
    </row>
    <row r="5" spans="1:14" ht="17.399999999999999" hidden="1">
      <c r="A5" s="277"/>
      <c r="B5" s="387"/>
      <c r="C5" s="387"/>
      <c r="D5" s="387"/>
      <c r="E5" s="387"/>
      <c r="F5" s="387"/>
      <c r="G5" s="387"/>
      <c r="H5" s="387"/>
      <c r="I5" s="387"/>
      <c r="J5" s="387"/>
      <c r="K5" s="387"/>
      <c r="L5" s="387"/>
    </row>
    <row r="6" spans="1:14" ht="17.399999999999999" hidden="1">
      <c r="A6" s="277"/>
      <c r="B6" s="387"/>
      <c r="C6" s="387"/>
      <c r="D6" s="387"/>
      <c r="E6" s="387"/>
      <c r="F6" s="387"/>
      <c r="G6" s="387"/>
      <c r="H6" s="387"/>
      <c r="I6" s="387"/>
      <c r="J6" s="387"/>
      <c r="K6" s="387"/>
      <c r="L6" s="387"/>
    </row>
    <row r="7" spans="1:14" ht="17.399999999999999" hidden="1">
      <c r="A7" s="277"/>
      <c r="B7" s="387"/>
      <c r="C7" s="387"/>
      <c r="D7" s="387"/>
      <c r="E7" s="387"/>
      <c r="F7" s="387"/>
      <c r="G7" s="387"/>
      <c r="H7" s="387"/>
      <c r="I7" s="387"/>
      <c r="J7" s="387"/>
      <c r="K7" s="387"/>
      <c r="L7" s="387"/>
    </row>
    <row r="8" spans="1:14" ht="17.399999999999999" hidden="1">
      <c r="A8" s="277"/>
      <c r="B8" s="387"/>
      <c r="C8" s="387"/>
      <c r="D8" s="387"/>
      <c r="E8" s="387"/>
      <c r="F8" s="387"/>
      <c r="G8" s="387"/>
      <c r="H8" s="387"/>
      <c r="I8" s="387"/>
      <c r="J8" s="387"/>
      <c r="K8" s="387"/>
      <c r="L8" s="387"/>
    </row>
    <row r="9" spans="1:14">
      <c r="A9" s="388" t="s">
        <v>522</v>
      </c>
      <c r="B9" s="389"/>
      <c r="C9" s="389"/>
      <c r="D9" s="389"/>
      <c r="E9" s="389"/>
      <c r="F9" s="389"/>
      <c r="G9" s="389"/>
      <c r="H9" s="389"/>
      <c r="I9" s="389"/>
      <c r="J9" s="389"/>
      <c r="K9" s="390"/>
      <c r="L9" s="391" t="s">
        <v>523</v>
      </c>
    </row>
    <row r="10" spans="1:14" s="164" customFormat="1" ht="21.3" customHeight="1">
      <c r="A10" s="163"/>
      <c r="B10" s="165"/>
      <c r="C10" s="392" t="s">
        <v>524</v>
      </c>
      <c r="D10" s="393"/>
      <c r="E10" s="394"/>
      <c r="F10" s="394"/>
      <c r="G10" s="395" t="s">
        <v>525</v>
      </c>
      <c r="H10" s="167" t="s">
        <v>526</v>
      </c>
      <c r="I10" s="393"/>
      <c r="J10" s="394"/>
      <c r="K10" s="394"/>
      <c r="L10" s="395" t="s">
        <v>527</v>
      </c>
    </row>
    <row r="11" spans="1:14" s="164" customFormat="1" ht="15.6">
      <c r="A11" s="396" t="s">
        <v>379</v>
      </c>
      <c r="B11" s="397"/>
      <c r="C11" s="398" t="s">
        <v>528</v>
      </c>
      <c r="D11" s="399" t="s">
        <v>529</v>
      </c>
      <c r="E11" s="398" t="s">
        <v>530</v>
      </c>
      <c r="F11" s="399" t="s">
        <v>531</v>
      </c>
      <c r="G11" s="399" t="s">
        <v>532</v>
      </c>
      <c r="H11" s="398" t="s">
        <v>533</v>
      </c>
      <c r="I11" s="399" t="s">
        <v>534</v>
      </c>
      <c r="J11" s="399" t="s">
        <v>348</v>
      </c>
      <c r="K11" s="399" t="s">
        <v>535</v>
      </c>
      <c r="L11" s="400" t="s">
        <v>536</v>
      </c>
    </row>
    <row r="12" spans="1:14" s="404" customFormat="1" ht="31.2">
      <c r="A12" s="179" t="s">
        <v>387</v>
      </c>
      <c r="B12" s="401"/>
      <c r="C12" s="402" t="s">
        <v>537</v>
      </c>
      <c r="D12" s="403" t="s">
        <v>538</v>
      </c>
      <c r="E12" s="402" t="s">
        <v>539</v>
      </c>
      <c r="F12" s="403" t="s">
        <v>540</v>
      </c>
      <c r="G12" s="403" t="s">
        <v>541</v>
      </c>
      <c r="H12" s="402" t="s">
        <v>542</v>
      </c>
      <c r="I12" s="403" t="s">
        <v>543</v>
      </c>
      <c r="J12" s="403" t="s">
        <v>544</v>
      </c>
      <c r="K12" s="403" t="s">
        <v>349</v>
      </c>
      <c r="L12" s="403" t="s">
        <v>545</v>
      </c>
    </row>
    <row r="13" spans="1:14" s="306" customFormat="1" ht="20.25" customHeight="1">
      <c r="A13" s="405">
        <v>2016</v>
      </c>
      <c r="B13" s="406"/>
      <c r="C13" s="730">
        <v>0.10059999999999999</v>
      </c>
      <c r="D13" s="730">
        <v>1.2302</v>
      </c>
      <c r="E13" s="730">
        <v>0.1024</v>
      </c>
      <c r="F13" s="730">
        <v>0.98180000000000001</v>
      </c>
      <c r="G13" s="730">
        <v>0.1033</v>
      </c>
      <c r="H13" s="732">
        <v>0.376</v>
      </c>
      <c r="I13" s="730">
        <v>0.46460000000000001</v>
      </c>
      <c r="J13" s="730">
        <v>0.39560000000000001</v>
      </c>
      <c r="K13" s="1090">
        <v>3.2000000000000002E-3</v>
      </c>
      <c r="L13" s="730">
        <v>0.36859999999999998</v>
      </c>
      <c r="N13" s="1194"/>
    </row>
    <row r="14" spans="1:14" s="408" customFormat="1" ht="15" customHeight="1">
      <c r="A14" s="356">
        <v>2017</v>
      </c>
      <c r="B14" s="407"/>
      <c r="C14" s="731">
        <v>0.10059999999999999</v>
      </c>
      <c r="D14" s="731">
        <v>1.2470000000000001</v>
      </c>
      <c r="E14" s="731">
        <v>0.1024</v>
      </c>
      <c r="F14" s="731">
        <v>0.98180000000000001</v>
      </c>
      <c r="G14" s="731">
        <v>0.1033</v>
      </c>
      <c r="H14" s="733">
        <v>0.376</v>
      </c>
      <c r="I14" s="731">
        <v>0.50839999999999996</v>
      </c>
      <c r="J14" s="731">
        <v>0.45140000000000002</v>
      </c>
      <c r="K14" s="1091">
        <v>3.3E-3</v>
      </c>
      <c r="L14" s="731">
        <v>0.38590000000000002</v>
      </c>
      <c r="N14" s="1194"/>
    </row>
    <row r="15" spans="1:14" s="321" customFormat="1" ht="15" customHeight="1">
      <c r="A15" s="747">
        <v>2018</v>
      </c>
      <c r="B15" s="748"/>
      <c r="C15" s="1158">
        <v>0.10059999999999999</v>
      </c>
      <c r="D15" s="1158">
        <v>1.2386999999999999</v>
      </c>
      <c r="E15" s="1158">
        <v>0.1024</v>
      </c>
      <c r="F15" s="1158">
        <v>0.98180000000000001</v>
      </c>
      <c r="G15" s="1158">
        <v>0.1033</v>
      </c>
      <c r="H15" s="1159">
        <v>0.376</v>
      </c>
      <c r="I15" s="1158">
        <v>0.47710000000000002</v>
      </c>
      <c r="J15" s="1158">
        <v>0.4304</v>
      </c>
      <c r="K15" s="1193">
        <v>3.3999999999999998E-3</v>
      </c>
      <c r="L15" s="1158">
        <v>0.38229999999999997</v>
      </c>
      <c r="M15" s="905"/>
      <c r="N15" s="1194"/>
    </row>
    <row r="16" spans="1:14" s="321" customFormat="1" ht="15" customHeight="1">
      <c r="A16" s="747">
        <v>2019</v>
      </c>
      <c r="B16" s="748"/>
      <c r="C16" s="1158">
        <v>0.10059999999999999</v>
      </c>
      <c r="D16" s="1158">
        <v>1.2410000000000001</v>
      </c>
      <c r="E16" s="1158">
        <v>0.1024</v>
      </c>
      <c r="F16" s="1158">
        <v>0.98180000000000001</v>
      </c>
      <c r="G16" s="1158">
        <v>0.1033</v>
      </c>
      <c r="H16" s="1159">
        <v>0.376</v>
      </c>
      <c r="I16" s="1158">
        <v>0.49320000000000003</v>
      </c>
      <c r="J16" s="1158">
        <v>0.4214</v>
      </c>
      <c r="K16" s="1193">
        <v>3.5000000000000001E-3</v>
      </c>
      <c r="L16" s="1158">
        <v>0.38819999999999999</v>
      </c>
      <c r="M16" s="905"/>
      <c r="N16" s="1194"/>
    </row>
    <row r="17" spans="1:14" s="321" customFormat="1" ht="15" customHeight="1">
      <c r="A17" s="747">
        <v>2020</v>
      </c>
      <c r="B17" s="748"/>
      <c r="C17" s="1158">
        <v>0.10059999999999999</v>
      </c>
      <c r="D17" s="1158">
        <v>1.2402</v>
      </c>
      <c r="E17" s="1158">
        <v>0.1024</v>
      </c>
      <c r="F17" s="1158">
        <v>0.98180000000000001</v>
      </c>
      <c r="G17" s="1158">
        <v>0.1033</v>
      </c>
      <c r="H17" s="1159">
        <v>0.376</v>
      </c>
      <c r="I17" s="1158">
        <v>0.51319999999999999</v>
      </c>
      <c r="J17" s="1158">
        <v>0.46289999999999998</v>
      </c>
      <c r="K17" s="1193">
        <v>3.5999999999999999E-3</v>
      </c>
      <c r="L17" s="1158">
        <v>0.4269</v>
      </c>
      <c r="M17" s="905"/>
      <c r="N17" s="1194"/>
    </row>
    <row r="18" spans="1:14" s="321" customFormat="1" ht="14.25" customHeight="1">
      <c r="A18" s="747">
        <v>2021</v>
      </c>
      <c r="B18" s="748"/>
      <c r="C18" s="1158">
        <v>0.10059999999999999</v>
      </c>
      <c r="D18" s="1158">
        <v>1.2427999999999999</v>
      </c>
      <c r="E18" s="1158">
        <v>0.1024</v>
      </c>
      <c r="F18" s="1158">
        <v>0.98180000000000001</v>
      </c>
      <c r="G18" s="1158">
        <v>0.1033</v>
      </c>
      <c r="H18" s="1159">
        <v>0.376</v>
      </c>
      <c r="I18" s="1158">
        <v>0.50760000000000005</v>
      </c>
      <c r="J18" s="1158">
        <v>0.4269</v>
      </c>
      <c r="K18" s="1193">
        <v>3.3E-3</v>
      </c>
      <c r="L18" s="1158">
        <v>0.4113</v>
      </c>
      <c r="M18" s="905"/>
      <c r="N18" s="1194"/>
    </row>
    <row r="19" spans="1:14" s="321" customFormat="1" ht="14.25" customHeight="1">
      <c r="A19" s="747">
        <v>2022</v>
      </c>
      <c r="B19" s="748"/>
      <c r="C19" s="1158">
        <v>0.10059999999999999</v>
      </c>
      <c r="D19" s="1158">
        <v>1.2278</v>
      </c>
      <c r="E19" s="1158">
        <v>0.1024</v>
      </c>
      <c r="F19" s="1158">
        <v>0.98180000000000001</v>
      </c>
      <c r="G19" s="1158">
        <v>0.1033</v>
      </c>
      <c r="H19" s="1159">
        <v>0.376</v>
      </c>
      <c r="I19" s="1158">
        <v>0.45279999999999998</v>
      </c>
      <c r="J19" s="1158">
        <v>0.39979999999999999</v>
      </c>
      <c r="K19" s="1158">
        <v>2.8E-3</v>
      </c>
      <c r="L19" s="1158">
        <v>0.40565299999999999</v>
      </c>
      <c r="M19" s="905"/>
    </row>
    <row r="20" spans="1:14" s="321" customFormat="1" ht="14.25" customHeight="1">
      <c r="A20" s="747">
        <v>2023</v>
      </c>
      <c r="B20" s="748"/>
      <c r="C20" s="1158">
        <v>0.10059999999999999</v>
      </c>
      <c r="D20" s="1158">
        <v>1.2247600000000001</v>
      </c>
      <c r="E20" s="1158">
        <v>0.1024</v>
      </c>
      <c r="F20" s="1158">
        <v>0.98180000000000001</v>
      </c>
      <c r="G20" s="1158">
        <v>0.1033</v>
      </c>
      <c r="H20" s="1159">
        <v>0.376</v>
      </c>
      <c r="I20" s="1158">
        <v>0.47910000000000003</v>
      </c>
      <c r="J20" s="1158">
        <v>0.41660000000000003</v>
      </c>
      <c r="K20" s="1158">
        <v>2.6549999999999998E-3</v>
      </c>
      <c r="L20" s="1158">
        <v>0.44625500000000001</v>
      </c>
      <c r="M20" s="905"/>
    </row>
    <row r="21" spans="1:14" s="321" customFormat="1" ht="14.25" customHeight="1">
      <c r="A21" s="747">
        <v>2024</v>
      </c>
      <c r="B21" s="748"/>
      <c r="C21" s="1158">
        <v>0.10059999999999999</v>
      </c>
      <c r="D21" s="1158">
        <v>1.220766</v>
      </c>
      <c r="E21" s="1158">
        <v>0.1024</v>
      </c>
      <c r="F21" s="1158">
        <v>0.98180000000000001</v>
      </c>
      <c r="G21" s="1158">
        <v>0.1033</v>
      </c>
      <c r="H21" s="1159">
        <v>0.376</v>
      </c>
      <c r="I21" s="1158">
        <v>0.47188799999999997</v>
      </c>
      <c r="J21" s="1158">
        <v>0.39125599999999999</v>
      </c>
      <c r="K21" s="1158">
        <v>2.3999999999999998E-3</v>
      </c>
      <c r="L21" s="1158">
        <v>0.41645700000000002</v>
      </c>
      <c r="M21" s="905"/>
    </row>
    <row r="22" spans="1:14" s="321" customFormat="1" ht="14.25" customHeight="1">
      <c r="A22" s="906">
        <v>2025</v>
      </c>
      <c r="B22" s="997"/>
      <c r="C22" s="1081">
        <f t="shared" ref="C22:L22" si="0">C28</f>
        <v>0.10059999999999999</v>
      </c>
      <c r="D22" s="1081">
        <f t="shared" si="0"/>
        <v>1.222075</v>
      </c>
      <c r="E22" s="1081">
        <f t="shared" si="0"/>
        <v>0.1024</v>
      </c>
      <c r="F22" s="1081">
        <f t="shared" si="0"/>
        <v>0.98180000000000001</v>
      </c>
      <c r="G22" s="1081">
        <f t="shared" si="0"/>
        <v>0.1033</v>
      </c>
      <c r="H22" s="1082">
        <f t="shared" si="0"/>
        <v>0.376</v>
      </c>
      <c r="I22" s="1081">
        <f t="shared" si="0"/>
        <v>0.50637500000000002</v>
      </c>
      <c r="J22" s="1081">
        <f t="shared" si="0"/>
        <v>0.441801</v>
      </c>
      <c r="K22" s="1081">
        <f t="shared" si="0"/>
        <v>2.405E-3</v>
      </c>
      <c r="L22" s="1081">
        <f t="shared" si="0"/>
        <v>0.47499999999999998</v>
      </c>
      <c r="M22" s="905"/>
    </row>
    <row r="23" spans="1:14" s="321" customFormat="1" ht="21" customHeight="1">
      <c r="A23" s="747">
        <v>2024</v>
      </c>
      <c r="B23" s="748" t="s">
        <v>237</v>
      </c>
      <c r="C23" s="1158">
        <v>0.10059999999999999</v>
      </c>
      <c r="D23" s="1158">
        <v>1.2326490000000001</v>
      </c>
      <c r="E23" s="1158">
        <v>0.1024</v>
      </c>
      <c r="F23" s="1158">
        <v>0.98180000000000001</v>
      </c>
      <c r="G23" s="1158">
        <v>0.1033</v>
      </c>
      <c r="H23" s="1159">
        <v>0.376</v>
      </c>
      <c r="I23" s="1158">
        <v>0.503328</v>
      </c>
      <c r="J23" s="1158">
        <v>0.42008299999999998</v>
      </c>
      <c r="K23" s="1158">
        <v>2.6340000000000001E-3</v>
      </c>
      <c r="L23" s="1158">
        <v>0.44694400000000001</v>
      </c>
      <c r="M23" s="905"/>
    </row>
    <row r="24" spans="1:14" s="321" customFormat="1" ht="15" customHeight="1">
      <c r="A24" s="747"/>
      <c r="B24" s="748" t="s">
        <v>238</v>
      </c>
      <c r="C24" s="1158">
        <v>0.10059999999999999</v>
      </c>
      <c r="D24" s="1158">
        <v>1.220766</v>
      </c>
      <c r="E24" s="1158">
        <v>0.1024</v>
      </c>
      <c r="F24" s="1158">
        <v>0.98180000000000001</v>
      </c>
      <c r="G24" s="1158">
        <v>0.1033</v>
      </c>
      <c r="H24" s="1159">
        <v>0.376</v>
      </c>
      <c r="I24" s="1158">
        <v>0.47188799999999997</v>
      </c>
      <c r="J24" s="1158">
        <v>0.39125599999999999</v>
      </c>
      <c r="K24" s="1158">
        <v>2.3999999999999998E-3</v>
      </c>
      <c r="L24" s="1158">
        <v>0.41645700000000002</v>
      </c>
      <c r="M24" s="905"/>
    </row>
    <row r="25" spans="1:14" s="321" customFormat="1" ht="21" customHeight="1">
      <c r="A25" s="747">
        <v>2025</v>
      </c>
      <c r="B25" s="748" t="s">
        <v>239</v>
      </c>
      <c r="C25" s="1158">
        <v>0.10059999999999999</v>
      </c>
      <c r="D25" s="1158">
        <v>1.219519</v>
      </c>
      <c r="E25" s="1158">
        <v>0.1024</v>
      </c>
      <c r="F25" s="1158">
        <v>0.98180000000000001</v>
      </c>
      <c r="G25" s="1158">
        <v>0.1033</v>
      </c>
      <c r="H25" s="1159">
        <v>0.376</v>
      </c>
      <c r="I25" s="1158">
        <v>0.48476900000000001</v>
      </c>
      <c r="J25" s="1158">
        <v>0.40451300000000001</v>
      </c>
      <c r="K25" s="1158">
        <v>2.5000000000000001E-3</v>
      </c>
      <c r="L25" s="1158">
        <v>0.42569600000000002</v>
      </c>
      <c r="M25" s="905"/>
    </row>
    <row r="26" spans="1:14" s="321" customFormat="1" ht="15" customHeight="1">
      <c r="A26" s="747"/>
      <c r="B26" s="748" t="s">
        <v>240</v>
      </c>
      <c r="C26" s="1158">
        <v>0.10059999999999999</v>
      </c>
      <c r="D26" s="1158">
        <v>1.2296670000000001</v>
      </c>
      <c r="E26" s="1158">
        <v>0.1024</v>
      </c>
      <c r="F26" s="1158">
        <v>0.98180000000000001</v>
      </c>
      <c r="G26" s="1158">
        <v>0.1033</v>
      </c>
      <c r="H26" s="1159">
        <v>0.376</v>
      </c>
      <c r="I26" s="1158">
        <v>0.51598299999999997</v>
      </c>
      <c r="J26" s="1158">
        <v>0.44108700000000001</v>
      </c>
      <c r="K26" s="1158">
        <v>2.6029999999999998E-3</v>
      </c>
      <c r="L26" s="1158">
        <v>0.471132</v>
      </c>
      <c r="M26" s="905"/>
    </row>
    <row r="27" spans="1:14" s="321" customFormat="1" ht="15" customHeight="1">
      <c r="A27" s="747"/>
      <c r="B27" s="748" t="s">
        <v>237</v>
      </c>
      <c r="C27" s="1158">
        <v>0.10059999999999999</v>
      </c>
      <c r="D27" s="1158">
        <v>1.2309749999999999</v>
      </c>
      <c r="E27" s="1158">
        <v>0.1024</v>
      </c>
      <c r="F27" s="1158">
        <v>0.98180000000000001</v>
      </c>
      <c r="G27" s="1158">
        <v>0.1033</v>
      </c>
      <c r="H27" s="1159">
        <v>0.376</v>
      </c>
      <c r="I27" s="1158">
        <v>0.50524599999999997</v>
      </c>
      <c r="J27" s="1158">
        <v>0.441162</v>
      </c>
      <c r="K27" s="1158">
        <v>2.5300000000000001E-3</v>
      </c>
      <c r="L27" s="1158">
        <v>0.471605</v>
      </c>
      <c r="M27" s="905"/>
    </row>
    <row r="28" spans="1:14" s="321" customFormat="1" ht="15" customHeight="1">
      <c r="A28" s="747"/>
      <c r="B28" s="748" t="s">
        <v>238</v>
      </c>
      <c r="C28" s="1158">
        <f t="shared" ref="C28:L28" si="1">C36</f>
        <v>0.10059999999999999</v>
      </c>
      <c r="D28" s="1158">
        <f t="shared" si="1"/>
        <v>1.222075</v>
      </c>
      <c r="E28" s="1158">
        <f t="shared" si="1"/>
        <v>0.1024</v>
      </c>
      <c r="F28" s="1158">
        <f t="shared" si="1"/>
        <v>0.98180000000000001</v>
      </c>
      <c r="G28" s="1158">
        <f t="shared" si="1"/>
        <v>0.1033</v>
      </c>
      <c r="H28" s="1159">
        <f t="shared" si="1"/>
        <v>0.376</v>
      </c>
      <c r="I28" s="1158">
        <f t="shared" si="1"/>
        <v>0.50637500000000002</v>
      </c>
      <c r="J28" s="1158">
        <f t="shared" si="1"/>
        <v>0.441801</v>
      </c>
      <c r="K28" s="1158">
        <f t="shared" si="1"/>
        <v>2.405E-3</v>
      </c>
      <c r="L28" s="1158">
        <f t="shared" si="1"/>
        <v>0.47499999999999998</v>
      </c>
      <c r="M28" s="905"/>
    </row>
    <row r="29" spans="1:14" s="321" customFormat="1" ht="21" customHeight="1">
      <c r="A29" s="747">
        <v>2026</v>
      </c>
      <c r="B29" s="748" t="s">
        <v>239</v>
      </c>
      <c r="C29" s="1158">
        <f t="shared" ref="C29:L29" si="2">C39</f>
        <v>0.10059999999999999</v>
      </c>
      <c r="D29" s="1158">
        <f t="shared" si="2"/>
        <v>1.216993</v>
      </c>
      <c r="E29" s="1158">
        <f t="shared" si="2"/>
        <v>0.1024</v>
      </c>
      <c r="F29" s="1158">
        <f t="shared" si="2"/>
        <v>0.98180000000000001</v>
      </c>
      <c r="G29" s="1158">
        <f t="shared" si="2"/>
        <v>0.1033</v>
      </c>
      <c r="H29" s="1159">
        <f t="shared" si="2"/>
        <v>0.376</v>
      </c>
      <c r="I29" s="1158">
        <f t="shared" si="2"/>
        <v>0.49539299999999997</v>
      </c>
      <c r="J29" s="1158">
        <f t="shared" si="2"/>
        <v>0.43085699999999999</v>
      </c>
      <c r="K29" s="1158">
        <f t="shared" si="2"/>
        <v>2.3530000000000001E-3</v>
      </c>
      <c r="L29" s="1158">
        <f t="shared" si="2"/>
        <v>0.47013100000000002</v>
      </c>
      <c r="M29" s="905"/>
    </row>
    <row r="30" spans="1:14" s="321" customFormat="1" ht="15" customHeight="1">
      <c r="A30" s="906"/>
      <c r="B30" s="997" t="s">
        <v>240</v>
      </c>
      <c r="C30" s="1081">
        <f t="shared" ref="C30:L30" si="3">C42</f>
        <v>0.10059999999999999</v>
      </c>
      <c r="D30" s="1081">
        <f t="shared" si="3"/>
        <v>1.2145170000000001</v>
      </c>
      <c r="E30" s="1081">
        <f t="shared" si="3"/>
        <v>0.1024</v>
      </c>
      <c r="F30" s="1081">
        <f t="shared" si="3"/>
        <v>0.98180000000000001</v>
      </c>
      <c r="G30" s="1081">
        <f t="shared" si="3"/>
        <v>0.1033</v>
      </c>
      <c r="H30" s="1082">
        <f t="shared" si="3"/>
        <v>0.376</v>
      </c>
      <c r="I30" s="1081">
        <f t="shared" si="3"/>
        <v>0.49840200000000001</v>
      </c>
      <c r="J30" s="1081">
        <f t="shared" si="3"/>
        <v>0.42942799999999998</v>
      </c>
      <c r="K30" s="1081">
        <f t="shared" si="3"/>
        <v>2.323E-3</v>
      </c>
      <c r="L30" s="1081">
        <f t="shared" si="3"/>
        <v>0.465476</v>
      </c>
      <c r="M30" s="905"/>
    </row>
    <row r="31" spans="1:14" s="321" customFormat="1" ht="21" customHeight="1">
      <c r="A31" s="747">
        <v>2025</v>
      </c>
      <c r="B31" s="748" t="s">
        <v>420</v>
      </c>
      <c r="C31" s="1158">
        <v>0.10059999999999999</v>
      </c>
      <c r="D31" s="1158">
        <v>1.2310749999999999</v>
      </c>
      <c r="E31" s="1158">
        <v>0.1024</v>
      </c>
      <c r="F31" s="1158">
        <v>0.98180000000000001</v>
      </c>
      <c r="G31" s="1158">
        <v>0.1033</v>
      </c>
      <c r="H31" s="1159">
        <v>0.376</v>
      </c>
      <c r="I31" s="1158">
        <v>0.498533</v>
      </c>
      <c r="J31" s="1158">
        <v>0.42982300000000001</v>
      </c>
      <c r="K31" s="1193">
        <v>2.5200000000000001E-3</v>
      </c>
      <c r="L31" s="1158">
        <v>0.46244200000000002</v>
      </c>
      <c r="N31" s="1194"/>
    </row>
    <row r="32" spans="1:14" s="321" customFormat="1" ht="15" customHeight="1">
      <c r="A32" s="747"/>
      <c r="B32" s="748" t="s">
        <v>421</v>
      </c>
      <c r="C32" s="1158">
        <v>0.10059999999999999</v>
      </c>
      <c r="D32" s="1158">
        <v>1.230532</v>
      </c>
      <c r="E32" s="1158">
        <v>0.1024</v>
      </c>
      <c r="F32" s="1158">
        <v>0.98180000000000001</v>
      </c>
      <c r="G32" s="1158">
        <v>0.1033</v>
      </c>
      <c r="H32" s="1159">
        <v>0.376</v>
      </c>
      <c r="I32" s="1158">
        <v>0.50787899999999997</v>
      </c>
      <c r="J32" s="1158">
        <v>0.43948900000000002</v>
      </c>
      <c r="K32" s="1193">
        <v>2.5569999999999998E-3</v>
      </c>
      <c r="L32" s="1158">
        <v>0.469808</v>
      </c>
      <c r="N32" s="1194"/>
    </row>
    <row r="33" spans="1:14" s="321" customFormat="1" ht="15" customHeight="1">
      <c r="A33" s="747"/>
      <c r="B33" s="748" t="s">
        <v>422</v>
      </c>
      <c r="C33" s="1158">
        <v>0.10059999999999999</v>
      </c>
      <c r="D33" s="1158">
        <v>1.2309749999999999</v>
      </c>
      <c r="E33" s="1158">
        <v>0.1024</v>
      </c>
      <c r="F33" s="1158">
        <v>0.98180000000000001</v>
      </c>
      <c r="G33" s="1158">
        <v>0.1033</v>
      </c>
      <c r="H33" s="1159">
        <v>0.376</v>
      </c>
      <c r="I33" s="1158">
        <v>0.50524599999999997</v>
      </c>
      <c r="J33" s="1158">
        <v>0.441162</v>
      </c>
      <c r="K33" s="1193">
        <v>2.5300000000000001E-3</v>
      </c>
      <c r="L33" s="1158">
        <v>0.471605</v>
      </c>
      <c r="N33" s="1194"/>
    </row>
    <row r="34" spans="1:14" s="321" customFormat="1" ht="15" customHeight="1">
      <c r="A34" s="747"/>
      <c r="B34" s="748" t="s">
        <v>411</v>
      </c>
      <c r="C34" s="1158">
        <v>0.10059999999999999</v>
      </c>
      <c r="D34" s="1158">
        <v>1.226019</v>
      </c>
      <c r="E34" s="1158">
        <v>0.1024</v>
      </c>
      <c r="F34" s="1158">
        <v>0.98180000000000001</v>
      </c>
      <c r="G34" s="1158">
        <v>0.1033</v>
      </c>
      <c r="H34" s="1159">
        <v>0.376</v>
      </c>
      <c r="I34" s="1158">
        <v>0.49659599999999998</v>
      </c>
      <c r="J34" s="1158">
        <v>0.43674299999999999</v>
      </c>
      <c r="K34" s="1193">
        <v>2.464E-3</v>
      </c>
      <c r="L34" s="1158">
        <v>0.47030699999999998</v>
      </c>
      <c r="N34" s="1194"/>
    </row>
    <row r="35" spans="1:14" s="321" customFormat="1" ht="15" customHeight="1">
      <c r="A35" s="747"/>
      <c r="B35" s="748" t="s">
        <v>412</v>
      </c>
      <c r="C35" s="1158">
        <v>0.10059999999999999</v>
      </c>
      <c r="D35" s="1158">
        <v>1.224701</v>
      </c>
      <c r="E35" s="1158">
        <v>0.1024</v>
      </c>
      <c r="F35" s="1158">
        <v>0.98180000000000001</v>
      </c>
      <c r="G35" s="1158">
        <v>0.1033</v>
      </c>
      <c r="H35" s="1159">
        <v>0.376</v>
      </c>
      <c r="I35" s="1158">
        <v>0.49772499999999997</v>
      </c>
      <c r="J35" s="1158">
        <v>0.43617899999999998</v>
      </c>
      <c r="K35" s="1193">
        <v>2.408E-3</v>
      </c>
      <c r="L35" s="1158">
        <v>0.46779199999999999</v>
      </c>
      <c r="N35" s="1194"/>
    </row>
    <row r="36" spans="1:14" s="321" customFormat="1" ht="15" customHeight="1">
      <c r="A36" s="747"/>
      <c r="B36" s="748" t="s">
        <v>413</v>
      </c>
      <c r="C36" s="1158">
        <v>0.10059999999999999</v>
      </c>
      <c r="D36" s="1158">
        <v>1.222075</v>
      </c>
      <c r="E36" s="1158">
        <v>0.1024</v>
      </c>
      <c r="F36" s="1158">
        <v>0.98180000000000001</v>
      </c>
      <c r="G36" s="1158">
        <v>0.1033</v>
      </c>
      <c r="H36" s="1159">
        <v>0.376</v>
      </c>
      <c r="I36" s="1158">
        <v>0.50637500000000002</v>
      </c>
      <c r="J36" s="1158">
        <v>0.441801</v>
      </c>
      <c r="K36" s="1193">
        <v>2.405E-3</v>
      </c>
      <c r="L36" s="1158">
        <v>0.47499999999999998</v>
      </c>
      <c r="N36" s="1194"/>
    </row>
    <row r="37" spans="1:14" s="321" customFormat="1" ht="21" customHeight="1">
      <c r="A37" s="747">
        <v>2026</v>
      </c>
      <c r="B37" s="748" t="s">
        <v>414</v>
      </c>
      <c r="C37" s="1158">
        <v>0.10059999999999999</v>
      </c>
      <c r="D37" s="1158">
        <v>1.2260390000000001</v>
      </c>
      <c r="E37" s="1158">
        <v>0.1024</v>
      </c>
      <c r="F37" s="1158">
        <v>0.98180000000000001</v>
      </c>
      <c r="G37" s="1158">
        <v>0.1033</v>
      </c>
      <c r="H37" s="1159">
        <v>0.376</v>
      </c>
      <c r="I37" s="1158">
        <v>0.51299399999999995</v>
      </c>
      <c r="J37" s="1158">
        <v>0.446108</v>
      </c>
      <c r="K37" s="1193">
        <v>2.4559999999999998E-3</v>
      </c>
      <c r="L37" s="1158">
        <v>0.48927500000000002</v>
      </c>
      <c r="N37" s="1194"/>
    </row>
    <row r="38" spans="1:14" s="321" customFormat="1" ht="15" customHeight="1">
      <c r="A38" s="747"/>
      <c r="B38" s="748" t="s">
        <v>415</v>
      </c>
      <c r="C38" s="1158">
        <v>0.10059999999999999</v>
      </c>
      <c r="D38" s="1158">
        <v>1.2252000000000001</v>
      </c>
      <c r="E38" s="1158">
        <v>0.1024</v>
      </c>
      <c r="F38" s="1158">
        <v>0.98180000000000001</v>
      </c>
      <c r="G38" s="1158">
        <v>0.1033</v>
      </c>
      <c r="H38" s="1159">
        <v>0.376</v>
      </c>
      <c r="I38" s="1158">
        <v>0.51005999999999996</v>
      </c>
      <c r="J38" s="1158">
        <v>0.44447199999999998</v>
      </c>
      <c r="K38" s="1193">
        <v>2.4109999999999999E-3</v>
      </c>
      <c r="L38" s="1158">
        <v>0.48718299999999998</v>
      </c>
      <c r="N38" s="1194"/>
    </row>
    <row r="39" spans="1:14" s="321" customFormat="1" ht="15" customHeight="1">
      <c r="A39" s="747"/>
      <c r="B39" s="748" t="s">
        <v>416</v>
      </c>
      <c r="C39" s="1158">
        <v>0.10059999999999999</v>
      </c>
      <c r="D39" s="1158">
        <v>1.216993</v>
      </c>
      <c r="E39" s="1158">
        <v>0.1024</v>
      </c>
      <c r="F39" s="1158">
        <v>0.98180000000000001</v>
      </c>
      <c r="G39" s="1158">
        <v>0.1033</v>
      </c>
      <c r="H39" s="1159">
        <v>0.376</v>
      </c>
      <c r="I39" s="1158">
        <v>0.49539299999999997</v>
      </c>
      <c r="J39" s="1158">
        <v>0.43085699999999999</v>
      </c>
      <c r="K39" s="1193">
        <v>2.3530000000000001E-3</v>
      </c>
      <c r="L39" s="1158">
        <v>0.47013100000000002</v>
      </c>
      <c r="N39" s="1194"/>
    </row>
    <row r="40" spans="1:14" s="321" customFormat="1" ht="15" customHeight="1">
      <c r="A40" s="747"/>
      <c r="B40" s="748" t="s">
        <v>417</v>
      </c>
      <c r="C40" s="1158">
        <v>0.10059999999999999</v>
      </c>
      <c r="D40" s="1158">
        <v>1.221479</v>
      </c>
      <c r="E40" s="1158">
        <v>0.1024</v>
      </c>
      <c r="F40" s="1158">
        <v>0.98180000000000001</v>
      </c>
      <c r="G40" s="1158">
        <v>0.1033</v>
      </c>
      <c r="H40" s="1159">
        <v>0.376</v>
      </c>
      <c r="I40" s="1158">
        <v>0.50735200000000003</v>
      </c>
      <c r="J40" s="1158">
        <v>0.43950699999999998</v>
      </c>
      <c r="K40" s="1193">
        <v>2.3479999999999998E-3</v>
      </c>
      <c r="L40" s="1158">
        <v>0.475721</v>
      </c>
      <c r="N40" s="1194"/>
    </row>
    <row r="41" spans="1:14" s="321" customFormat="1" ht="15" customHeight="1">
      <c r="A41" s="747"/>
      <c r="B41" s="748" t="s">
        <v>418</v>
      </c>
      <c r="C41" s="1158">
        <v>0.10059999999999999</v>
      </c>
      <c r="D41" s="1158">
        <v>1.215263</v>
      </c>
      <c r="E41" s="1158">
        <v>0.1024</v>
      </c>
      <c r="F41" s="1158">
        <v>0.98180000000000001</v>
      </c>
      <c r="G41" s="1158">
        <v>0.1033</v>
      </c>
      <c r="H41" s="1159">
        <v>0.376</v>
      </c>
      <c r="I41" s="1158">
        <v>0.50607400000000002</v>
      </c>
      <c r="J41" s="1158">
        <v>0.43766500000000003</v>
      </c>
      <c r="K41" s="1193">
        <v>2.362E-3</v>
      </c>
      <c r="L41" s="1158">
        <v>0.478993</v>
      </c>
      <c r="N41" s="1194"/>
    </row>
    <row r="42" spans="1:14" s="321" customFormat="1" ht="15" customHeight="1">
      <c r="A42" s="747"/>
      <c r="B42" s="748" t="s">
        <v>419</v>
      </c>
      <c r="C42" s="1158">
        <v>0.10059999999999999</v>
      </c>
      <c r="D42" s="1158">
        <v>1.2145170000000001</v>
      </c>
      <c r="E42" s="1158">
        <v>0.1024</v>
      </c>
      <c r="F42" s="1158">
        <v>0.98180000000000001</v>
      </c>
      <c r="G42" s="1158">
        <v>0.1033</v>
      </c>
      <c r="H42" s="1159">
        <v>0.376</v>
      </c>
      <c r="I42" s="1158">
        <v>0.49840200000000001</v>
      </c>
      <c r="J42" s="1158">
        <v>0.42942799999999998</v>
      </c>
      <c r="K42" s="1193">
        <v>2.323E-3</v>
      </c>
      <c r="L42" s="1158">
        <v>0.465476</v>
      </c>
      <c r="N42" s="1194"/>
    </row>
    <row r="43" spans="1:14" s="321" customFormat="1" ht="15" customHeight="1">
      <c r="A43" s="747"/>
      <c r="B43" s="748" t="s">
        <v>420</v>
      </c>
      <c r="C43" s="1158">
        <v>0.10059999999999999</v>
      </c>
      <c r="D43" s="1158">
        <v>1.2101010000000001</v>
      </c>
      <c r="E43" s="1158">
        <v>0.1024</v>
      </c>
      <c r="F43" s="1158">
        <v>0.98180000000000001</v>
      </c>
      <c r="G43" s="1158">
        <v>0.1033</v>
      </c>
      <c r="H43" s="1159">
        <v>0.376</v>
      </c>
      <c r="I43" s="1158">
        <v>0.50272700000000003</v>
      </c>
      <c r="J43" s="1158">
        <v>0.43125200000000002</v>
      </c>
      <c r="K43" s="1193">
        <v>2.3029999999999999E-3</v>
      </c>
      <c r="L43" s="1158">
        <v>0.46232899999999999</v>
      </c>
      <c r="N43" s="1194"/>
    </row>
    <row r="44" spans="1:14" s="149" customFormat="1" ht="20.25" customHeight="1">
      <c r="A44" s="279" t="s">
        <v>546</v>
      </c>
      <c r="B44" s="279"/>
      <c r="C44" s="279"/>
      <c r="D44" s="279"/>
      <c r="E44" s="279"/>
      <c r="F44" s="279"/>
      <c r="G44" s="279"/>
      <c r="H44" s="279"/>
      <c r="I44" s="279"/>
      <c r="J44" s="279"/>
      <c r="K44" s="279"/>
      <c r="L44" s="409" t="s">
        <v>547</v>
      </c>
    </row>
    <row r="45" spans="1:14" s="149" customFormat="1" ht="13.5" customHeight="1">
      <c r="A45" s="149" t="s">
        <v>548</v>
      </c>
      <c r="L45" s="412" t="s">
        <v>549</v>
      </c>
    </row>
    <row r="46" spans="1:14" ht="13.8" customHeight="1">
      <c r="A46" s="149"/>
      <c r="G46" s="149"/>
      <c r="H46" s="410"/>
      <c r="I46" s="411"/>
      <c r="J46" s="1402"/>
      <c r="K46" s="1402"/>
      <c r="L46" s="412"/>
    </row>
    <row r="47" spans="1:14">
      <c r="G47" s="413"/>
      <c r="H47" s="413"/>
      <c r="I47" s="414"/>
      <c r="J47" s="1402"/>
      <c r="K47" s="1402"/>
      <c r="L47" s="1402"/>
    </row>
    <row r="48" spans="1:14">
      <c r="A48" s="319" t="s">
        <v>550</v>
      </c>
      <c r="B48" s="387"/>
      <c r="C48" s="387"/>
      <c r="D48" s="387"/>
      <c r="E48" s="387"/>
      <c r="F48" s="387"/>
      <c r="G48" s="387"/>
      <c r="H48" s="387"/>
      <c r="I48" s="387"/>
      <c r="J48" s="387"/>
      <c r="K48" s="387"/>
      <c r="L48" s="387"/>
    </row>
  </sheetData>
  <printOptions horizontalCentered="1" verticalCentered="1"/>
  <pageMargins left="0" right="0" top="0" bottom="0"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8948c4c-baff-4c87-bcda-fd249856c6f2" xsi:nil="true"/>
    <lcf76f155ced4ddcb4097134ff3c332f xmlns="314111f1-01ad-4005-a8e1-a063935e65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B9C3D99DA21D41B3C642446109626A" ma:contentTypeVersion="17" ma:contentTypeDescription="Create a new document." ma:contentTypeScope="" ma:versionID="0bb6d297aeadc99d6708f535642b0a69">
  <xsd:schema xmlns:xsd="http://www.w3.org/2001/XMLSchema" xmlns:xs="http://www.w3.org/2001/XMLSchema" xmlns:p="http://schemas.microsoft.com/office/2006/metadata/properties" xmlns:ns2="314111f1-01ad-4005-a8e1-a063935e6564" xmlns:ns3="88948c4c-baff-4c87-bcda-fd249856c6f2" targetNamespace="http://schemas.microsoft.com/office/2006/metadata/properties" ma:root="true" ma:fieldsID="599aa6156ea74ce5d74569db58844490" ns2:_="" ns3:_="">
    <xsd:import namespace="314111f1-01ad-4005-a8e1-a063935e6564"/>
    <xsd:import namespace="88948c4c-baff-4c87-bcda-fd249856c6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111f1-01ad-4005-a8e1-a063935e65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4d7ca05-1820-458c-a9c3-05adc9bdec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948c4c-baff-4c87-bcda-fd249856c6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701a4b-1cfe-47e5-af84-11f3bbd4ac66}" ma:internalName="TaxCatchAll" ma:showField="CatchAllData" ma:web="88948c4c-baff-4c87-bcda-fd249856c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B75459-E953-4BCB-B021-696A83176465}">
  <ds:schemaRefs>
    <ds:schemaRef ds:uri="http://schemas.microsoft.com/sharepoint/v3/contenttype/forms"/>
  </ds:schemaRefs>
</ds:datastoreItem>
</file>

<file path=customXml/itemProps2.xml><?xml version="1.0" encoding="utf-8"?>
<ds:datastoreItem xmlns:ds="http://schemas.openxmlformats.org/officeDocument/2006/customXml" ds:itemID="{6F8088CB-B113-4F73-93F2-33087DAFBE04}">
  <ds:schemaRefs>
    <ds:schemaRef ds:uri="88948c4c-baff-4c87-bcda-fd249856c6f2"/>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314111f1-01ad-4005-a8e1-a063935e6564"/>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F5DF897-2EF7-4D7A-9C70-0EDED82D0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4111f1-01ad-4005-a8e1-a063935e6564"/>
    <ds:schemaRef ds:uri="88948c4c-baff-4c87-bcda-fd249856c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48</vt:i4>
      </vt:variant>
    </vt:vector>
  </HeadingPairs>
  <TitlesOfParts>
    <vt:vector size="110" baseType="lpstr">
      <vt:lpstr>Index</vt:lpstr>
      <vt:lpstr>Metadata</vt:lpstr>
      <vt:lpstr>Indicators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'54'!Print_Area</vt:lpstr>
      <vt:lpstr>'56'!Print_Area</vt:lpstr>
      <vt:lpstr>'57'!Print_Area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Computer Section</dc:creator>
  <cp:keywords/>
  <dc:description/>
  <cp:lastModifiedBy>Samah Al Arayedh</cp:lastModifiedBy>
  <cp:revision/>
  <cp:lastPrinted>2026-08-27T07:42:59Z</cp:lastPrinted>
  <dcterms:created xsi:type="dcterms:W3CDTF">2000-07-05T09:57:24Z</dcterms:created>
  <dcterms:modified xsi:type="dcterms:W3CDTF">2026-08-31T10:33:30Z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0x01010015B9C3D99DA21D41B3C642446109626A</vt:lpwstr>
  </property>
  <property fmtid="{D5CDD505-2E9C-101B-9397-08002B2CF9AE}" pid="3" name="MediaServiceImageTags">
    <vt:lpwstr/>
  </property>
</Properties>
</file>